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ЭтаКнига" defaultThemeVersion="164011"/>
  <mc:AlternateContent xmlns:mc="http://schemas.openxmlformats.org/markup-compatibility/2006">
    <mc:Choice Requires="x15">
      <x15ac:absPath xmlns:x15ac="http://schemas.microsoft.com/office/spreadsheetml/2010/11/ac" url="C:\Users\Lenovo\Documents\Nextcloud\РАБОЧИЕ ФАЙЛЫ\"/>
    </mc:Choice>
  </mc:AlternateContent>
  <bookViews>
    <workbookView xWindow="0" yWindow="0" windowWidth="19200" windowHeight="7050" tabRatio="702" firstSheet="7" activeTab="13"/>
  </bookViews>
  <sheets>
    <sheet name="TOTAL" sheetId="2" r:id="rId1"/>
    <sheet name="DRAFT" sheetId="1" r:id="rId2"/>
    <sheet name="MOTIV" sheetId="33" r:id="rId3"/>
    <sheet name="ФО" sheetId="4" r:id="rId4"/>
    <sheet name="WORKSHEET" sheetId="142" state="hidden" r:id="rId5"/>
    <sheet name="DATES" sheetId="149" r:id="rId6"/>
    <sheet name="STATUS" sheetId="5" r:id="rId7"/>
    <sheet name="FILLING" sheetId="3" r:id="rId8"/>
    <sheet name="STATISTICS" sheetId="141" state="hidden" r:id="rId9"/>
    <sheet name="МАТРИЦА" sheetId="161" r:id="rId10"/>
    <sheet name="СОГЛАСОВАНИЕ" sheetId="169" r:id="rId11"/>
    <sheet name="ДЕЛА" sheetId="175" r:id="rId12"/>
    <sheet name="ВОЗВРАТЫ" sheetId="153" r:id="rId13"/>
    <sheet name="СТАТИСТИКА_PAST" sheetId="150" r:id="rId14"/>
    <sheet name="СТАТИСТИКА_FUTURE" sheetId="151" r:id="rId15"/>
    <sheet name="ФУ" sheetId="152" r:id="rId16"/>
  </sheets>
  <functionGroups builtInGroupCount="18"/>
  <externalReferences>
    <externalReference r:id="rId17"/>
  </externalReferences>
  <definedNames>
    <definedName name="_xlnm._FilterDatabase" localSheetId="8" hidden="1">STATISTICS!$A$2:$GU$2</definedName>
    <definedName name="_xlnm._FilterDatabase" localSheetId="6" hidden="1">STATUS!$A$2:$AM$2823</definedName>
    <definedName name="_xlnm._FilterDatabase" localSheetId="3" hidden="1">ФО!$A$2:$E$2</definedName>
    <definedName name="DDL_Fake">DDL_Table</definedName>
    <definedName name="DDL_Fake_Region">DDL_Table_Region</definedName>
    <definedName name="DDL_Fake2">DDL_Table2</definedName>
    <definedName name="DDL_Table" localSheetId="14">WORKSHEET!$D$2:INDEX(tblData[Фильтр],MAX(tblData[Индекс]))</definedName>
    <definedName name="DDL_Table">WORKSHEET!$D$2:INDEX(tblData[Фильтр],MAX(tblData[Индекс]))</definedName>
    <definedName name="DDL_Table_Region" localSheetId="14">WORKSHEET!$L$2:INDEX(tblData_Region[Фильтр],MAX(tblData_Region[Индекс]))</definedName>
    <definedName name="DDL_Table_Region">WORKSHEET!$L$2:INDEX(tblData_Region[Фильтр],MAX(tblData_Region[Индекс]))</definedName>
    <definedName name="DDL_Table2" localSheetId="14">WORKSHEET!$G$2:INDEX(tblData[Фильтр2],MAX(tblData[Индекс2]))</definedName>
    <definedName name="DDL_Table2">WORKSHEET!$G$2:INDEX(tblData[Фильтр2],MAX(tblData[Индекс2]))</definedName>
    <definedName name="n_1">{"","одинz","дваz","триz","четыреz","пятьz","шестьz","семьz","восемьz","девятьz"}</definedName>
    <definedName name="n_2">{"десятьz","одиннадцатьz","двенадцатьz","тринадцатьz","четырнадцатьz","пятнадцатьz","шестнадцатьz","семнадцатьz","восемнадцатьz","девятнадцатьz"}</definedName>
    <definedName name="n_3">{"";1;"двадцатьz";"тридцатьz";"сорокz";"пятьдесятz";"шестьдесятz";"семьдесятz";"восемьдесятz";"девяностоz"}</definedName>
    <definedName name="n_4">{"","стоz","двестиz","тристаz","четырестаz","пятьсотz","шестьсотz","семьсотz","восемьсотz","девятьсотz"}</definedName>
    <definedName name="n_5">{"","однаz","двеz","триz","четыреz","пятьz","шестьz","семьz","восемьz","девятьz"}</definedName>
    <definedName name="n0">"000000000000"&amp;MID(1/2,2,1)&amp;"00"</definedName>
    <definedName name="n0x">IF(n_3=1,n_2,n_3&amp;n_1)</definedName>
    <definedName name="n1x">IF(n_3=1,n_2,n_3&amp;n_5)</definedName>
    <definedName name="мил">{0,"овz";1,"z";2,"аz";5,"овz"}</definedName>
    <definedName name="тыс">{0,"тысячz";1,"тысячаz";2,"тысячиz";5,"тысячz"}</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823" i="5" l="1"/>
  <c r="J2655" i="5"/>
  <c r="J2656" i="5"/>
  <c r="J2657" i="5"/>
  <c r="J2658" i="5"/>
  <c r="J2659" i="5"/>
  <c r="J2660" i="5"/>
  <c r="J2661" i="5"/>
  <c r="J2662" i="5"/>
  <c r="J2663" i="5"/>
  <c r="J2664" i="5"/>
  <c r="J2665" i="5"/>
  <c r="J2666" i="5"/>
  <c r="J2667" i="5"/>
  <c r="J2668" i="5"/>
  <c r="J2669" i="5"/>
  <c r="J2670" i="5"/>
  <c r="J2671" i="5"/>
  <c r="J2672" i="5"/>
  <c r="J2673" i="5"/>
  <c r="J2674" i="5"/>
  <c r="J2675" i="5"/>
  <c r="J2676" i="5"/>
  <c r="J2677" i="5"/>
  <c r="J2678" i="5"/>
  <c r="J2679" i="5"/>
  <c r="J2680" i="5"/>
  <c r="J2681" i="5"/>
  <c r="J2682" i="5"/>
  <c r="J2683" i="5"/>
  <c r="J2684" i="5"/>
  <c r="J2685" i="5"/>
  <c r="J2686" i="5"/>
  <c r="J2687" i="5"/>
  <c r="J2688" i="5"/>
  <c r="J2689" i="5"/>
  <c r="J2690" i="5"/>
  <c r="J2691" i="5"/>
  <c r="J2692" i="5"/>
  <c r="J2693" i="5"/>
  <c r="J2694" i="5"/>
  <c r="J2695" i="5"/>
  <c r="J2696" i="5"/>
  <c r="J2697" i="5"/>
  <c r="J2698" i="5"/>
  <c r="J2699" i="5"/>
  <c r="J2700" i="5"/>
  <c r="J2701" i="5"/>
  <c r="J2702" i="5"/>
  <c r="J2703" i="5"/>
  <c r="J2704" i="5"/>
  <c r="J2705" i="5"/>
  <c r="J2706" i="5"/>
  <c r="J2707" i="5"/>
  <c r="J2708" i="5"/>
  <c r="J2709" i="5"/>
  <c r="J2710" i="5"/>
  <c r="J2711" i="5"/>
  <c r="J2712" i="5"/>
  <c r="J2713" i="5"/>
  <c r="J2714" i="5"/>
  <c r="J2715" i="5"/>
  <c r="J2716" i="5"/>
  <c r="J2717" i="5"/>
  <c r="J2718" i="5"/>
  <c r="J2719" i="5"/>
  <c r="J2720" i="5"/>
  <c r="J2721" i="5"/>
  <c r="J2722" i="5"/>
  <c r="J2723" i="5"/>
  <c r="J2724" i="5"/>
  <c r="J2725" i="5"/>
  <c r="J2726" i="5"/>
  <c r="J2727" i="5"/>
  <c r="J2728" i="5"/>
  <c r="J2729" i="5"/>
  <c r="J2730" i="5"/>
  <c r="J2731" i="5"/>
  <c r="J2732" i="5"/>
  <c r="J2733" i="5"/>
  <c r="J2734" i="5"/>
  <c r="J2735" i="5"/>
  <c r="J2736" i="5"/>
  <c r="J2737" i="5"/>
  <c r="J2738" i="5"/>
  <c r="J2739" i="5"/>
  <c r="J2740" i="5"/>
  <c r="J2741" i="5"/>
  <c r="J2742" i="5"/>
  <c r="J2743" i="5"/>
  <c r="J2744" i="5"/>
  <c r="J2745" i="5"/>
  <c r="J2746" i="5"/>
  <c r="J2747" i="5"/>
  <c r="J2748" i="5"/>
  <c r="J2749" i="5"/>
  <c r="J2750" i="5"/>
  <c r="J2751" i="5"/>
  <c r="J2752" i="5"/>
  <c r="J2753" i="5"/>
  <c r="J2754" i="5"/>
  <c r="J2755" i="5"/>
  <c r="J2756" i="5"/>
  <c r="J2757" i="5"/>
  <c r="J2758" i="5"/>
  <c r="J2759" i="5"/>
  <c r="J2760" i="5"/>
  <c r="J2761" i="5"/>
  <c r="J2762" i="5"/>
  <c r="J2763" i="5"/>
  <c r="J2764" i="5"/>
  <c r="J2765" i="5"/>
  <c r="J2766" i="5"/>
  <c r="J2767" i="5"/>
  <c r="J2768" i="5"/>
  <c r="J2769" i="5"/>
  <c r="J2770" i="5"/>
  <c r="J2771" i="5"/>
  <c r="J2772" i="5"/>
  <c r="J2773" i="5"/>
  <c r="J2774" i="5"/>
  <c r="J2775" i="5"/>
  <c r="J2776" i="5"/>
  <c r="J2777" i="5"/>
  <c r="J2778" i="5"/>
  <c r="J2779" i="5"/>
  <c r="J2780" i="5"/>
  <c r="J2781" i="5"/>
  <c r="J2782" i="5"/>
  <c r="J2783" i="5"/>
  <c r="J2784" i="5"/>
  <c r="J2785" i="5"/>
  <c r="J2786" i="5"/>
  <c r="J2787" i="5"/>
  <c r="J2788" i="5"/>
  <c r="J2789" i="5"/>
  <c r="J2790" i="5"/>
  <c r="J2791" i="5"/>
  <c r="J2792" i="5"/>
  <c r="J2793" i="5"/>
  <c r="J2794" i="5"/>
  <c r="J2795" i="5"/>
  <c r="J2796" i="5"/>
  <c r="J2797" i="5"/>
  <c r="J2798" i="5"/>
  <c r="J2799" i="5"/>
  <c r="J2800" i="5"/>
  <c r="J2801" i="5"/>
  <c r="J2802" i="5"/>
  <c r="J2803" i="5"/>
  <c r="J2804" i="5"/>
  <c r="J2805" i="5"/>
  <c r="J2806" i="5"/>
  <c r="J2807" i="5"/>
  <c r="J2808" i="5"/>
  <c r="J2809" i="5"/>
  <c r="J2810" i="5"/>
  <c r="J2811" i="5"/>
  <c r="J2812" i="5"/>
  <c r="J2813" i="5"/>
  <c r="J2814" i="5"/>
  <c r="J2815" i="5"/>
  <c r="J2816" i="5"/>
  <c r="J2817" i="5"/>
  <c r="J2818" i="5"/>
  <c r="J2819" i="5"/>
  <c r="J2820" i="5"/>
  <c r="J2821" i="5"/>
  <c r="J2822" i="5"/>
  <c r="AA2655" i="5"/>
  <c r="AA2656" i="5"/>
  <c r="AA2657" i="5"/>
  <c r="AA2658" i="5"/>
  <c r="AA2659" i="5"/>
  <c r="AA2660" i="5"/>
  <c r="AA2661" i="5"/>
  <c r="AA2662" i="5"/>
  <c r="AA2663" i="5"/>
  <c r="AA2664" i="5"/>
  <c r="AA2665" i="5"/>
  <c r="AA2666" i="5"/>
  <c r="AA2667" i="5"/>
  <c r="AA2668" i="5"/>
  <c r="AA2669" i="5"/>
  <c r="AA2670" i="5"/>
  <c r="AA2671" i="5"/>
  <c r="AA2672" i="5"/>
  <c r="AA2673" i="5"/>
  <c r="AA2674" i="5"/>
  <c r="AA2675" i="5"/>
  <c r="AA2676" i="5"/>
  <c r="AA2677" i="5"/>
  <c r="AA2678" i="5"/>
  <c r="AA2679" i="5"/>
  <c r="AA2680" i="5"/>
  <c r="AA2681" i="5"/>
  <c r="AA2682" i="5"/>
  <c r="AA2683" i="5"/>
  <c r="AA2684" i="5"/>
  <c r="AA2685" i="5"/>
  <c r="AA2686" i="5"/>
  <c r="AA2687" i="5"/>
  <c r="AA2688" i="5"/>
  <c r="AA2689" i="5"/>
  <c r="AA2690" i="5"/>
  <c r="AA2691" i="5"/>
  <c r="AA2692" i="5"/>
  <c r="AA2693" i="5"/>
  <c r="AA2694" i="5"/>
  <c r="AA2695" i="5"/>
  <c r="AA2696" i="5"/>
  <c r="AA2697" i="5"/>
  <c r="AA2698" i="5"/>
  <c r="AA2699" i="5"/>
  <c r="AA2700" i="5"/>
  <c r="AA2701" i="5"/>
  <c r="AA2702" i="5"/>
  <c r="AA2703" i="5"/>
  <c r="AA2704" i="5"/>
  <c r="AA2705" i="5"/>
  <c r="AA2706" i="5"/>
  <c r="AA2707" i="5"/>
  <c r="AA2708" i="5"/>
  <c r="AA2709" i="5"/>
  <c r="AA2710" i="5"/>
  <c r="AA2711" i="5"/>
  <c r="AA2712" i="5"/>
  <c r="AA2713" i="5"/>
  <c r="AA2714" i="5"/>
  <c r="AA2715" i="5"/>
  <c r="AA2716" i="5"/>
  <c r="AA2717" i="5"/>
  <c r="AA2718" i="5"/>
  <c r="AA2719" i="5"/>
  <c r="AA2720" i="5"/>
  <c r="AA2721" i="5"/>
  <c r="AA2722" i="5"/>
  <c r="AA2723" i="5"/>
  <c r="AA2724" i="5"/>
  <c r="AA2725" i="5"/>
  <c r="AA2726" i="5"/>
  <c r="AA2727" i="5"/>
  <c r="AA2728" i="5"/>
  <c r="AA2729" i="5"/>
  <c r="AA2730" i="5"/>
  <c r="AA2731" i="5"/>
  <c r="AA2732" i="5"/>
  <c r="AA2733" i="5"/>
  <c r="AA2734" i="5"/>
  <c r="AA2735" i="5"/>
  <c r="AA2736" i="5"/>
  <c r="AA2737" i="5"/>
  <c r="AA2738" i="5"/>
  <c r="AA2739" i="5"/>
  <c r="AA2740" i="5"/>
  <c r="AA2741" i="5"/>
  <c r="AA2742" i="5"/>
  <c r="AA2743" i="5"/>
  <c r="AA2744" i="5"/>
  <c r="AA2745" i="5"/>
  <c r="AA2746" i="5"/>
  <c r="AA2747" i="5"/>
  <c r="AA2748" i="5"/>
  <c r="AA2749" i="5"/>
  <c r="AA2750" i="5"/>
  <c r="AA2751" i="5"/>
  <c r="AA2752" i="5"/>
  <c r="AA2753" i="5"/>
  <c r="AA2754" i="5"/>
  <c r="AA2755" i="5"/>
  <c r="AA2756" i="5"/>
  <c r="AA2757" i="5"/>
  <c r="AA2758" i="5"/>
  <c r="AA2759" i="5"/>
  <c r="AA2760" i="5"/>
  <c r="AA2761" i="5"/>
  <c r="AA2762" i="5"/>
  <c r="AA2763" i="5"/>
  <c r="AA2764" i="5"/>
  <c r="AA2765" i="5"/>
  <c r="AA2766" i="5"/>
  <c r="AA2767" i="5"/>
  <c r="AA2768" i="5"/>
  <c r="AA2769" i="5"/>
  <c r="AA2770" i="5"/>
  <c r="AA2771" i="5"/>
  <c r="AA2772" i="5"/>
  <c r="AA2773" i="5"/>
  <c r="AA2774" i="5"/>
  <c r="AA2775" i="5"/>
  <c r="AA2776" i="5"/>
  <c r="AA2777" i="5"/>
  <c r="AA2778" i="5"/>
  <c r="AA2779" i="5"/>
  <c r="AA2780" i="5"/>
  <c r="AA2781" i="5"/>
  <c r="AA2782" i="5"/>
  <c r="AA2783" i="5"/>
  <c r="AA2784" i="5"/>
  <c r="AA2785" i="5"/>
  <c r="AA2786" i="5"/>
  <c r="AA2787" i="5"/>
  <c r="AA2788" i="5"/>
  <c r="AA2789" i="5"/>
  <c r="AA2790" i="5"/>
  <c r="AA2791" i="5"/>
  <c r="AA2792" i="5"/>
  <c r="AA2793" i="5"/>
  <c r="AA2794" i="5"/>
  <c r="AA2795" i="5"/>
  <c r="AA2796" i="5"/>
  <c r="AA2797" i="5"/>
  <c r="AA2798" i="5"/>
  <c r="AA2799" i="5"/>
  <c r="AA2800" i="5"/>
  <c r="AA2801" i="5"/>
  <c r="AA2802" i="5"/>
  <c r="AA2803" i="5"/>
  <c r="AA2804" i="5"/>
  <c r="AA2805" i="5"/>
  <c r="AA2806" i="5"/>
  <c r="AA2807" i="5"/>
  <c r="AA2808" i="5"/>
  <c r="AA2809" i="5"/>
  <c r="AA2810" i="5"/>
  <c r="AA2811" i="5"/>
  <c r="AA2812" i="5"/>
  <c r="AA2813" i="5"/>
  <c r="AA2814" i="5"/>
  <c r="AA2815" i="5"/>
  <c r="AA2816" i="5"/>
  <c r="AA2817" i="5"/>
  <c r="AA2818" i="5"/>
  <c r="AA2819" i="5"/>
  <c r="AA2820" i="5"/>
  <c r="AA2821" i="5"/>
  <c r="AA2822" i="5"/>
  <c r="AA2823" i="5"/>
  <c r="R2655" i="5"/>
  <c r="R2656" i="5"/>
  <c r="R2657" i="5"/>
  <c r="R2658" i="5"/>
  <c r="R2659" i="5"/>
  <c r="R2660" i="5"/>
  <c r="R2661" i="5"/>
  <c r="R2662" i="5"/>
  <c r="R2663" i="5"/>
  <c r="R2664" i="5"/>
  <c r="R2665" i="5"/>
  <c r="R2666" i="5"/>
  <c r="R2667" i="5"/>
  <c r="R2668" i="5"/>
  <c r="R2669" i="5"/>
  <c r="R2670" i="5"/>
  <c r="R2671" i="5"/>
  <c r="R2672" i="5"/>
  <c r="R2673" i="5"/>
  <c r="R2674" i="5"/>
  <c r="R2675" i="5"/>
  <c r="R2676" i="5"/>
  <c r="R2677" i="5"/>
  <c r="R2678" i="5"/>
  <c r="R2679" i="5"/>
  <c r="R2680" i="5"/>
  <c r="R2681" i="5"/>
  <c r="R2682" i="5"/>
  <c r="R2683" i="5"/>
  <c r="R2684" i="5"/>
  <c r="R2685" i="5"/>
  <c r="R2686" i="5"/>
  <c r="R2687" i="5"/>
  <c r="R2688" i="5"/>
  <c r="R2689" i="5"/>
  <c r="R2690" i="5"/>
  <c r="R2691" i="5"/>
  <c r="R2692" i="5"/>
  <c r="R2693" i="5"/>
  <c r="R2694" i="5"/>
  <c r="R2695" i="5"/>
  <c r="R2696" i="5"/>
  <c r="R2697" i="5"/>
  <c r="R2698" i="5"/>
  <c r="R2699" i="5"/>
  <c r="R2700" i="5"/>
  <c r="R2701" i="5"/>
  <c r="R2702" i="5"/>
  <c r="R2703" i="5"/>
  <c r="R2704" i="5"/>
  <c r="R2705" i="5"/>
  <c r="R2706" i="5"/>
  <c r="R2707" i="5"/>
  <c r="R2708" i="5"/>
  <c r="R2709" i="5"/>
  <c r="R2710" i="5"/>
  <c r="R2711" i="5"/>
  <c r="R2712" i="5"/>
  <c r="R2713" i="5"/>
  <c r="R2714" i="5"/>
  <c r="R2715" i="5"/>
  <c r="R2716" i="5"/>
  <c r="R2717" i="5"/>
  <c r="R2718" i="5"/>
  <c r="R2719" i="5"/>
  <c r="R2720" i="5"/>
  <c r="R2721" i="5"/>
  <c r="R2722" i="5"/>
  <c r="R2723" i="5"/>
  <c r="R2724" i="5"/>
  <c r="R2725" i="5"/>
  <c r="R2726" i="5"/>
  <c r="R2727" i="5"/>
  <c r="R2728" i="5"/>
  <c r="R2729" i="5"/>
  <c r="R2730" i="5"/>
  <c r="R2731" i="5"/>
  <c r="R2732" i="5"/>
  <c r="R2733" i="5"/>
  <c r="R2734" i="5"/>
  <c r="R2735" i="5"/>
  <c r="R2736" i="5"/>
  <c r="R2737" i="5"/>
  <c r="R2738" i="5"/>
  <c r="R2739" i="5"/>
  <c r="R2740" i="5"/>
  <c r="R2741" i="5"/>
  <c r="R2742" i="5"/>
  <c r="R2743" i="5"/>
  <c r="R2744" i="5"/>
  <c r="R2745" i="5"/>
  <c r="R2746" i="5"/>
  <c r="R2747" i="5"/>
  <c r="R2748" i="5"/>
  <c r="R2749" i="5"/>
  <c r="R2750" i="5"/>
  <c r="R2751" i="5"/>
  <c r="R2752" i="5"/>
  <c r="R2753" i="5"/>
  <c r="R2754" i="5"/>
  <c r="R2755" i="5"/>
  <c r="R2756" i="5"/>
  <c r="R2757" i="5"/>
  <c r="R2758" i="5"/>
  <c r="R2759" i="5"/>
  <c r="R2760" i="5"/>
  <c r="R2761" i="5"/>
  <c r="R2762" i="5"/>
  <c r="R2763" i="5"/>
  <c r="R2764" i="5"/>
  <c r="R2765" i="5"/>
  <c r="R2766" i="5"/>
  <c r="R2767" i="5"/>
  <c r="R2768" i="5"/>
  <c r="R2769" i="5"/>
  <c r="R2770" i="5"/>
  <c r="R2771" i="5"/>
  <c r="R2772" i="5"/>
  <c r="R2773" i="5"/>
  <c r="R2774" i="5"/>
  <c r="R2775" i="5"/>
  <c r="R2776" i="5"/>
  <c r="R2777" i="5"/>
  <c r="R2778" i="5"/>
  <c r="R2779" i="5"/>
  <c r="R2780" i="5"/>
  <c r="R2781" i="5"/>
  <c r="R2782" i="5"/>
  <c r="R2783" i="5"/>
  <c r="R2784" i="5"/>
  <c r="R2785" i="5"/>
  <c r="R2786" i="5"/>
  <c r="R2787" i="5"/>
  <c r="R2788" i="5"/>
  <c r="R2789" i="5"/>
  <c r="R2790" i="5"/>
  <c r="R2791" i="5"/>
  <c r="R2792" i="5"/>
  <c r="R2793" i="5"/>
  <c r="R2794" i="5"/>
  <c r="R2795" i="5"/>
  <c r="R2796" i="5"/>
  <c r="R2797" i="5"/>
  <c r="R2798" i="5"/>
  <c r="R2799" i="5"/>
  <c r="R2800" i="5"/>
  <c r="R2801" i="5"/>
  <c r="R2802" i="5"/>
  <c r="R2803" i="5"/>
  <c r="R2804" i="5"/>
  <c r="R2805" i="5"/>
  <c r="R2806" i="5"/>
  <c r="R2807" i="5"/>
  <c r="R2808" i="5"/>
  <c r="R2809" i="5"/>
  <c r="R2810" i="5"/>
  <c r="R2811" i="5"/>
  <c r="R2812" i="5"/>
  <c r="R2813" i="5"/>
  <c r="R2814" i="5"/>
  <c r="R2815" i="5"/>
  <c r="R2816" i="5"/>
  <c r="R2817" i="5"/>
  <c r="R2818" i="5"/>
  <c r="R2819" i="5"/>
  <c r="R2820" i="5"/>
  <c r="R2821" i="5"/>
  <c r="R2822" i="5"/>
  <c r="R2823" i="5"/>
  <c r="C6" i="149"/>
  <c r="A8" i="149" s="1"/>
  <c r="B2" i="149"/>
  <c r="A2" i="149"/>
  <c r="C2" i="149"/>
  <c r="B6" i="149" l="1"/>
  <c r="A7" i="149"/>
  <c r="A6" i="149"/>
  <c r="J4" i="175"/>
  <c r="J5" i="175"/>
  <c r="J6" i="175"/>
  <c r="J7" i="175"/>
  <c r="J3" i="175"/>
  <c r="J8" i="175" l="1"/>
  <c r="BF15" i="153"/>
  <c r="BE15" i="153"/>
  <c r="BD15" i="153"/>
  <c r="BC15" i="153"/>
  <c r="BB15" i="153"/>
  <c r="BF14" i="153"/>
  <c r="BE14" i="153"/>
  <c r="BD14" i="153"/>
  <c r="BC14" i="153"/>
  <c r="BB14" i="153"/>
  <c r="BF12" i="153"/>
  <c r="BE12" i="153"/>
  <c r="BD12" i="153"/>
  <c r="BC12" i="153"/>
  <c r="BB12" i="153"/>
  <c r="BF11" i="153"/>
  <c r="BE11" i="153"/>
  <c r="BD11" i="153"/>
  <c r="BC11" i="153"/>
  <c r="BB11" i="153"/>
  <c r="BF9" i="153"/>
  <c r="BE9" i="153"/>
  <c r="BD9" i="153"/>
  <c r="BC9" i="153"/>
  <c r="BB9" i="153"/>
  <c r="BF8" i="153"/>
  <c r="BE8" i="153"/>
  <c r="BD8" i="153"/>
  <c r="BC8" i="153"/>
  <c r="BB8" i="153"/>
  <c r="BF6" i="153"/>
  <c r="BE6" i="153"/>
  <c r="BD6" i="153"/>
  <c r="BC6" i="153"/>
  <c r="BB6" i="153"/>
  <c r="BF5" i="153"/>
  <c r="BE5" i="153"/>
  <c r="BD5" i="153"/>
  <c r="BC5" i="153"/>
  <c r="BB5" i="153"/>
  <c r="BF3" i="153"/>
  <c r="BE3" i="153"/>
  <c r="BD3" i="153"/>
  <c r="BC3" i="153"/>
  <c r="BB3" i="153"/>
  <c r="BF2" i="153"/>
  <c r="BE2" i="153"/>
  <c r="BD2" i="153"/>
  <c r="BC2" i="153"/>
  <c r="BB2" i="153"/>
  <c r="BB17" i="153" l="1"/>
  <c r="BE18" i="153"/>
  <c r="BE17" i="153"/>
  <c r="BF17" i="153"/>
  <c r="BC17" i="153"/>
  <c r="BC7" i="153"/>
  <c r="BE10" i="153"/>
  <c r="BD17" i="153"/>
  <c r="BC18" i="153"/>
  <c r="BC10" i="153"/>
  <c r="BG11" i="153"/>
  <c r="BE13" i="153"/>
  <c r="BC16" i="153"/>
  <c r="BF4" i="153"/>
  <c r="BD7" i="153"/>
  <c r="BF10" i="153"/>
  <c r="BF16" i="153"/>
  <c r="BF7" i="153"/>
  <c r="BF13" i="153"/>
  <c r="BG5" i="153"/>
  <c r="BE7" i="153"/>
  <c r="BE16" i="153"/>
  <c r="BD10" i="153"/>
  <c r="BD16" i="153"/>
  <c r="BD4" i="153"/>
  <c r="BD13" i="153"/>
  <c r="BG3" i="153"/>
  <c r="BG8" i="153"/>
  <c r="BC13" i="153"/>
  <c r="BG14" i="153"/>
  <c r="BG9" i="153"/>
  <c r="BG15" i="153"/>
  <c r="BB7" i="153"/>
  <c r="BB13" i="153"/>
  <c r="BB10" i="153"/>
  <c r="BB16" i="153"/>
  <c r="BB18" i="153"/>
  <c r="BF18" i="153"/>
  <c r="BB4" i="153"/>
  <c r="BG2" i="153"/>
  <c r="BC4" i="153"/>
  <c r="BG6" i="153"/>
  <c r="BG12" i="153"/>
  <c r="BD18" i="153"/>
  <c r="BE4" i="153"/>
  <c r="H7" i="175"/>
  <c r="H6" i="175"/>
  <c r="H5" i="175"/>
  <c r="H4" i="175"/>
  <c r="H3" i="175"/>
  <c r="F7" i="175"/>
  <c r="F6" i="175"/>
  <c r="F5" i="175"/>
  <c r="F4" i="175"/>
  <c r="F3" i="175"/>
  <c r="BE19" i="153" l="1"/>
  <c r="BF19" i="153"/>
  <c r="BG7" i="153"/>
  <c r="BD19" i="153"/>
  <c r="BG17" i="153"/>
  <c r="BC19" i="153"/>
  <c r="BG13" i="153"/>
  <c r="BG16" i="153"/>
  <c r="BG10" i="153"/>
  <c r="BG4" i="153"/>
  <c r="BB19" i="153"/>
  <c r="BG18" i="153"/>
  <c r="H8" i="175"/>
  <c r="F8" i="175"/>
  <c r="J2615" i="5"/>
  <c r="J2616" i="5"/>
  <c r="J2617" i="5"/>
  <c r="J2618" i="5"/>
  <c r="J2619" i="5"/>
  <c r="J2620" i="5"/>
  <c r="J2621" i="5"/>
  <c r="J2622" i="5"/>
  <c r="J2623" i="5"/>
  <c r="J2624" i="5"/>
  <c r="J2625" i="5"/>
  <c r="J2626" i="5"/>
  <c r="J2627" i="5"/>
  <c r="J2628" i="5"/>
  <c r="J2629" i="5"/>
  <c r="J2630" i="5"/>
  <c r="J2631" i="5"/>
  <c r="J2632" i="5"/>
  <c r="J2633" i="5"/>
  <c r="J2634" i="5"/>
  <c r="J2635" i="5"/>
  <c r="J2636" i="5"/>
  <c r="J2637" i="5"/>
  <c r="J2638" i="5"/>
  <c r="J2639" i="5"/>
  <c r="J2640" i="5"/>
  <c r="J2641" i="5"/>
  <c r="J2642" i="5"/>
  <c r="J2643" i="5"/>
  <c r="J2644" i="5"/>
  <c r="J2645" i="5"/>
  <c r="J2646" i="5"/>
  <c r="J2647" i="5"/>
  <c r="J2648" i="5"/>
  <c r="J2649" i="5"/>
  <c r="J2650" i="5"/>
  <c r="J2651" i="5"/>
  <c r="J2652" i="5"/>
  <c r="J2653" i="5"/>
  <c r="J2654" i="5"/>
  <c r="AA2615" i="5"/>
  <c r="AA2616" i="5"/>
  <c r="AA2617" i="5"/>
  <c r="AA2618" i="5"/>
  <c r="AA2619" i="5"/>
  <c r="AA2620" i="5"/>
  <c r="AA2621" i="5"/>
  <c r="AA2622" i="5"/>
  <c r="AA2623" i="5"/>
  <c r="AA2624" i="5"/>
  <c r="AA2625" i="5"/>
  <c r="AA2626" i="5"/>
  <c r="AA2627" i="5"/>
  <c r="AA2628" i="5"/>
  <c r="AA2629" i="5"/>
  <c r="AA2630" i="5"/>
  <c r="AA2631" i="5"/>
  <c r="AA2632" i="5"/>
  <c r="AA2633" i="5"/>
  <c r="AA2634" i="5"/>
  <c r="AA2635" i="5"/>
  <c r="AA2636" i="5"/>
  <c r="AA2637" i="5"/>
  <c r="AA2638" i="5"/>
  <c r="AA2639" i="5"/>
  <c r="AA2640" i="5"/>
  <c r="AA2641" i="5"/>
  <c r="AA2642" i="5"/>
  <c r="AA2643" i="5"/>
  <c r="AA2644" i="5"/>
  <c r="AA2645" i="5"/>
  <c r="AA2646" i="5"/>
  <c r="AA2647" i="5"/>
  <c r="AA2648" i="5"/>
  <c r="AA2649" i="5"/>
  <c r="AA2650" i="5"/>
  <c r="AA2651" i="5"/>
  <c r="AA2652" i="5"/>
  <c r="AA2653" i="5"/>
  <c r="AA2654" i="5"/>
  <c r="R2615" i="5"/>
  <c r="R2616" i="5"/>
  <c r="R2617" i="5"/>
  <c r="R2618" i="5"/>
  <c r="R2619" i="5"/>
  <c r="R2620" i="5"/>
  <c r="R2621" i="5"/>
  <c r="R2622" i="5"/>
  <c r="R2623" i="5"/>
  <c r="R2624" i="5"/>
  <c r="R2625" i="5"/>
  <c r="R2626" i="5"/>
  <c r="R2627" i="5"/>
  <c r="R2628" i="5"/>
  <c r="R2629" i="5"/>
  <c r="R2630" i="5"/>
  <c r="R2631" i="5"/>
  <c r="R2632" i="5"/>
  <c r="R2633" i="5"/>
  <c r="R2634" i="5"/>
  <c r="R2635" i="5"/>
  <c r="R2636" i="5"/>
  <c r="R2637" i="5"/>
  <c r="R2638" i="5"/>
  <c r="R2639" i="5"/>
  <c r="R2640" i="5"/>
  <c r="R2641" i="5"/>
  <c r="R2642" i="5"/>
  <c r="R2643" i="5"/>
  <c r="R2644" i="5"/>
  <c r="R2645" i="5"/>
  <c r="R2646" i="5"/>
  <c r="R2647" i="5"/>
  <c r="R2648" i="5"/>
  <c r="R2649" i="5"/>
  <c r="R2650" i="5"/>
  <c r="R2651" i="5"/>
  <c r="R2652" i="5"/>
  <c r="R2653" i="5"/>
  <c r="R2654" i="5"/>
  <c r="BG19" i="153" l="1"/>
  <c r="FX7" i="175"/>
  <c r="FW7" i="175"/>
  <c r="FU7" i="175"/>
  <c r="FT7" i="175"/>
  <c r="FR7" i="175"/>
  <c r="FQ7" i="175"/>
  <c r="FO7" i="175"/>
  <c r="FN7" i="175"/>
  <c r="FL7" i="175"/>
  <c r="FK7" i="175"/>
  <c r="FX6" i="175"/>
  <c r="FW6" i="175"/>
  <c r="FU6" i="175"/>
  <c r="FT6" i="175"/>
  <c r="FR6" i="175"/>
  <c r="FQ6" i="175"/>
  <c r="FO6" i="175"/>
  <c r="FN6" i="175"/>
  <c r="FL6" i="175"/>
  <c r="FK6" i="175"/>
  <c r="FX5" i="175"/>
  <c r="FW5" i="175"/>
  <c r="FU5" i="175"/>
  <c r="FT5" i="175"/>
  <c r="FR5" i="175"/>
  <c r="FQ5" i="175"/>
  <c r="FO5" i="175"/>
  <c r="FN5" i="175"/>
  <c r="FL5" i="175"/>
  <c r="FK5" i="175"/>
  <c r="FX4" i="175"/>
  <c r="FW4" i="175"/>
  <c r="FU4" i="175"/>
  <c r="FT4" i="175"/>
  <c r="FR4" i="175"/>
  <c r="FQ4" i="175"/>
  <c r="FO4" i="175"/>
  <c r="FN4" i="175"/>
  <c r="FL4" i="175"/>
  <c r="FK4" i="175"/>
  <c r="FX3" i="175"/>
  <c r="FW3" i="175"/>
  <c r="FU3" i="175"/>
  <c r="FT3" i="175"/>
  <c r="FR3" i="175"/>
  <c r="FQ3" i="175"/>
  <c r="FO3" i="175"/>
  <c r="FN3" i="175"/>
  <c r="FL3" i="175"/>
  <c r="FK3" i="175"/>
  <c r="FU8" i="175" l="1"/>
  <c r="FT8" i="175"/>
  <c r="FQ8" i="175"/>
  <c r="FW8" i="175"/>
  <c r="FR8" i="175"/>
  <c r="FX8" i="175"/>
  <c r="FS6" i="175"/>
  <c r="FY6" i="175"/>
  <c r="FP7" i="175"/>
  <c r="FP6" i="175"/>
  <c r="FV6" i="175"/>
  <c r="FM7" i="175"/>
  <c r="FS4" i="175"/>
  <c r="FM4" i="175"/>
  <c r="FY4" i="175"/>
  <c r="FP5" i="175"/>
  <c r="FM6" i="175"/>
  <c r="FV4" i="175"/>
  <c r="FM5" i="175"/>
  <c r="FS5" i="175"/>
  <c r="FY5" i="175"/>
  <c r="FY7" i="175"/>
  <c r="FV5" i="175"/>
  <c r="FV7" i="175"/>
  <c r="FS3" i="175"/>
  <c r="FS7" i="175"/>
  <c r="FN8" i="175"/>
  <c r="FP4" i="175"/>
  <c r="FP3" i="175"/>
  <c r="FL8" i="175"/>
  <c r="FZ6" i="175"/>
  <c r="FZ7" i="175"/>
  <c r="FZ5" i="175"/>
  <c r="FK8" i="175"/>
  <c r="FM8" i="175" s="1"/>
  <c r="FZ4" i="175"/>
  <c r="FM3" i="175"/>
  <c r="FY3" i="175"/>
  <c r="FV3" i="175"/>
  <c r="FZ3" i="175"/>
  <c r="FO8" i="175"/>
  <c r="FH7" i="175"/>
  <c r="FG7" i="175"/>
  <c r="FE7" i="175"/>
  <c r="FD7" i="175"/>
  <c r="FB7" i="175"/>
  <c r="FA7" i="175"/>
  <c r="EY7" i="175"/>
  <c r="EX7" i="175"/>
  <c r="EV7" i="175"/>
  <c r="EU7" i="175"/>
  <c r="FH6" i="175"/>
  <c r="FG6" i="175"/>
  <c r="FE6" i="175"/>
  <c r="FD6" i="175"/>
  <c r="FB6" i="175"/>
  <c r="FA6" i="175"/>
  <c r="EY6" i="175"/>
  <c r="EX6" i="175"/>
  <c r="EV6" i="175"/>
  <c r="EU6" i="175"/>
  <c r="FH5" i="175"/>
  <c r="FG5" i="175"/>
  <c r="FE5" i="175"/>
  <c r="FD5" i="175"/>
  <c r="FB5" i="175"/>
  <c r="FA5" i="175"/>
  <c r="EY5" i="175"/>
  <c r="EX5" i="175"/>
  <c r="EV5" i="175"/>
  <c r="EU5" i="175"/>
  <c r="FH4" i="175"/>
  <c r="FG4" i="175"/>
  <c r="FE4" i="175"/>
  <c r="FD4" i="175"/>
  <c r="FB4" i="175"/>
  <c r="FA4" i="175"/>
  <c r="EY4" i="175"/>
  <c r="EX4" i="175"/>
  <c r="EV4" i="175"/>
  <c r="EU4" i="175"/>
  <c r="FH3" i="175"/>
  <c r="FH8" i="175" s="1"/>
  <c r="FG3" i="175"/>
  <c r="FE3" i="175"/>
  <c r="FD3" i="175"/>
  <c r="FB3" i="175"/>
  <c r="FB8" i="175" s="1"/>
  <c r="FA3" i="175"/>
  <c r="EY3" i="175"/>
  <c r="EX3" i="175"/>
  <c r="EV3" i="175"/>
  <c r="EV8" i="175" s="1"/>
  <c r="EU3" i="175"/>
  <c r="FU9" i="175" l="1"/>
  <c r="FV8" i="175"/>
  <c r="FR9" i="175"/>
  <c r="FX9" i="175"/>
  <c r="FS8" i="175"/>
  <c r="FO9" i="175"/>
  <c r="FY8" i="175"/>
  <c r="FL9" i="175"/>
  <c r="FZ8" i="175"/>
  <c r="FP8" i="175"/>
  <c r="FZ9" i="175"/>
  <c r="FG8" i="175"/>
  <c r="FI8" i="175" s="1"/>
  <c r="FE8" i="175"/>
  <c r="FD8" i="175"/>
  <c r="FI6" i="175"/>
  <c r="FC3" i="175"/>
  <c r="EW5" i="175"/>
  <c r="FC5" i="175"/>
  <c r="FI5" i="175"/>
  <c r="EW4" i="175"/>
  <c r="EW6" i="175"/>
  <c r="FC7" i="175"/>
  <c r="FI7" i="175"/>
  <c r="FI4" i="175"/>
  <c r="FF5" i="175"/>
  <c r="FF7" i="175"/>
  <c r="FC4" i="175"/>
  <c r="EZ5" i="175"/>
  <c r="EZ7" i="175"/>
  <c r="EY8" i="175"/>
  <c r="EZ6" i="175"/>
  <c r="FH9" i="175"/>
  <c r="FF4" i="175"/>
  <c r="FF6" i="175"/>
  <c r="FC6" i="175"/>
  <c r="FA8" i="175"/>
  <c r="FC8" i="175" s="1"/>
  <c r="EX8" i="175"/>
  <c r="EZ4" i="175"/>
  <c r="FJ7" i="175"/>
  <c r="EU8" i="175"/>
  <c r="EW8" i="175" s="1"/>
  <c r="FJ4" i="175"/>
  <c r="EW7" i="175"/>
  <c r="FJ5" i="175"/>
  <c r="FJ6" i="175"/>
  <c r="EW3" i="175"/>
  <c r="FI3" i="175"/>
  <c r="EZ3" i="175"/>
  <c r="FF3" i="175"/>
  <c r="FJ3" i="175"/>
  <c r="ER7" i="175"/>
  <c r="EQ7" i="175"/>
  <c r="EO7" i="175"/>
  <c r="EN7" i="175"/>
  <c r="EL7" i="175"/>
  <c r="EK7" i="175"/>
  <c r="EI7" i="175"/>
  <c r="EH7" i="175"/>
  <c r="EF7" i="175"/>
  <c r="EE7" i="175"/>
  <c r="ER6" i="175"/>
  <c r="EQ6" i="175"/>
  <c r="EO6" i="175"/>
  <c r="EN6" i="175"/>
  <c r="EL6" i="175"/>
  <c r="EK6" i="175"/>
  <c r="EI6" i="175"/>
  <c r="EH6" i="175"/>
  <c r="EF6" i="175"/>
  <c r="EE6" i="175"/>
  <c r="ER5" i="175"/>
  <c r="EQ5" i="175"/>
  <c r="EO5" i="175"/>
  <c r="EN5" i="175"/>
  <c r="EL5" i="175"/>
  <c r="EK5" i="175"/>
  <c r="EI5" i="175"/>
  <c r="EH5" i="175"/>
  <c r="EF5" i="175"/>
  <c r="EE5" i="175"/>
  <c r="ER4" i="175"/>
  <c r="EQ4" i="175"/>
  <c r="EO4" i="175"/>
  <c r="EN4" i="175"/>
  <c r="EL4" i="175"/>
  <c r="EK4" i="175"/>
  <c r="EI4" i="175"/>
  <c r="EH4" i="175"/>
  <c r="EF4" i="175"/>
  <c r="EE4" i="175"/>
  <c r="ER3" i="175"/>
  <c r="EQ3" i="175"/>
  <c r="EO3" i="175"/>
  <c r="EN3" i="175"/>
  <c r="EL3" i="175"/>
  <c r="EK3" i="175"/>
  <c r="EI3" i="175"/>
  <c r="EH3" i="175"/>
  <c r="EF3" i="175"/>
  <c r="EE3" i="175"/>
  <c r="FF8" i="175" l="1"/>
  <c r="FE9" i="175"/>
  <c r="EV9" i="175"/>
  <c r="EZ8" i="175"/>
  <c r="FB9" i="175"/>
  <c r="FJ9" i="175"/>
  <c r="FJ8" i="175"/>
  <c r="EY9" i="175"/>
  <c r="EK8" i="175"/>
  <c r="EQ8" i="175"/>
  <c r="EF8" i="175"/>
  <c r="EL8" i="175"/>
  <c r="ER8" i="175"/>
  <c r="EE8" i="175"/>
  <c r="EN8" i="175"/>
  <c r="EO8" i="175"/>
  <c r="EH8" i="175"/>
  <c r="EP4" i="175"/>
  <c r="EG5" i="175"/>
  <c r="EM5" i="175"/>
  <c r="EP6" i="175"/>
  <c r="EJ3" i="175"/>
  <c r="EG4" i="175"/>
  <c r="EM4" i="175"/>
  <c r="ES4" i="175"/>
  <c r="EP5" i="175"/>
  <c r="EG6" i="175"/>
  <c r="EM6" i="175"/>
  <c r="ES6" i="175"/>
  <c r="EP7" i="175"/>
  <c r="ES7" i="175"/>
  <c r="ES5" i="175"/>
  <c r="EM3" i="175"/>
  <c r="EM7" i="175"/>
  <c r="EJ4" i="175"/>
  <c r="EJ7" i="175"/>
  <c r="EJ6" i="175"/>
  <c r="EJ5" i="175"/>
  <c r="ET7" i="175"/>
  <c r="ET6" i="175"/>
  <c r="ET5" i="175"/>
  <c r="ET4" i="175"/>
  <c r="EG7" i="175"/>
  <c r="EG3" i="175"/>
  <c r="ES3" i="175"/>
  <c r="EP3" i="175"/>
  <c r="ET3" i="175"/>
  <c r="EI8" i="175"/>
  <c r="ER9" i="175" l="1"/>
  <c r="EF9" i="175"/>
  <c r="EL9" i="175"/>
  <c r="ES8" i="175"/>
  <c r="EG8" i="175"/>
  <c r="EM8" i="175"/>
  <c r="EO9" i="175"/>
  <c r="EP8" i="175"/>
  <c r="EI9" i="175"/>
  <c r="ET8" i="175"/>
  <c r="ET9" i="175"/>
  <c r="EJ8" i="175"/>
  <c r="R2519" i="5" l="1"/>
  <c r="R2520" i="5"/>
  <c r="R2521" i="5"/>
  <c r="R2522" i="5"/>
  <c r="R2523" i="5"/>
  <c r="R2524" i="5"/>
  <c r="R2525" i="5"/>
  <c r="R2526" i="5"/>
  <c r="R2527" i="5"/>
  <c r="R2528" i="5"/>
  <c r="R2529" i="5"/>
  <c r="R2530" i="5"/>
  <c r="R2531" i="5"/>
  <c r="R2532" i="5"/>
  <c r="R2533" i="5"/>
  <c r="R2534" i="5"/>
  <c r="R2535" i="5"/>
  <c r="R2536" i="5"/>
  <c r="R2537" i="5"/>
  <c r="R2538" i="5"/>
  <c r="R2539" i="5"/>
  <c r="R2540" i="5"/>
  <c r="R2541" i="5"/>
  <c r="R2542" i="5"/>
  <c r="R2543" i="5"/>
  <c r="R2544" i="5"/>
  <c r="R2545" i="5"/>
  <c r="R2546" i="5"/>
  <c r="R2547" i="5"/>
  <c r="R2548" i="5"/>
  <c r="R2549" i="5"/>
  <c r="R2550" i="5"/>
  <c r="R2551" i="5"/>
  <c r="R2552" i="5"/>
  <c r="R2553" i="5"/>
  <c r="R2554" i="5"/>
  <c r="R2555" i="5"/>
  <c r="R2556" i="5"/>
  <c r="R2557" i="5"/>
  <c r="R2558" i="5"/>
  <c r="R2559" i="5"/>
  <c r="R2560" i="5"/>
  <c r="R2561" i="5"/>
  <c r="R2562" i="5"/>
  <c r="R2563" i="5"/>
  <c r="R2564" i="5"/>
  <c r="R2565" i="5"/>
  <c r="R2566" i="5"/>
  <c r="R2567" i="5"/>
  <c r="R2568" i="5"/>
  <c r="R2569" i="5"/>
  <c r="R2570" i="5"/>
  <c r="R2571" i="5"/>
  <c r="R2572" i="5"/>
  <c r="R2573" i="5"/>
  <c r="R2574" i="5"/>
  <c r="R2575" i="5"/>
  <c r="R2576" i="5"/>
  <c r="R2577" i="5"/>
  <c r="R2578" i="5"/>
  <c r="R2579" i="5"/>
  <c r="R2580" i="5"/>
  <c r="R2581" i="5"/>
  <c r="R2582" i="5"/>
  <c r="R2583" i="5"/>
  <c r="R2584" i="5"/>
  <c r="R2585" i="5"/>
  <c r="R2586" i="5"/>
  <c r="R2587" i="5"/>
  <c r="R2588" i="5"/>
  <c r="R2589" i="5"/>
  <c r="R2590" i="5"/>
  <c r="R2591" i="5"/>
  <c r="R2592" i="5"/>
  <c r="R2593" i="5"/>
  <c r="R2594" i="5"/>
  <c r="R2595" i="5"/>
  <c r="R2596" i="5"/>
  <c r="R2597" i="5"/>
  <c r="R2598" i="5"/>
  <c r="R2599" i="5"/>
  <c r="R2600" i="5"/>
  <c r="R2601" i="5"/>
  <c r="R2602" i="5"/>
  <c r="R2603" i="5"/>
  <c r="R2604" i="5"/>
  <c r="R2605" i="5"/>
  <c r="R2606" i="5"/>
  <c r="R2607" i="5"/>
  <c r="R2608" i="5"/>
  <c r="R2609" i="5"/>
  <c r="R2610" i="5"/>
  <c r="R2611" i="5"/>
  <c r="R2612" i="5"/>
  <c r="R2613" i="5"/>
  <c r="R2614" i="5"/>
  <c r="J2518" i="5"/>
  <c r="J2519" i="5"/>
  <c r="J2520" i="5"/>
  <c r="J2521" i="5"/>
  <c r="J2522" i="5"/>
  <c r="J2523" i="5"/>
  <c r="J2524" i="5"/>
  <c r="J2525" i="5"/>
  <c r="J2526" i="5"/>
  <c r="J2527" i="5"/>
  <c r="J2528" i="5"/>
  <c r="J2529" i="5"/>
  <c r="J2530" i="5"/>
  <c r="J2531" i="5"/>
  <c r="J2532" i="5"/>
  <c r="J2533" i="5"/>
  <c r="J2534" i="5"/>
  <c r="J2535" i="5"/>
  <c r="J2536" i="5"/>
  <c r="J2537" i="5"/>
  <c r="J2538" i="5"/>
  <c r="J2539" i="5"/>
  <c r="J2540" i="5"/>
  <c r="J2541" i="5"/>
  <c r="J2542" i="5"/>
  <c r="J2543" i="5"/>
  <c r="J2544" i="5"/>
  <c r="J2545" i="5"/>
  <c r="J2546" i="5"/>
  <c r="J2547" i="5"/>
  <c r="J2548" i="5"/>
  <c r="J2549" i="5"/>
  <c r="J2550" i="5"/>
  <c r="J2551" i="5"/>
  <c r="J2552" i="5"/>
  <c r="J2553" i="5"/>
  <c r="J2554" i="5"/>
  <c r="J2555" i="5"/>
  <c r="J2556" i="5"/>
  <c r="J2557" i="5"/>
  <c r="J2558" i="5"/>
  <c r="J2559" i="5"/>
  <c r="J2560" i="5"/>
  <c r="J2561" i="5"/>
  <c r="J2562" i="5"/>
  <c r="J2563" i="5"/>
  <c r="J2564" i="5"/>
  <c r="J2565" i="5"/>
  <c r="J2566" i="5"/>
  <c r="J2567" i="5"/>
  <c r="J2568" i="5"/>
  <c r="J2569" i="5"/>
  <c r="J2570" i="5"/>
  <c r="J2571" i="5"/>
  <c r="J2572" i="5"/>
  <c r="J2573" i="5"/>
  <c r="J2574" i="5"/>
  <c r="J2575" i="5"/>
  <c r="J2576" i="5"/>
  <c r="J2577" i="5"/>
  <c r="J2578" i="5"/>
  <c r="J2579" i="5"/>
  <c r="J2580" i="5"/>
  <c r="J2581" i="5"/>
  <c r="J2582" i="5"/>
  <c r="J2583" i="5"/>
  <c r="J2584" i="5"/>
  <c r="J2585" i="5"/>
  <c r="J2586" i="5"/>
  <c r="J2587" i="5"/>
  <c r="J2588" i="5"/>
  <c r="J2589" i="5"/>
  <c r="J2590" i="5"/>
  <c r="J2591" i="5"/>
  <c r="J2592" i="5"/>
  <c r="J2593" i="5"/>
  <c r="J2594" i="5"/>
  <c r="J2595" i="5"/>
  <c r="J2596" i="5"/>
  <c r="J2597" i="5"/>
  <c r="J2598" i="5"/>
  <c r="J2599" i="5"/>
  <c r="J2600" i="5"/>
  <c r="J2601" i="5"/>
  <c r="J2602" i="5"/>
  <c r="J2603" i="5"/>
  <c r="J2604" i="5"/>
  <c r="J2605" i="5"/>
  <c r="J2606" i="5"/>
  <c r="J2607" i="5"/>
  <c r="J2608" i="5"/>
  <c r="J2609" i="5"/>
  <c r="J2610" i="5"/>
  <c r="J2611" i="5"/>
  <c r="J2612" i="5"/>
  <c r="J2613" i="5"/>
  <c r="J2614" i="5"/>
  <c r="AA2519" i="5"/>
  <c r="AA2520" i="5"/>
  <c r="AA2521" i="5"/>
  <c r="AA2522" i="5"/>
  <c r="AA2523" i="5"/>
  <c r="AA2524" i="5"/>
  <c r="AA2525" i="5"/>
  <c r="AA2526" i="5"/>
  <c r="AA2527" i="5"/>
  <c r="AA2528" i="5"/>
  <c r="AA2529" i="5"/>
  <c r="AA2530" i="5"/>
  <c r="AA2531" i="5"/>
  <c r="AA2532" i="5"/>
  <c r="AA2533" i="5"/>
  <c r="AA2534" i="5"/>
  <c r="AA2535" i="5"/>
  <c r="AA2536" i="5"/>
  <c r="AA2537" i="5"/>
  <c r="AA2538" i="5"/>
  <c r="AA2539" i="5"/>
  <c r="AA2540" i="5"/>
  <c r="AA2541" i="5"/>
  <c r="AA2542" i="5"/>
  <c r="AA2543" i="5"/>
  <c r="AA2544" i="5"/>
  <c r="AA2545" i="5"/>
  <c r="AA2546" i="5"/>
  <c r="AA2547" i="5"/>
  <c r="AA2548" i="5"/>
  <c r="AA2549" i="5"/>
  <c r="AA2550" i="5"/>
  <c r="AA2551" i="5"/>
  <c r="AA2552" i="5"/>
  <c r="AA2553" i="5"/>
  <c r="AA2554" i="5"/>
  <c r="AA2555" i="5"/>
  <c r="AA2556" i="5"/>
  <c r="AA2557" i="5"/>
  <c r="AA2558" i="5"/>
  <c r="AA2559" i="5"/>
  <c r="AA2560" i="5"/>
  <c r="AA2561" i="5"/>
  <c r="AA2562" i="5"/>
  <c r="AA2563" i="5"/>
  <c r="AA2564" i="5"/>
  <c r="AA2565" i="5"/>
  <c r="AA2566" i="5"/>
  <c r="AA2567" i="5"/>
  <c r="AA2568" i="5"/>
  <c r="AA2569" i="5"/>
  <c r="AA2570" i="5"/>
  <c r="AA2571" i="5"/>
  <c r="AA2572" i="5"/>
  <c r="AA2573" i="5"/>
  <c r="AA2574" i="5"/>
  <c r="AA2575" i="5"/>
  <c r="AA2576" i="5"/>
  <c r="AA2577" i="5"/>
  <c r="AA2578" i="5"/>
  <c r="AA2579" i="5"/>
  <c r="AA2580" i="5"/>
  <c r="AA2581" i="5"/>
  <c r="AA2582" i="5"/>
  <c r="AA2583" i="5"/>
  <c r="AA2584" i="5"/>
  <c r="AA2585" i="5"/>
  <c r="AA2586" i="5"/>
  <c r="AA2587" i="5"/>
  <c r="AA2588" i="5"/>
  <c r="AA2589" i="5"/>
  <c r="AA2590" i="5"/>
  <c r="AA2591" i="5"/>
  <c r="AA2592" i="5"/>
  <c r="AA2593" i="5"/>
  <c r="AA2594" i="5"/>
  <c r="AA2595" i="5"/>
  <c r="AA2596" i="5"/>
  <c r="AA2597" i="5"/>
  <c r="AA2598" i="5"/>
  <c r="AA2599" i="5"/>
  <c r="AA2600" i="5"/>
  <c r="AA2601" i="5"/>
  <c r="AA2602" i="5"/>
  <c r="AA2603" i="5"/>
  <c r="AA2604" i="5"/>
  <c r="AA2605" i="5"/>
  <c r="AA2606" i="5"/>
  <c r="AA2607" i="5"/>
  <c r="AA2608" i="5"/>
  <c r="AA2609" i="5"/>
  <c r="AA2610" i="5"/>
  <c r="AA2611" i="5"/>
  <c r="AA2612" i="5"/>
  <c r="AA2613" i="5"/>
  <c r="AA2614" i="5"/>
  <c r="AA2515" i="5"/>
  <c r="AA2516" i="5"/>
  <c r="AA2517" i="5"/>
  <c r="AA2518" i="5"/>
  <c r="R2518" i="5"/>
  <c r="J2515" i="5"/>
  <c r="J2516" i="5"/>
  <c r="J2517" i="5"/>
  <c r="R2515" i="5"/>
  <c r="R2516" i="5"/>
  <c r="R2517" i="5"/>
  <c r="R2429" i="5" l="1"/>
  <c r="J2429" i="5"/>
  <c r="AA2427" i="5"/>
  <c r="J2427" i="5"/>
  <c r="AC2" i="5" l="1"/>
  <c r="EB7" i="175" l="1"/>
  <c r="EA7" i="175"/>
  <c r="DY7" i="175"/>
  <c r="DX7" i="175"/>
  <c r="DV7" i="175"/>
  <c r="DU7" i="175"/>
  <c r="DS7" i="175"/>
  <c r="DR7" i="175"/>
  <c r="DP7" i="175"/>
  <c r="DO7" i="175"/>
  <c r="EB6" i="175"/>
  <c r="EA6" i="175"/>
  <c r="DY6" i="175"/>
  <c r="DX6" i="175"/>
  <c r="DV6" i="175"/>
  <c r="DU6" i="175"/>
  <c r="DS6" i="175"/>
  <c r="DR6" i="175"/>
  <c r="DP6" i="175"/>
  <c r="DO6" i="175"/>
  <c r="EB5" i="175"/>
  <c r="EA5" i="175"/>
  <c r="DY5" i="175"/>
  <c r="DX5" i="175"/>
  <c r="DV5" i="175"/>
  <c r="DU5" i="175"/>
  <c r="DS5" i="175"/>
  <c r="DR5" i="175"/>
  <c r="DP5" i="175"/>
  <c r="DO5" i="175"/>
  <c r="EB4" i="175"/>
  <c r="EA4" i="175"/>
  <c r="DY4" i="175"/>
  <c r="DX4" i="175"/>
  <c r="DV4" i="175"/>
  <c r="DU4" i="175"/>
  <c r="DS4" i="175"/>
  <c r="DR4" i="175"/>
  <c r="DP4" i="175"/>
  <c r="DO4" i="175"/>
  <c r="EB3" i="175"/>
  <c r="EA3" i="175"/>
  <c r="DY3" i="175"/>
  <c r="DX3" i="175"/>
  <c r="DV3" i="175"/>
  <c r="DU3" i="175"/>
  <c r="DS3" i="175"/>
  <c r="DR3" i="175"/>
  <c r="DP3" i="175"/>
  <c r="DO3" i="175"/>
  <c r="B97" i="150"/>
  <c r="C97" i="150"/>
  <c r="D97" i="150"/>
  <c r="E97" i="150"/>
  <c r="F97" i="150"/>
  <c r="G97" i="150"/>
  <c r="H97" i="150"/>
  <c r="I97" i="150"/>
  <c r="B98" i="150"/>
  <c r="C98" i="150"/>
  <c r="D98" i="150"/>
  <c r="E98" i="150"/>
  <c r="F98" i="150"/>
  <c r="G98" i="150"/>
  <c r="H98" i="150"/>
  <c r="I98" i="150"/>
  <c r="B99" i="150"/>
  <c r="C99" i="150"/>
  <c r="D99" i="150"/>
  <c r="E99" i="150"/>
  <c r="F99" i="150"/>
  <c r="G99" i="150"/>
  <c r="H99" i="150"/>
  <c r="I99" i="150"/>
  <c r="B100" i="150"/>
  <c r="C100" i="150"/>
  <c r="D100" i="150"/>
  <c r="E100" i="150"/>
  <c r="F100" i="150"/>
  <c r="G100" i="150"/>
  <c r="H100" i="150"/>
  <c r="I100" i="150"/>
  <c r="B101" i="150"/>
  <c r="C101" i="150"/>
  <c r="D101" i="150"/>
  <c r="E101" i="150"/>
  <c r="F101" i="150"/>
  <c r="G101" i="150"/>
  <c r="H101" i="150"/>
  <c r="I101" i="150"/>
  <c r="B102" i="150"/>
  <c r="C102" i="150"/>
  <c r="D102" i="150"/>
  <c r="E102" i="150"/>
  <c r="F102" i="150"/>
  <c r="G102" i="150"/>
  <c r="H102" i="150"/>
  <c r="I102" i="150"/>
  <c r="B103" i="150"/>
  <c r="C103" i="150"/>
  <c r="D103" i="150"/>
  <c r="E103" i="150"/>
  <c r="F103" i="150"/>
  <c r="G103" i="150"/>
  <c r="H103" i="150"/>
  <c r="I103" i="150"/>
  <c r="B104" i="150"/>
  <c r="C104" i="150"/>
  <c r="D104" i="150"/>
  <c r="E104" i="150"/>
  <c r="F104" i="150"/>
  <c r="G104" i="150"/>
  <c r="H104" i="150"/>
  <c r="I104" i="150"/>
  <c r="B105" i="150"/>
  <c r="C105" i="150"/>
  <c r="D105" i="150"/>
  <c r="E105" i="150"/>
  <c r="F105" i="150"/>
  <c r="G105" i="150"/>
  <c r="H105" i="150"/>
  <c r="I105" i="150"/>
  <c r="B106" i="150"/>
  <c r="C106" i="150"/>
  <c r="D106" i="150"/>
  <c r="E106" i="150"/>
  <c r="F106" i="150"/>
  <c r="G106" i="150"/>
  <c r="H106" i="150"/>
  <c r="I106" i="150"/>
  <c r="B107" i="150"/>
  <c r="C107" i="150"/>
  <c r="D107" i="150"/>
  <c r="E107" i="150"/>
  <c r="F107" i="150"/>
  <c r="G107" i="150"/>
  <c r="H107" i="150"/>
  <c r="I107" i="150"/>
  <c r="B108" i="150"/>
  <c r="C108" i="150"/>
  <c r="D108" i="150"/>
  <c r="E108" i="150"/>
  <c r="F108" i="150"/>
  <c r="G108" i="150"/>
  <c r="H108" i="150"/>
  <c r="I108" i="150"/>
  <c r="B109" i="150"/>
  <c r="C109" i="150"/>
  <c r="D109" i="150"/>
  <c r="E109" i="150"/>
  <c r="F109" i="150"/>
  <c r="G109" i="150"/>
  <c r="H109" i="150"/>
  <c r="I109" i="150"/>
  <c r="B110" i="150"/>
  <c r="C110" i="150"/>
  <c r="D110" i="150"/>
  <c r="E110" i="150"/>
  <c r="F110" i="150"/>
  <c r="G110" i="150"/>
  <c r="H110" i="150"/>
  <c r="I110" i="150"/>
  <c r="B111" i="150"/>
  <c r="C111" i="150"/>
  <c r="D111" i="150"/>
  <c r="E111" i="150"/>
  <c r="F111" i="150"/>
  <c r="G111" i="150"/>
  <c r="H111" i="150"/>
  <c r="I111" i="150"/>
  <c r="B112" i="150"/>
  <c r="C112" i="150"/>
  <c r="D112" i="150"/>
  <c r="E112" i="150"/>
  <c r="F112" i="150"/>
  <c r="G112" i="150"/>
  <c r="H112" i="150"/>
  <c r="I112" i="150"/>
  <c r="B113" i="150"/>
  <c r="C113" i="150"/>
  <c r="D113" i="150"/>
  <c r="E113" i="150"/>
  <c r="F113" i="150"/>
  <c r="G113" i="150"/>
  <c r="H113" i="150"/>
  <c r="I113" i="150"/>
  <c r="B114" i="150"/>
  <c r="C114" i="150"/>
  <c r="D114" i="150"/>
  <c r="E114" i="150"/>
  <c r="F114" i="150"/>
  <c r="G114" i="150"/>
  <c r="H114" i="150"/>
  <c r="I114" i="150"/>
  <c r="DV8" i="175" l="1"/>
  <c r="EB8" i="175"/>
  <c r="DY8" i="175"/>
  <c r="DX8" i="175"/>
  <c r="J105" i="150"/>
  <c r="J103" i="150"/>
  <c r="J102" i="150"/>
  <c r="J104" i="150"/>
  <c r="J113" i="150"/>
  <c r="DU8" i="175"/>
  <c r="EA8" i="175"/>
  <c r="J109" i="150"/>
  <c r="J100" i="150"/>
  <c r="J110" i="150"/>
  <c r="J97" i="150"/>
  <c r="DQ5" i="175"/>
  <c r="DW5" i="175"/>
  <c r="EC5" i="175"/>
  <c r="DT6" i="175"/>
  <c r="EC7" i="175"/>
  <c r="J114" i="150"/>
  <c r="J112" i="150"/>
  <c r="J111" i="150"/>
  <c r="J106" i="150"/>
  <c r="J99" i="150"/>
  <c r="J98" i="150"/>
  <c r="DQ4" i="175"/>
  <c r="DW4" i="175"/>
  <c r="EC4" i="175"/>
  <c r="DT5" i="175"/>
  <c r="DZ5" i="175"/>
  <c r="DW6" i="175"/>
  <c r="EC6" i="175"/>
  <c r="DZ7" i="175"/>
  <c r="J108" i="150"/>
  <c r="J107" i="150"/>
  <c r="J101" i="150"/>
  <c r="DZ4" i="175"/>
  <c r="DZ6" i="175"/>
  <c r="DW3" i="175"/>
  <c r="DW7" i="175"/>
  <c r="DT7" i="175"/>
  <c r="DT4" i="175"/>
  <c r="DR8" i="175"/>
  <c r="DS8" i="175"/>
  <c r="ED6" i="175"/>
  <c r="ED7" i="175"/>
  <c r="ED5" i="175"/>
  <c r="ED4" i="175"/>
  <c r="DO8" i="175"/>
  <c r="DP8" i="175"/>
  <c r="DQ6" i="175"/>
  <c r="DQ7" i="175"/>
  <c r="DT3" i="175"/>
  <c r="DQ3" i="175"/>
  <c r="EC3" i="175"/>
  <c r="DZ3" i="175"/>
  <c r="ED3" i="175"/>
  <c r="B93" i="151"/>
  <c r="C93" i="151"/>
  <c r="D93" i="151"/>
  <c r="E93" i="151"/>
  <c r="F93" i="151"/>
  <c r="G93" i="151"/>
  <c r="H93" i="151"/>
  <c r="I93" i="151"/>
  <c r="B94" i="151"/>
  <c r="C94" i="151"/>
  <c r="D94" i="151"/>
  <c r="E94" i="151"/>
  <c r="F94" i="151"/>
  <c r="G94" i="151"/>
  <c r="H94" i="151"/>
  <c r="I94" i="151"/>
  <c r="B95" i="151"/>
  <c r="C95" i="151"/>
  <c r="D95" i="151"/>
  <c r="E95" i="151"/>
  <c r="F95" i="151"/>
  <c r="G95" i="151"/>
  <c r="H95" i="151"/>
  <c r="I95" i="151"/>
  <c r="B96" i="151"/>
  <c r="C96" i="151"/>
  <c r="D96" i="151"/>
  <c r="E96" i="151"/>
  <c r="F96" i="151"/>
  <c r="G96" i="151"/>
  <c r="H96" i="151"/>
  <c r="I96" i="151"/>
  <c r="B97" i="151"/>
  <c r="C97" i="151"/>
  <c r="D97" i="151"/>
  <c r="E97" i="151"/>
  <c r="F97" i="151"/>
  <c r="G97" i="151"/>
  <c r="H97" i="151"/>
  <c r="I97" i="151"/>
  <c r="B98" i="151"/>
  <c r="C98" i="151"/>
  <c r="D98" i="151"/>
  <c r="E98" i="151"/>
  <c r="F98" i="151"/>
  <c r="G98" i="151"/>
  <c r="H98" i="151"/>
  <c r="I98" i="151"/>
  <c r="B99" i="151"/>
  <c r="C99" i="151"/>
  <c r="D99" i="151"/>
  <c r="E99" i="151"/>
  <c r="F99" i="151"/>
  <c r="G99" i="151"/>
  <c r="H99" i="151"/>
  <c r="I99" i="151"/>
  <c r="B100" i="151"/>
  <c r="C100" i="151"/>
  <c r="D100" i="151"/>
  <c r="E100" i="151"/>
  <c r="F100" i="151"/>
  <c r="G100" i="151"/>
  <c r="H100" i="151"/>
  <c r="I100" i="151"/>
  <c r="B101" i="151"/>
  <c r="C101" i="151"/>
  <c r="D101" i="151"/>
  <c r="E101" i="151"/>
  <c r="F101" i="151"/>
  <c r="G101" i="151"/>
  <c r="H101" i="151"/>
  <c r="I101" i="151"/>
  <c r="B102" i="151"/>
  <c r="C102" i="151"/>
  <c r="D102" i="151"/>
  <c r="E102" i="151"/>
  <c r="F102" i="151"/>
  <c r="G102" i="151"/>
  <c r="H102" i="151"/>
  <c r="I102" i="151"/>
  <c r="B103" i="151"/>
  <c r="C103" i="151"/>
  <c r="D103" i="151"/>
  <c r="E103" i="151"/>
  <c r="F103" i="151"/>
  <c r="G103" i="151"/>
  <c r="H103" i="151"/>
  <c r="I103" i="151"/>
  <c r="B104" i="151"/>
  <c r="C104" i="151"/>
  <c r="D104" i="151"/>
  <c r="E104" i="151"/>
  <c r="F104" i="151"/>
  <c r="G104" i="151"/>
  <c r="H104" i="151"/>
  <c r="I104" i="151"/>
  <c r="B105" i="151"/>
  <c r="C105" i="151"/>
  <c r="D105" i="151"/>
  <c r="E105" i="151"/>
  <c r="F105" i="151"/>
  <c r="G105" i="151"/>
  <c r="H105" i="151"/>
  <c r="I105" i="151"/>
  <c r="B106" i="151"/>
  <c r="C106" i="151"/>
  <c r="D106" i="151"/>
  <c r="E106" i="151"/>
  <c r="F106" i="151"/>
  <c r="G106" i="151"/>
  <c r="H106" i="151"/>
  <c r="I106" i="151"/>
  <c r="B107" i="151"/>
  <c r="C107" i="151"/>
  <c r="D107" i="151"/>
  <c r="E107" i="151"/>
  <c r="F107" i="151"/>
  <c r="G107" i="151"/>
  <c r="H107" i="151"/>
  <c r="I107" i="151"/>
  <c r="B108" i="151"/>
  <c r="C108" i="151"/>
  <c r="D108" i="151"/>
  <c r="E108" i="151"/>
  <c r="F108" i="151"/>
  <c r="G108" i="151"/>
  <c r="H108" i="151"/>
  <c r="I108" i="151"/>
  <c r="B109" i="151"/>
  <c r="C109" i="151"/>
  <c r="D109" i="151"/>
  <c r="E109" i="151"/>
  <c r="F109" i="151"/>
  <c r="G109" i="151"/>
  <c r="H109" i="151"/>
  <c r="I109" i="151"/>
  <c r="B110" i="151"/>
  <c r="C110" i="151"/>
  <c r="D110" i="151"/>
  <c r="E110" i="151"/>
  <c r="F110" i="151"/>
  <c r="G110" i="151"/>
  <c r="H110" i="151"/>
  <c r="I110" i="151"/>
  <c r="B111" i="151"/>
  <c r="C111" i="151"/>
  <c r="D111" i="151"/>
  <c r="E111" i="151"/>
  <c r="F111" i="151"/>
  <c r="G111" i="151"/>
  <c r="H111" i="151"/>
  <c r="I111" i="151"/>
  <c r="B112" i="151"/>
  <c r="C112" i="151"/>
  <c r="D112" i="151"/>
  <c r="E112" i="151"/>
  <c r="F112" i="151"/>
  <c r="G112" i="151"/>
  <c r="H112" i="151"/>
  <c r="I112" i="151"/>
  <c r="B113" i="151"/>
  <c r="C113" i="151"/>
  <c r="D113" i="151"/>
  <c r="E113" i="151"/>
  <c r="F113" i="151"/>
  <c r="G113" i="151"/>
  <c r="H113" i="151"/>
  <c r="I113" i="151"/>
  <c r="B114" i="151"/>
  <c r="C114" i="151"/>
  <c r="D114" i="151"/>
  <c r="E114" i="151"/>
  <c r="F114" i="151"/>
  <c r="G114" i="151"/>
  <c r="H114" i="151"/>
  <c r="I114" i="151"/>
  <c r="B115" i="151"/>
  <c r="C115" i="151"/>
  <c r="D115" i="151"/>
  <c r="E115" i="151"/>
  <c r="F115" i="151"/>
  <c r="G115" i="151"/>
  <c r="H115" i="151"/>
  <c r="I115" i="151"/>
  <c r="B116" i="151"/>
  <c r="C116" i="151"/>
  <c r="D116" i="151"/>
  <c r="E116" i="151"/>
  <c r="F116" i="151"/>
  <c r="G116" i="151"/>
  <c r="H116" i="151"/>
  <c r="I116" i="151"/>
  <c r="B117" i="151"/>
  <c r="C117" i="151"/>
  <c r="D117" i="151"/>
  <c r="E117" i="151"/>
  <c r="F117" i="151"/>
  <c r="G117" i="151"/>
  <c r="H117" i="151"/>
  <c r="I117" i="151"/>
  <c r="B118" i="151"/>
  <c r="C118" i="151"/>
  <c r="D118" i="151"/>
  <c r="E118" i="151"/>
  <c r="F118" i="151"/>
  <c r="G118" i="151"/>
  <c r="H118" i="151"/>
  <c r="I118" i="151"/>
  <c r="B119" i="151"/>
  <c r="C119" i="151"/>
  <c r="D119" i="151"/>
  <c r="E119" i="151"/>
  <c r="F119" i="151"/>
  <c r="G119" i="151"/>
  <c r="H119" i="151"/>
  <c r="I119" i="151"/>
  <c r="B120" i="151"/>
  <c r="C120" i="151"/>
  <c r="D120" i="151"/>
  <c r="E120" i="151"/>
  <c r="F120" i="151"/>
  <c r="G120" i="151"/>
  <c r="H120" i="151"/>
  <c r="I120" i="151"/>
  <c r="B121" i="151"/>
  <c r="C121" i="151"/>
  <c r="D121" i="151"/>
  <c r="E121" i="151"/>
  <c r="F121" i="151"/>
  <c r="G121" i="151"/>
  <c r="H121" i="151"/>
  <c r="I121" i="151"/>
  <c r="B122" i="151"/>
  <c r="C122" i="151"/>
  <c r="D122" i="151"/>
  <c r="E122" i="151"/>
  <c r="F122" i="151"/>
  <c r="G122" i="151"/>
  <c r="H122" i="151"/>
  <c r="I122" i="151"/>
  <c r="B123" i="151"/>
  <c r="C123" i="151"/>
  <c r="D123" i="151"/>
  <c r="E123" i="151"/>
  <c r="F123" i="151"/>
  <c r="G123" i="151"/>
  <c r="H123" i="151"/>
  <c r="I123" i="151"/>
  <c r="B124" i="151"/>
  <c r="C124" i="151"/>
  <c r="D124" i="151"/>
  <c r="E124" i="151"/>
  <c r="F124" i="151"/>
  <c r="G124" i="151"/>
  <c r="H124" i="151"/>
  <c r="I124" i="151"/>
  <c r="B125" i="151"/>
  <c r="C125" i="151"/>
  <c r="D125" i="151"/>
  <c r="E125" i="151"/>
  <c r="F125" i="151"/>
  <c r="G125" i="151"/>
  <c r="H125" i="151"/>
  <c r="I125" i="151"/>
  <c r="B126" i="151"/>
  <c r="C126" i="151"/>
  <c r="D126" i="151"/>
  <c r="E126" i="151"/>
  <c r="F126" i="151"/>
  <c r="G126" i="151"/>
  <c r="H126" i="151"/>
  <c r="I126" i="151"/>
  <c r="B127" i="151"/>
  <c r="C127" i="151"/>
  <c r="D127" i="151"/>
  <c r="E127" i="151"/>
  <c r="F127" i="151"/>
  <c r="G127" i="151"/>
  <c r="H127" i="151"/>
  <c r="I127" i="151"/>
  <c r="B128" i="151"/>
  <c r="C128" i="151"/>
  <c r="D128" i="151"/>
  <c r="E128" i="151"/>
  <c r="F128" i="151"/>
  <c r="G128" i="151"/>
  <c r="H128" i="151"/>
  <c r="I128" i="151"/>
  <c r="B129" i="151"/>
  <c r="C129" i="151"/>
  <c r="D129" i="151"/>
  <c r="E129" i="151"/>
  <c r="F129" i="151"/>
  <c r="G129" i="151"/>
  <c r="H129" i="151"/>
  <c r="I129" i="151"/>
  <c r="B130" i="151"/>
  <c r="C130" i="151"/>
  <c r="D130" i="151"/>
  <c r="E130" i="151"/>
  <c r="F130" i="151"/>
  <c r="G130" i="151"/>
  <c r="H130" i="151"/>
  <c r="I130" i="151"/>
  <c r="B131" i="151"/>
  <c r="C131" i="151"/>
  <c r="D131" i="151"/>
  <c r="E131" i="151"/>
  <c r="F131" i="151"/>
  <c r="G131" i="151"/>
  <c r="H131" i="151"/>
  <c r="I131" i="151"/>
  <c r="B132" i="151"/>
  <c r="C132" i="151"/>
  <c r="D132" i="151"/>
  <c r="E132" i="151"/>
  <c r="F132" i="151"/>
  <c r="G132" i="151"/>
  <c r="H132" i="151"/>
  <c r="I132" i="151"/>
  <c r="B133" i="151"/>
  <c r="C133" i="151"/>
  <c r="D133" i="151"/>
  <c r="E133" i="151"/>
  <c r="F133" i="151"/>
  <c r="G133" i="151"/>
  <c r="H133" i="151"/>
  <c r="I133" i="151"/>
  <c r="B134" i="151"/>
  <c r="C134" i="151"/>
  <c r="D134" i="151"/>
  <c r="E134" i="151"/>
  <c r="F134" i="151"/>
  <c r="G134" i="151"/>
  <c r="H134" i="151"/>
  <c r="I134" i="151"/>
  <c r="B135" i="151"/>
  <c r="C135" i="151"/>
  <c r="D135" i="151"/>
  <c r="E135" i="151"/>
  <c r="F135" i="151"/>
  <c r="G135" i="151"/>
  <c r="H135" i="151"/>
  <c r="I135" i="151"/>
  <c r="B136" i="151"/>
  <c r="C136" i="151"/>
  <c r="D136" i="151"/>
  <c r="E136" i="151"/>
  <c r="F136" i="151"/>
  <c r="G136" i="151"/>
  <c r="H136" i="151"/>
  <c r="I136" i="151"/>
  <c r="B137" i="151"/>
  <c r="C137" i="151"/>
  <c r="D137" i="151"/>
  <c r="E137" i="151"/>
  <c r="F137" i="151"/>
  <c r="G137" i="151"/>
  <c r="H137" i="151"/>
  <c r="I137" i="151"/>
  <c r="B138" i="151"/>
  <c r="C138" i="151"/>
  <c r="D138" i="151"/>
  <c r="E138" i="151"/>
  <c r="F138" i="151"/>
  <c r="G138" i="151"/>
  <c r="H138" i="151"/>
  <c r="I138" i="151"/>
  <c r="B139" i="151"/>
  <c r="C139" i="151"/>
  <c r="D139" i="151"/>
  <c r="E139" i="151"/>
  <c r="F139" i="151"/>
  <c r="G139" i="151"/>
  <c r="H139" i="151"/>
  <c r="I139" i="151"/>
  <c r="B140" i="151"/>
  <c r="C140" i="151"/>
  <c r="D140" i="151"/>
  <c r="E140" i="151"/>
  <c r="F140" i="151"/>
  <c r="G140" i="151"/>
  <c r="H140" i="151"/>
  <c r="I140" i="151"/>
  <c r="B141" i="151"/>
  <c r="C141" i="151"/>
  <c r="D141" i="151"/>
  <c r="E141" i="151"/>
  <c r="F141" i="151"/>
  <c r="G141" i="151"/>
  <c r="H141" i="151"/>
  <c r="I141" i="151"/>
  <c r="B142" i="151"/>
  <c r="C142" i="151"/>
  <c r="D142" i="151"/>
  <c r="E142" i="151"/>
  <c r="F142" i="151"/>
  <c r="G142" i="151"/>
  <c r="H142" i="151"/>
  <c r="I142" i="151"/>
  <c r="B143" i="151"/>
  <c r="C143" i="151"/>
  <c r="D143" i="151"/>
  <c r="E143" i="151"/>
  <c r="F143" i="151"/>
  <c r="G143" i="151"/>
  <c r="H143" i="151"/>
  <c r="I143" i="151"/>
  <c r="B144" i="151"/>
  <c r="C144" i="151"/>
  <c r="D144" i="151"/>
  <c r="E144" i="151"/>
  <c r="F144" i="151"/>
  <c r="G144" i="151"/>
  <c r="H144" i="151"/>
  <c r="I144" i="151"/>
  <c r="B145" i="151"/>
  <c r="C145" i="151"/>
  <c r="D145" i="151"/>
  <c r="E145" i="151"/>
  <c r="F145" i="151"/>
  <c r="G145" i="151"/>
  <c r="H145" i="151"/>
  <c r="I145" i="151"/>
  <c r="B146" i="151"/>
  <c r="C146" i="151"/>
  <c r="D146" i="151"/>
  <c r="E146" i="151"/>
  <c r="F146" i="151"/>
  <c r="G146" i="151"/>
  <c r="H146" i="151"/>
  <c r="I146" i="151"/>
  <c r="B147" i="151"/>
  <c r="C147" i="151"/>
  <c r="D147" i="151"/>
  <c r="E147" i="151"/>
  <c r="F147" i="151"/>
  <c r="G147" i="151"/>
  <c r="H147" i="151"/>
  <c r="I147" i="151"/>
  <c r="B148" i="151"/>
  <c r="C148" i="151"/>
  <c r="D148" i="151"/>
  <c r="E148" i="151"/>
  <c r="F148" i="151"/>
  <c r="G148" i="151"/>
  <c r="H148" i="151"/>
  <c r="I148" i="151"/>
  <c r="B149" i="151"/>
  <c r="C149" i="151"/>
  <c r="D149" i="151"/>
  <c r="E149" i="151"/>
  <c r="F149" i="151"/>
  <c r="G149" i="151"/>
  <c r="H149" i="151"/>
  <c r="I149" i="151"/>
  <c r="B150" i="151"/>
  <c r="C150" i="151"/>
  <c r="D150" i="151"/>
  <c r="E150" i="151"/>
  <c r="F150" i="151"/>
  <c r="G150" i="151"/>
  <c r="H150" i="151"/>
  <c r="I150" i="151"/>
  <c r="B151" i="151"/>
  <c r="C151" i="151"/>
  <c r="D151" i="151"/>
  <c r="E151" i="151"/>
  <c r="F151" i="151"/>
  <c r="G151" i="151"/>
  <c r="H151" i="151"/>
  <c r="I151" i="151"/>
  <c r="B152" i="151"/>
  <c r="C152" i="151"/>
  <c r="D152" i="151"/>
  <c r="E152" i="151"/>
  <c r="F152" i="151"/>
  <c r="G152" i="151"/>
  <c r="H152" i="151"/>
  <c r="I152" i="151"/>
  <c r="B153" i="151"/>
  <c r="C153" i="151"/>
  <c r="D153" i="151"/>
  <c r="E153" i="151"/>
  <c r="F153" i="151"/>
  <c r="G153" i="151"/>
  <c r="H153" i="151"/>
  <c r="I153" i="151"/>
  <c r="B154" i="151"/>
  <c r="C154" i="151"/>
  <c r="D154" i="151"/>
  <c r="E154" i="151"/>
  <c r="F154" i="151"/>
  <c r="G154" i="151"/>
  <c r="H154" i="151"/>
  <c r="I154" i="151"/>
  <c r="B155" i="151"/>
  <c r="C155" i="151"/>
  <c r="D155" i="151"/>
  <c r="E155" i="151"/>
  <c r="F155" i="151"/>
  <c r="G155" i="151"/>
  <c r="H155" i="151"/>
  <c r="I155" i="151"/>
  <c r="B156" i="151"/>
  <c r="C156" i="151"/>
  <c r="D156" i="151"/>
  <c r="E156" i="151"/>
  <c r="F156" i="151"/>
  <c r="G156" i="151"/>
  <c r="H156" i="151"/>
  <c r="I156" i="151"/>
  <c r="B157" i="151"/>
  <c r="C157" i="151"/>
  <c r="D157" i="151"/>
  <c r="E157" i="151"/>
  <c r="F157" i="151"/>
  <c r="G157" i="151"/>
  <c r="H157" i="151"/>
  <c r="I157" i="151"/>
  <c r="B158" i="151"/>
  <c r="C158" i="151"/>
  <c r="D158" i="151"/>
  <c r="E158" i="151"/>
  <c r="F158" i="151"/>
  <c r="G158" i="151"/>
  <c r="H158" i="151"/>
  <c r="I158" i="151"/>
  <c r="B159" i="151"/>
  <c r="C159" i="151"/>
  <c r="D159" i="151"/>
  <c r="E159" i="151"/>
  <c r="F159" i="151"/>
  <c r="G159" i="151"/>
  <c r="H159" i="151"/>
  <c r="I159" i="151"/>
  <c r="B160" i="151"/>
  <c r="C160" i="151"/>
  <c r="D160" i="151"/>
  <c r="E160" i="151"/>
  <c r="F160" i="151"/>
  <c r="G160" i="151"/>
  <c r="H160" i="151"/>
  <c r="I160" i="151"/>
  <c r="B161" i="151"/>
  <c r="C161" i="151"/>
  <c r="D161" i="151"/>
  <c r="E161" i="151"/>
  <c r="F161" i="151"/>
  <c r="G161" i="151"/>
  <c r="H161" i="151"/>
  <c r="I161" i="151"/>
  <c r="B162" i="151"/>
  <c r="C162" i="151"/>
  <c r="D162" i="151"/>
  <c r="E162" i="151"/>
  <c r="F162" i="151"/>
  <c r="G162" i="151"/>
  <c r="H162" i="151"/>
  <c r="I162" i="151"/>
  <c r="B163" i="151"/>
  <c r="C163" i="151"/>
  <c r="D163" i="151"/>
  <c r="E163" i="151"/>
  <c r="F163" i="151"/>
  <c r="G163" i="151"/>
  <c r="H163" i="151"/>
  <c r="I163" i="151"/>
  <c r="B164" i="151"/>
  <c r="C164" i="151"/>
  <c r="D164" i="151"/>
  <c r="E164" i="151"/>
  <c r="F164" i="151"/>
  <c r="G164" i="151"/>
  <c r="H164" i="151"/>
  <c r="I164" i="151"/>
  <c r="B165" i="151"/>
  <c r="C165" i="151"/>
  <c r="D165" i="151"/>
  <c r="E165" i="151"/>
  <c r="F165" i="151"/>
  <c r="G165" i="151"/>
  <c r="H165" i="151"/>
  <c r="I165" i="151"/>
  <c r="B166" i="151"/>
  <c r="C166" i="151"/>
  <c r="D166" i="151"/>
  <c r="E166" i="151"/>
  <c r="F166" i="151"/>
  <c r="G166" i="151"/>
  <c r="H166" i="151"/>
  <c r="I166" i="151"/>
  <c r="B167" i="151"/>
  <c r="C167" i="151"/>
  <c r="D167" i="151"/>
  <c r="E167" i="151"/>
  <c r="F167" i="151"/>
  <c r="G167" i="151"/>
  <c r="H167" i="151"/>
  <c r="I167" i="151"/>
  <c r="B168" i="151"/>
  <c r="C168" i="151"/>
  <c r="D168" i="151"/>
  <c r="E168" i="151"/>
  <c r="F168" i="151"/>
  <c r="G168" i="151"/>
  <c r="H168" i="151"/>
  <c r="I168" i="151"/>
  <c r="B169" i="151"/>
  <c r="C169" i="151"/>
  <c r="D169" i="151"/>
  <c r="E169" i="151"/>
  <c r="F169" i="151"/>
  <c r="G169" i="151"/>
  <c r="H169" i="151"/>
  <c r="I169" i="151"/>
  <c r="B170" i="151"/>
  <c r="C170" i="151"/>
  <c r="D170" i="151"/>
  <c r="E170" i="151"/>
  <c r="F170" i="151"/>
  <c r="G170" i="151"/>
  <c r="H170" i="151"/>
  <c r="I170" i="151"/>
  <c r="B171" i="151"/>
  <c r="C171" i="151"/>
  <c r="D171" i="151"/>
  <c r="E171" i="151"/>
  <c r="F171" i="151"/>
  <c r="G171" i="151"/>
  <c r="H171" i="151"/>
  <c r="I171" i="151"/>
  <c r="EB9" i="175" l="1"/>
  <c r="DW8" i="175"/>
  <c r="DY9" i="175"/>
  <c r="EC8" i="175"/>
  <c r="DZ8" i="175"/>
  <c r="ED9" i="175"/>
  <c r="DS9" i="175"/>
  <c r="DV9" i="175"/>
  <c r="DP9" i="175"/>
  <c r="DQ8" i="175"/>
  <c r="DT8" i="175"/>
  <c r="ED8" i="175"/>
  <c r="J108" i="151"/>
  <c r="J96" i="151"/>
  <c r="J116" i="151"/>
  <c r="J120" i="151"/>
  <c r="J100" i="151"/>
  <c r="J104" i="151"/>
  <c r="J112" i="151"/>
  <c r="J140" i="151"/>
  <c r="J119" i="151"/>
  <c r="J114" i="151"/>
  <c r="J109" i="151"/>
  <c r="J103" i="151"/>
  <c r="J98" i="151"/>
  <c r="J93" i="151"/>
  <c r="J148" i="151"/>
  <c r="J121" i="151"/>
  <c r="J115" i="151"/>
  <c r="J110" i="151"/>
  <c r="J105" i="151"/>
  <c r="J99" i="151"/>
  <c r="J94" i="151"/>
  <c r="J152" i="151"/>
  <c r="J144" i="151"/>
  <c r="J132" i="151"/>
  <c r="J122" i="151"/>
  <c r="J117" i="151"/>
  <c r="J111" i="151"/>
  <c r="J106" i="151"/>
  <c r="J101" i="151"/>
  <c r="J95" i="151"/>
  <c r="J136" i="151"/>
  <c r="J128" i="151"/>
  <c r="J124" i="151"/>
  <c r="J118" i="151"/>
  <c r="J113" i="151"/>
  <c r="J107" i="151"/>
  <c r="J102" i="151"/>
  <c r="J97" i="151"/>
  <c r="J160" i="151"/>
  <c r="J164" i="151"/>
  <c r="J168" i="151"/>
  <c r="J156" i="151"/>
  <c r="J167" i="151"/>
  <c r="J162" i="151"/>
  <c r="J157" i="151"/>
  <c r="J151" i="151"/>
  <c r="J146" i="151"/>
  <c r="J141" i="151"/>
  <c r="J135" i="151"/>
  <c r="J130" i="151"/>
  <c r="J125" i="151"/>
  <c r="J169" i="151"/>
  <c r="J163" i="151"/>
  <c r="J158" i="151"/>
  <c r="J153" i="151"/>
  <c r="J147" i="151"/>
  <c r="J142" i="151"/>
  <c r="J137" i="151"/>
  <c r="J131" i="151"/>
  <c r="J126" i="151"/>
  <c r="J171" i="151"/>
  <c r="J170" i="151"/>
  <c r="J165" i="151"/>
  <c r="J159" i="151"/>
  <c r="J154" i="151"/>
  <c r="J149" i="151"/>
  <c r="J143" i="151"/>
  <c r="J138" i="151"/>
  <c r="J133" i="151"/>
  <c r="J127" i="151"/>
  <c r="J166" i="151"/>
  <c r="J161" i="151"/>
  <c r="J155" i="151"/>
  <c r="J150" i="151"/>
  <c r="J145" i="151"/>
  <c r="J139" i="151"/>
  <c r="J134" i="151"/>
  <c r="J129" i="151"/>
  <c r="J123" i="151"/>
  <c r="B88" i="150"/>
  <c r="C88" i="150"/>
  <c r="D88" i="150"/>
  <c r="E88" i="150"/>
  <c r="F88" i="150"/>
  <c r="G88" i="150"/>
  <c r="H88" i="150"/>
  <c r="I88" i="150"/>
  <c r="B89" i="150"/>
  <c r="C89" i="150"/>
  <c r="D89" i="150"/>
  <c r="E89" i="150"/>
  <c r="F89" i="150"/>
  <c r="G89" i="150"/>
  <c r="H89" i="150"/>
  <c r="I89" i="150"/>
  <c r="B90" i="150"/>
  <c r="C90" i="150"/>
  <c r="D90" i="150"/>
  <c r="E90" i="150"/>
  <c r="F90" i="150"/>
  <c r="G90" i="150"/>
  <c r="H90" i="150"/>
  <c r="I90" i="150"/>
  <c r="B91" i="150"/>
  <c r="C91" i="150"/>
  <c r="D91" i="150"/>
  <c r="E91" i="150"/>
  <c r="F91" i="150"/>
  <c r="G91" i="150"/>
  <c r="H91" i="150"/>
  <c r="I91" i="150"/>
  <c r="B92" i="150"/>
  <c r="C92" i="150"/>
  <c r="D92" i="150"/>
  <c r="E92" i="150"/>
  <c r="F92" i="150"/>
  <c r="G92" i="150"/>
  <c r="H92" i="150"/>
  <c r="I92" i="150"/>
  <c r="B93" i="150"/>
  <c r="C93" i="150"/>
  <c r="D93" i="150"/>
  <c r="E93" i="150"/>
  <c r="F93" i="150"/>
  <c r="G93" i="150"/>
  <c r="H93" i="150"/>
  <c r="I93" i="150"/>
  <c r="B94" i="150"/>
  <c r="C94" i="150"/>
  <c r="D94" i="150"/>
  <c r="E94" i="150"/>
  <c r="F94" i="150"/>
  <c r="G94" i="150"/>
  <c r="H94" i="150"/>
  <c r="I94" i="150"/>
  <c r="B95" i="150"/>
  <c r="C95" i="150"/>
  <c r="D95" i="150"/>
  <c r="E95" i="150"/>
  <c r="F95" i="150"/>
  <c r="G95" i="150"/>
  <c r="H95" i="150"/>
  <c r="I95" i="150"/>
  <c r="B96" i="150"/>
  <c r="C96" i="150"/>
  <c r="D96" i="150"/>
  <c r="E96" i="150"/>
  <c r="F96" i="150"/>
  <c r="G96" i="150"/>
  <c r="H96" i="150"/>
  <c r="I96" i="150"/>
  <c r="B56" i="169"/>
  <c r="C56" i="169"/>
  <c r="B57" i="169"/>
  <c r="C57" i="169"/>
  <c r="B58" i="169"/>
  <c r="B59" i="169"/>
  <c r="B60" i="169"/>
  <c r="B61" i="169"/>
  <c r="B62" i="169"/>
  <c r="B63" i="169"/>
  <c r="C63" i="169"/>
  <c r="B64" i="169"/>
  <c r="C64" i="169"/>
  <c r="B65" i="169"/>
  <c r="B66" i="169"/>
  <c r="B67" i="169"/>
  <c r="B68" i="169"/>
  <c r="C68" i="169"/>
  <c r="B69" i="169"/>
  <c r="C69" i="169"/>
  <c r="B70" i="169"/>
  <c r="C70" i="169"/>
  <c r="B71" i="169"/>
  <c r="C71" i="169"/>
  <c r="B72" i="169"/>
  <c r="C72" i="169"/>
  <c r="B73" i="169"/>
  <c r="C73" i="169"/>
  <c r="B74" i="169"/>
  <c r="C74" i="169"/>
  <c r="B75" i="169"/>
  <c r="C75" i="169"/>
  <c r="B76" i="169"/>
  <c r="C76" i="169"/>
  <c r="B77" i="169"/>
  <c r="C77" i="169"/>
  <c r="B78" i="169"/>
  <c r="C78" i="169"/>
  <c r="B79" i="169"/>
  <c r="C79" i="169"/>
  <c r="B80" i="169"/>
  <c r="C80" i="169"/>
  <c r="B81" i="169"/>
  <c r="C81" i="169"/>
  <c r="B82" i="169"/>
  <c r="C82" i="169"/>
  <c r="B83" i="169"/>
  <c r="C83" i="169"/>
  <c r="B84" i="169"/>
  <c r="C84" i="169"/>
  <c r="B85" i="169"/>
  <c r="C85" i="169"/>
  <c r="B86" i="169"/>
  <c r="C86" i="169"/>
  <c r="B87" i="169"/>
  <c r="C87" i="169"/>
  <c r="J94" i="150" l="1"/>
  <c r="J90" i="150"/>
  <c r="D57" i="169"/>
  <c r="E57" i="169" s="1"/>
  <c r="F57" i="169" s="1"/>
  <c r="J95" i="150"/>
  <c r="J96" i="150"/>
  <c r="J91" i="150"/>
  <c r="J92" i="150"/>
  <c r="J93" i="150"/>
  <c r="J89" i="150"/>
  <c r="J88" i="150"/>
  <c r="D69" i="169"/>
  <c r="E69" i="169" s="1"/>
  <c r="F69" i="169" s="1"/>
  <c r="D87" i="169"/>
  <c r="E87" i="169" s="1"/>
  <c r="F87" i="169" s="1"/>
  <c r="D85" i="169"/>
  <c r="E85" i="169" s="1"/>
  <c r="F85" i="169" s="1"/>
  <c r="D81" i="169"/>
  <c r="E81" i="169" s="1"/>
  <c r="F81" i="169" s="1"/>
  <c r="D80" i="169"/>
  <c r="E80" i="169" s="1"/>
  <c r="F80" i="169" s="1"/>
  <c r="D78" i="169"/>
  <c r="E78" i="169" s="1"/>
  <c r="F78" i="169" s="1"/>
  <c r="D76" i="169"/>
  <c r="E76" i="169" s="1"/>
  <c r="F76" i="169" s="1"/>
  <c r="D74" i="169"/>
  <c r="E74" i="169" s="1"/>
  <c r="F74" i="169" s="1"/>
  <c r="D83" i="169"/>
  <c r="E83" i="169" s="1"/>
  <c r="F83" i="169" s="1"/>
  <c r="D77" i="169"/>
  <c r="E77" i="169" s="1"/>
  <c r="F77" i="169" s="1"/>
  <c r="D73" i="169"/>
  <c r="E73" i="169" s="1"/>
  <c r="F73" i="169" s="1"/>
  <c r="D71" i="169"/>
  <c r="E71" i="169" s="1"/>
  <c r="F71" i="169" s="1"/>
  <c r="D64" i="169"/>
  <c r="E64" i="169" s="1"/>
  <c r="F64" i="169" s="1"/>
  <c r="D86" i="169"/>
  <c r="E86" i="169" s="1"/>
  <c r="F86" i="169" s="1"/>
  <c r="D79" i="169"/>
  <c r="E79" i="169" s="1"/>
  <c r="F79" i="169" s="1"/>
  <c r="D72" i="169"/>
  <c r="E72" i="169" s="1"/>
  <c r="F72" i="169" s="1"/>
  <c r="D70" i="169"/>
  <c r="E70" i="169" s="1"/>
  <c r="F70" i="169" s="1"/>
  <c r="D63" i="169"/>
  <c r="E63" i="169" s="1"/>
  <c r="F63" i="169" s="1"/>
  <c r="D56" i="169"/>
  <c r="E56" i="169" s="1"/>
  <c r="F56" i="169" s="1"/>
  <c r="D84" i="169"/>
  <c r="E84" i="169" s="1"/>
  <c r="F84" i="169" s="1"/>
  <c r="D82" i="169"/>
  <c r="E82" i="169" s="1"/>
  <c r="F82" i="169" s="1"/>
  <c r="D75" i="169"/>
  <c r="E75" i="169" s="1"/>
  <c r="F75" i="169" s="1"/>
  <c r="D68" i="169"/>
  <c r="E68" i="169" s="1"/>
  <c r="F68" i="169" s="1"/>
  <c r="AF13" i="3"/>
  <c r="AA13" i="3"/>
  <c r="AD13" i="3" s="1"/>
  <c r="AD12" i="3"/>
  <c r="AD11" i="3"/>
  <c r="AD10" i="3"/>
  <c r="AD9" i="3"/>
  <c r="AD8" i="3"/>
  <c r="AD7" i="3"/>
  <c r="AD6" i="3"/>
  <c r="AD5" i="3"/>
  <c r="AD4" i="3"/>
  <c r="AD3" i="3"/>
  <c r="J2108" i="5" l="1"/>
  <c r="R2108" i="5"/>
  <c r="AA2108" i="5"/>
  <c r="AZ15" i="153" l="1"/>
  <c r="AY15" i="153"/>
  <c r="AX15" i="153"/>
  <c r="AW15" i="153"/>
  <c r="AV15" i="153"/>
  <c r="AZ14" i="153"/>
  <c r="AY14" i="153"/>
  <c r="AX14" i="153"/>
  <c r="AW14" i="153"/>
  <c r="AV14" i="153"/>
  <c r="AZ12" i="153"/>
  <c r="AY12" i="153"/>
  <c r="AX12" i="153"/>
  <c r="AW12" i="153"/>
  <c r="AV12" i="153"/>
  <c r="AZ11" i="153"/>
  <c r="AY11" i="153"/>
  <c r="AX11" i="153"/>
  <c r="AW11" i="153"/>
  <c r="AV11" i="153"/>
  <c r="AZ9" i="153"/>
  <c r="AY9" i="153"/>
  <c r="AX9" i="153"/>
  <c r="AW9" i="153"/>
  <c r="AV9" i="153"/>
  <c r="AZ8" i="153"/>
  <c r="AY8" i="153"/>
  <c r="AX8" i="153"/>
  <c r="AW8" i="153"/>
  <c r="AV8" i="153"/>
  <c r="AZ6" i="153"/>
  <c r="AY6" i="153"/>
  <c r="AX6" i="153"/>
  <c r="AW6" i="153"/>
  <c r="AV6" i="153"/>
  <c r="AZ5" i="153"/>
  <c r="AY5" i="153"/>
  <c r="AX5" i="153"/>
  <c r="AW5" i="153"/>
  <c r="AV5" i="153"/>
  <c r="AZ3" i="153"/>
  <c r="AY3" i="153"/>
  <c r="AX3" i="153"/>
  <c r="AW3" i="153"/>
  <c r="AV3" i="153"/>
  <c r="AZ2" i="153"/>
  <c r="AY2" i="153"/>
  <c r="AX2" i="153"/>
  <c r="AW2" i="153"/>
  <c r="AV2" i="153"/>
  <c r="AT15" i="153"/>
  <c r="AS15" i="153"/>
  <c r="AR15" i="153"/>
  <c r="AQ15" i="153"/>
  <c r="AP15" i="153"/>
  <c r="AT14" i="153"/>
  <c r="AS14" i="153"/>
  <c r="AR14" i="153"/>
  <c r="AQ14" i="153"/>
  <c r="AP14" i="153"/>
  <c r="AT12" i="153"/>
  <c r="AS12" i="153"/>
  <c r="AR12" i="153"/>
  <c r="AQ12" i="153"/>
  <c r="AP12" i="153"/>
  <c r="AT11" i="153"/>
  <c r="AS11" i="153"/>
  <c r="AR11" i="153"/>
  <c r="AQ11" i="153"/>
  <c r="AP11" i="153"/>
  <c r="AT9" i="153"/>
  <c r="AS9" i="153"/>
  <c r="AR9" i="153"/>
  <c r="AQ9" i="153"/>
  <c r="AP9" i="153"/>
  <c r="AT8" i="153"/>
  <c r="AS8" i="153"/>
  <c r="AR8" i="153"/>
  <c r="AQ8" i="153"/>
  <c r="AP8" i="153"/>
  <c r="AT6" i="153"/>
  <c r="AS6" i="153"/>
  <c r="AR6" i="153"/>
  <c r="AQ6" i="153"/>
  <c r="AP6" i="153"/>
  <c r="AT5" i="153"/>
  <c r="AS5" i="153"/>
  <c r="AR5" i="153"/>
  <c r="AQ5" i="153"/>
  <c r="AP5" i="153"/>
  <c r="AT3" i="153"/>
  <c r="AS3" i="153"/>
  <c r="AR3" i="153"/>
  <c r="AQ3" i="153"/>
  <c r="AP3" i="153"/>
  <c r="AT2" i="153"/>
  <c r="AS2" i="153"/>
  <c r="AR2" i="153"/>
  <c r="AQ2" i="153"/>
  <c r="AP2" i="153"/>
  <c r="B48" i="149"/>
  <c r="AQ18" i="153" l="1"/>
  <c r="AR18" i="153"/>
  <c r="AW18" i="153"/>
  <c r="AT18" i="153"/>
  <c r="AY18" i="153"/>
  <c r="AZ18" i="153"/>
  <c r="AX18" i="153"/>
  <c r="AV17" i="153"/>
  <c r="AZ17" i="153"/>
  <c r="AY17" i="153"/>
  <c r="AS18" i="153"/>
  <c r="AX17" i="153"/>
  <c r="AR4" i="153"/>
  <c r="AW17" i="153"/>
  <c r="AP17" i="153"/>
  <c r="AS16" i="153"/>
  <c r="BA11" i="153"/>
  <c r="AY13" i="153"/>
  <c r="AW16" i="153"/>
  <c r="AS7" i="153"/>
  <c r="AQ10" i="153"/>
  <c r="AS13" i="153"/>
  <c r="AQ16" i="153"/>
  <c r="AW7" i="153"/>
  <c r="AW13" i="153"/>
  <c r="AZ10" i="153"/>
  <c r="AZ16" i="153"/>
  <c r="AZ7" i="153"/>
  <c r="AZ13" i="153"/>
  <c r="AY10" i="153"/>
  <c r="AY16" i="153"/>
  <c r="AY7" i="153"/>
  <c r="BA5" i="153"/>
  <c r="AX10" i="153"/>
  <c r="AX16" i="153"/>
  <c r="AX7" i="153"/>
  <c r="AX13" i="153"/>
  <c r="BA8" i="153"/>
  <c r="BA14" i="153"/>
  <c r="BA3" i="153"/>
  <c r="AW10" i="153"/>
  <c r="BA9" i="153"/>
  <c r="BA15" i="153"/>
  <c r="AV7" i="153"/>
  <c r="AV13" i="153"/>
  <c r="AU11" i="153"/>
  <c r="AV4" i="153"/>
  <c r="AZ4" i="153"/>
  <c r="AV10" i="153"/>
  <c r="AV16" i="153"/>
  <c r="AV18" i="153"/>
  <c r="AS4" i="153"/>
  <c r="AQ7" i="153"/>
  <c r="BA2" i="153"/>
  <c r="AW4" i="153"/>
  <c r="BA6" i="153"/>
  <c r="BA12" i="153"/>
  <c r="AT17" i="153"/>
  <c r="AX4" i="153"/>
  <c r="AQ17" i="153"/>
  <c r="AT10" i="153"/>
  <c r="AT16" i="153"/>
  <c r="AY4" i="153"/>
  <c r="AT7" i="153"/>
  <c r="AT13" i="153"/>
  <c r="AS10" i="153"/>
  <c r="AR10" i="153"/>
  <c r="AR16" i="153"/>
  <c r="AR7" i="153"/>
  <c r="AR13" i="153"/>
  <c r="AU5" i="153"/>
  <c r="AU8" i="153"/>
  <c r="AQ13" i="153"/>
  <c r="AU14" i="153"/>
  <c r="AU3" i="153"/>
  <c r="AU9" i="153"/>
  <c r="AU15" i="153"/>
  <c r="AP7" i="153"/>
  <c r="AP13" i="153"/>
  <c r="AP4" i="153"/>
  <c r="AT4" i="153"/>
  <c r="AP10" i="153"/>
  <c r="AP16" i="153"/>
  <c r="AR17" i="153"/>
  <c r="AP18" i="153"/>
  <c r="AU2" i="153"/>
  <c r="AQ4" i="153"/>
  <c r="AU6" i="153"/>
  <c r="AU12" i="153"/>
  <c r="AS17" i="153"/>
  <c r="B43" i="169"/>
  <c r="C43" i="169"/>
  <c r="B44" i="169"/>
  <c r="B45" i="169"/>
  <c r="B46" i="169"/>
  <c r="B47" i="169"/>
  <c r="B48" i="169"/>
  <c r="B49" i="169"/>
  <c r="C49" i="169"/>
  <c r="B50" i="169"/>
  <c r="C50" i="169"/>
  <c r="B51" i="169"/>
  <c r="B52" i="169"/>
  <c r="B53" i="169"/>
  <c r="B54" i="169"/>
  <c r="B55" i="169"/>
  <c r="B4" i="175"/>
  <c r="D4" i="175"/>
  <c r="B5" i="175"/>
  <c r="D5" i="175"/>
  <c r="B6" i="175"/>
  <c r="D6" i="175"/>
  <c r="B7" i="175"/>
  <c r="D7" i="175"/>
  <c r="D3" i="175"/>
  <c r="B3" i="175"/>
  <c r="B39" i="169"/>
  <c r="B40" i="169"/>
  <c r="B41" i="169"/>
  <c r="B42" i="169"/>
  <c r="C42" i="169"/>
  <c r="E247" i="3"/>
  <c r="E246" i="3"/>
  <c r="E245" i="3"/>
  <c r="E244" i="3"/>
  <c r="E243" i="3"/>
  <c r="E240" i="3"/>
  <c r="B220" i="3"/>
  <c r="B201" i="3"/>
  <c r="B174" i="3"/>
  <c r="B148" i="3"/>
  <c r="B122" i="3"/>
  <c r="B96" i="3"/>
  <c r="B70" i="3"/>
  <c r="B44" i="3"/>
  <c r="L13" i="3" l="1"/>
  <c r="AQ19" i="153"/>
  <c r="AR19" i="153"/>
  <c r="AW19" i="153"/>
  <c r="BA16" i="153"/>
  <c r="AT19" i="153"/>
  <c r="AY19" i="153"/>
  <c r="AZ19" i="153"/>
  <c r="AX19" i="153"/>
  <c r="AU10" i="153"/>
  <c r="AS19" i="153"/>
  <c r="BA10" i="153"/>
  <c r="BA17" i="153"/>
  <c r="BA4" i="153"/>
  <c r="BA13" i="153"/>
  <c r="BA7" i="153"/>
  <c r="AU13" i="153"/>
  <c r="AV19" i="153"/>
  <c r="BA18" i="153"/>
  <c r="AU16" i="153"/>
  <c r="AU7" i="153"/>
  <c r="AU4" i="153"/>
  <c r="AU17" i="153"/>
  <c r="AP19" i="153"/>
  <c r="AU18" i="153"/>
  <c r="D43" i="169"/>
  <c r="E43" i="169" s="1"/>
  <c r="F43" i="169" s="1"/>
  <c r="D49" i="169"/>
  <c r="E49" i="169" s="1"/>
  <c r="F49" i="169" s="1"/>
  <c r="D50" i="169"/>
  <c r="E50" i="169" s="1"/>
  <c r="F50" i="169" s="1"/>
  <c r="B8" i="175"/>
  <c r="D8" i="175"/>
  <c r="D42" i="169"/>
  <c r="E42" i="169" s="1"/>
  <c r="F42" i="169" s="1"/>
  <c r="AN15" i="153"/>
  <c r="AM15" i="153"/>
  <c r="AL15" i="153"/>
  <c r="AK15" i="153"/>
  <c r="AJ15" i="153"/>
  <c r="AN14" i="153"/>
  <c r="AM14" i="153"/>
  <c r="AL14" i="153"/>
  <c r="AK14" i="153"/>
  <c r="AJ14" i="153"/>
  <c r="AN12" i="153"/>
  <c r="AM12" i="153"/>
  <c r="AL12" i="153"/>
  <c r="AK12" i="153"/>
  <c r="AJ12" i="153"/>
  <c r="AN11" i="153"/>
  <c r="AM11" i="153"/>
  <c r="AL11" i="153"/>
  <c r="AK11" i="153"/>
  <c r="AJ11" i="153"/>
  <c r="AN9" i="153"/>
  <c r="AM9" i="153"/>
  <c r="AL9" i="153"/>
  <c r="AK9" i="153"/>
  <c r="AJ9" i="153"/>
  <c r="AN8" i="153"/>
  <c r="AM8" i="153"/>
  <c r="AL8" i="153"/>
  <c r="AK8" i="153"/>
  <c r="AJ8" i="153"/>
  <c r="AN6" i="153"/>
  <c r="AM6" i="153"/>
  <c r="AL6" i="153"/>
  <c r="AK6" i="153"/>
  <c r="AJ6" i="153"/>
  <c r="AN5" i="153"/>
  <c r="AM5" i="153"/>
  <c r="AL5" i="153"/>
  <c r="AK5" i="153"/>
  <c r="AJ5" i="153"/>
  <c r="AN3" i="153"/>
  <c r="AM3" i="153"/>
  <c r="AL3" i="153"/>
  <c r="AK3" i="153"/>
  <c r="AJ3" i="153"/>
  <c r="AN2" i="153"/>
  <c r="AM2" i="153"/>
  <c r="AL2" i="153"/>
  <c r="AK2" i="153"/>
  <c r="AJ2" i="153"/>
  <c r="BA19" i="153" l="1"/>
  <c r="AU19" i="153"/>
  <c r="AM18" i="153"/>
  <c r="AK18" i="153"/>
  <c r="AL18" i="153"/>
  <c r="AJ17" i="153"/>
  <c r="AN17" i="153"/>
  <c r="AK17" i="153"/>
  <c r="AL17" i="153"/>
  <c r="AM17" i="153"/>
  <c r="AK13" i="153"/>
  <c r="AN4" i="153"/>
  <c r="AM7" i="153"/>
  <c r="AK10" i="153"/>
  <c r="AO11" i="153"/>
  <c r="AM13" i="153"/>
  <c r="AK16" i="153"/>
  <c r="AJ7" i="153"/>
  <c r="AL10" i="153"/>
  <c r="AJ13" i="153"/>
  <c r="AN7" i="153"/>
  <c r="AN13" i="153"/>
  <c r="AN16" i="153"/>
  <c r="AN10" i="153"/>
  <c r="AM10" i="153"/>
  <c r="AM16" i="153"/>
  <c r="AL16" i="153"/>
  <c r="AL7" i="153"/>
  <c r="AL13" i="153"/>
  <c r="AO5" i="153"/>
  <c r="AK7" i="153"/>
  <c r="AO8" i="153"/>
  <c r="AO14" i="153"/>
  <c r="AO3" i="153"/>
  <c r="AO9" i="153"/>
  <c r="AO15" i="153"/>
  <c r="AJ10" i="153"/>
  <c r="AJ16" i="153"/>
  <c r="AJ18" i="153"/>
  <c r="AN18" i="153"/>
  <c r="AJ4" i="153"/>
  <c r="AO2" i="153"/>
  <c r="AK4" i="153"/>
  <c r="AO6" i="153"/>
  <c r="AO12" i="153"/>
  <c r="AL4" i="153"/>
  <c r="AM4" i="153"/>
  <c r="J2120" i="5"/>
  <c r="R2120" i="5"/>
  <c r="AA2120" i="5"/>
  <c r="J2121" i="5"/>
  <c r="R2121" i="5"/>
  <c r="AA2121" i="5"/>
  <c r="J2122" i="5"/>
  <c r="R2122" i="5"/>
  <c r="AA2122" i="5"/>
  <c r="J2123" i="5"/>
  <c r="R2123" i="5"/>
  <c r="AA2123" i="5"/>
  <c r="J2124" i="5"/>
  <c r="R2124" i="5"/>
  <c r="AA2124" i="5"/>
  <c r="J2125" i="5"/>
  <c r="R2125" i="5"/>
  <c r="AA2125" i="5"/>
  <c r="J2126" i="5"/>
  <c r="R2126" i="5"/>
  <c r="AA2126" i="5"/>
  <c r="J2127" i="5"/>
  <c r="R2127" i="5"/>
  <c r="AA2127" i="5"/>
  <c r="J2128" i="5"/>
  <c r="R2128" i="5"/>
  <c r="AA2128" i="5"/>
  <c r="J2129" i="5"/>
  <c r="R2129" i="5"/>
  <c r="AA2129" i="5"/>
  <c r="J2130" i="5"/>
  <c r="R2130" i="5"/>
  <c r="AA2130" i="5"/>
  <c r="J2131" i="5"/>
  <c r="R2131" i="5"/>
  <c r="AA2131" i="5"/>
  <c r="J2132" i="5"/>
  <c r="R2132" i="5"/>
  <c r="AA2132" i="5"/>
  <c r="J2133" i="5"/>
  <c r="R2133" i="5"/>
  <c r="AA2133" i="5"/>
  <c r="J2134" i="5"/>
  <c r="R2134" i="5"/>
  <c r="AA2134" i="5"/>
  <c r="J2135" i="5"/>
  <c r="R2135" i="5"/>
  <c r="AA2135" i="5"/>
  <c r="J2136" i="5"/>
  <c r="R2136" i="5"/>
  <c r="AA2136" i="5"/>
  <c r="J2137" i="5"/>
  <c r="R2137" i="5"/>
  <c r="AA2137" i="5"/>
  <c r="J2138" i="5"/>
  <c r="R2138" i="5"/>
  <c r="AA2138" i="5"/>
  <c r="J2139" i="5"/>
  <c r="R2139" i="5"/>
  <c r="AA2139" i="5"/>
  <c r="J2140" i="5"/>
  <c r="R2140" i="5"/>
  <c r="AA2140" i="5"/>
  <c r="J2141" i="5"/>
  <c r="R2141" i="5"/>
  <c r="AA2141" i="5"/>
  <c r="J2142" i="5"/>
  <c r="R2142" i="5"/>
  <c r="AA2142" i="5"/>
  <c r="J2143" i="5"/>
  <c r="R2143" i="5"/>
  <c r="AA2143" i="5"/>
  <c r="J2144" i="5"/>
  <c r="R2144" i="5"/>
  <c r="AA2144" i="5"/>
  <c r="J2145" i="5"/>
  <c r="R2145" i="5"/>
  <c r="AA2145" i="5"/>
  <c r="J2146" i="5"/>
  <c r="R2146" i="5"/>
  <c r="AA2146" i="5"/>
  <c r="J2147" i="5"/>
  <c r="R2147" i="5"/>
  <c r="AA2147" i="5"/>
  <c r="J2148" i="5"/>
  <c r="R2148" i="5"/>
  <c r="AA2148" i="5"/>
  <c r="J2149" i="5"/>
  <c r="R2149" i="5"/>
  <c r="AA2149" i="5"/>
  <c r="J2150" i="5"/>
  <c r="R2150" i="5"/>
  <c r="AA2150" i="5"/>
  <c r="J2151" i="5"/>
  <c r="R2151" i="5"/>
  <c r="AA2151" i="5"/>
  <c r="J2152" i="5"/>
  <c r="R2152" i="5"/>
  <c r="AA2152" i="5"/>
  <c r="J2153" i="5"/>
  <c r="R2153" i="5"/>
  <c r="AA2153" i="5"/>
  <c r="J2154" i="5"/>
  <c r="R2154" i="5"/>
  <c r="AA2154" i="5"/>
  <c r="J2155" i="5"/>
  <c r="R2155" i="5"/>
  <c r="AA2155" i="5"/>
  <c r="J2156" i="5"/>
  <c r="R2156" i="5"/>
  <c r="AA2156" i="5"/>
  <c r="J2157" i="5"/>
  <c r="R2157" i="5"/>
  <c r="AA2157" i="5"/>
  <c r="J2158" i="5"/>
  <c r="R2158" i="5"/>
  <c r="AA2158" i="5"/>
  <c r="J2159" i="5"/>
  <c r="R2159" i="5"/>
  <c r="AA2159" i="5"/>
  <c r="J2160" i="5"/>
  <c r="R2160" i="5"/>
  <c r="AA2160" i="5"/>
  <c r="J2161" i="5"/>
  <c r="R2161" i="5"/>
  <c r="AA2161" i="5"/>
  <c r="J2162" i="5"/>
  <c r="R2162" i="5"/>
  <c r="AA2162" i="5"/>
  <c r="J2163" i="5"/>
  <c r="R2163" i="5"/>
  <c r="AA2163" i="5"/>
  <c r="J2164" i="5"/>
  <c r="R2164" i="5"/>
  <c r="AA2164" i="5"/>
  <c r="J2165" i="5"/>
  <c r="R2165" i="5"/>
  <c r="AA2165" i="5"/>
  <c r="J2166" i="5"/>
  <c r="R2166" i="5"/>
  <c r="AA2166" i="5"/>
  <c r="J2167" i="5"/>
  <c r="R2167" i="5"/>
  <c r="AA2167" i="5"/>
  <c r="J2168" i="5"/>
  <c r="R2168" i="5"/>
  <c r="AA2168" i="5"/>
  <c r="J2169" i="5"/>
  <c r="R2169" i="5"/>
  <c r="AA2169" i="5"/>
  <c r="J2170" i="5"/>
  <c r="R2170" i="5"/>
  <c r="AA2170" i="5"/>
  <c r="J2171" i="5"/>
  <c r="R2171" i="5"/>
  <c r="AA2171" i="5"/>
  <c r="J2172" i="5"/>
  <c r="R2172" i="5"/>
  <c r="AA2172" i="5"/>
  <c r="J2173" i="5"/>
  <c r="R2173" i="5"/>
  <c r="AA2173" i="5"/>
  <c r="J2174" i="5"/>
  <c r="R2174" i="5"/>
  <c r="AA2174" i="5"/>
  <c r="J2175" i="5"/>
  <c r="R2175" i="5"/>
  <c r="AA2175" i="5"/>
  <c r="J2176" i="5"/>
  <c r="R2176" i="5"/>
  <c r="AA2176" i="5"/>
  <c r="J2177" i="5"/>
  <c r="R2177" i="5"/>
  <c r="AA2177" i="5"/>
  <c r="J2178" i="5"/>
  <c r="R2178" i="5"/>
  <c r="AA2178" i="5"/>
  <c r="J2179" i="5"/>
  <c r="R2179" i="5"/>
  <c r="AA2179" i="5"/>
  <c r="J2180" i="5"/>
  <c r="R2180" i="5"/>
  <c r="AA2180" i="5"/>
  <c r="J2181" i="5"/>
  <c r="R2181" i="5"/>
  <c r="AA2181" i="5"/>
  <c r="J2182" i="5"/>
  <c r="R2182" i="5"/>
  <c r="AA2182" i="5"/>
  <c r="J2183" i="5"/>
  <c r="R2183" i="5"/>
  <c r="AA2183" i="5"/>
  <c r="J2184" i="5"/>
  <c r="R2184" i="5"/>
  <c r="AA2184" i="5"/>
  <c r="J2185" i="5"/>
  <c r="R2185" i="5"/>
  <c r="AA2185" i="5"/>
  <c r="J2186" i="5"/>
  <c r="R2186" i="5"/>
  <c r="AA2186" i="5"/>
  <c r="J2187" i="5"/>
  <c r="R2187" i="5"/>
  <c r="AA2187" i="5"/>
  <c r="J2188" i="5"/>
  <c r="R2188" i="5"/>
  <c r="AA2188" i="5"/>
  <c r="J2189" i="5"/>
  <c r="R2189" i="5"/>
  <c r="AA2189" i="5"/>
  <c r="J2190" i="5"/>
  <c r="R2190" i="5"/>
  <c r="AA2190" i="5"/>
  <c r="J2191" i="5"/>
  <c r="R2191" i="5"/>
  <c r="AA2191" i="5"/>
  <c r="J2192" i="5"/>
  <c r="R2192" i="5"/>
  <c r="AA2192" i="5"/>
  <c r="J2193" i="5"/>
  <c r="R2193" i="5"/>
  <c r="AA2193" i="5"/>
  <c r="J2194" i="5"/>
  <c r="R2194" i="5"/>
  <c r="AA2194" i="5"/>
  <c r="J2195" i="5"/>
  <c r="R2195" i="5"/>
  <c r="AA2195" i="5"/>
  <c r="J2196" i="5"/>
  <c r="R2196" i="5"/>
  <c r="AA2196" i="5"/>
  <c r="J2197" i="5"/>
  <c r="R2197" i="5"/>
  <c r="AA2197" i="5"/>
  <c r="J2198" i="5"/>
  <c r="R2198" i="5"/>
  <c r="AA2198" i="5"/>
  <c r="J2199" i="5"/>
  <c r="R2199" i="5"/>
  <c r="AA2199" i="5"/>
  <c r="J2200" i="5"/>
  <c r="R2200" i="5"/>
  <c r="AA2200" i="5"/>
  <c r="J2201" i="5"/>
  <c r="R2201" i="5"/>
  <c r="AA2201" i="5"/>
  <c r="J2202" i="5"/>
  <c r="R2202" i="5"/>
  <c r="AA2202" i="5"/>
  <c r="J2203" i="5"/>
  <c r="R2203" i="5"/>
  <c r="AA2203" i="5"/>
  <c r="J2204" i="5"/>
  <c r="R2204" i="5"/>
  <c r="AA2204" i="5"/>
  <c r="J2205" i="5"/>
  <c r="R2205" i="5"/>
  <c r="AA2205" i="5"/>
  <c r="J2206" i="5"/>
  <c r="R2206" i="5"/>
  <c r="AA2206" i="5"/>
  <c r="J2207" i="5"/>
  <c r="R2207" i="5"/>
  <c r="AA2207" i="5"/>
  <c r="J2208" i="5"/>
  <c r="R2208" i="5"/>
  <c r="AA2208" i="5"/>
  <c r="J2209" i="5"/>
  <c r="R2209" i="5"/>
  <c r="AA2209" i="5"/>
  <c r="J2210" i="5"/>
  <c r="R2210" i="5"/>
  <c r="AA2210" i="5"/>
  <c r="J2211" i="5"/>
  <c r="R2211" i="5"/>
  <c r="AA2211" i="5"/>
  <c r="J2212" i="5"/>
  <c r="R2212" i="5"/>
  <c r="AA2212" i="5"/>
  <c r="J2213" i="5"/>
  <c r="R2213" i="5"/>
  <c r="AA2213" i="5"/>
  <c r="J2214" i="5"/>
  <c r="R2214" i="5"/>
  <c r="AA2214" i="5"/>
  <c r="J2215" i="5"/>
  <c r="R2215" i="5"/>
  <c r="AA2215" i="5"/>
  <c r="J2216" i="5"/>
  <c r="R2216" i="5"/>
  <c r="AA2216" i="5"/>
  <c r="J2217" i="5"/>
  <c r="R2217" i="5"/>
  <c r="AA2217" i="5"/>
  <c r="J2218" i="5"/>
  <c r="R2218" i="5"/>
  <c r="AA2218" i="5"/>
  <c r="J2219" i="5"/>
  <c r="R2219" i="5"/>
  <c r="AA2219" i="5"/>
  <c r="J2220" i="5"/>
  <c r="R2220" i="5"/>
  <c r="AA2220" i="5"/>
  <c r="J2221" i="5"/>
  <c r="R2221" i="5"/>
  <c r="AA2221" i="5"/>
  <c r="J2222" i="5"/>
  <c r="R2222" i="5"/>
  <c r="AA2222" i="5"/>
  <c r="J2223" i="5"/>
  <c r="R2223" i="5"/>
  <c r="AA2223" i="5"/>
  <c r="J2224" i="5"/>
  <c r="R2224" i="5"/>
  <c r="AA2224" i="5"/>
  <c r="J2225" i="5"/>
  <c r="R2225" i="5"/>
  <c r="AA2225" i="5"/>
  <c r="J2226" i="5"/>
  <c r="R2226" i="5"/>
  <c r="AA2226" i="5"/>
  <c r="J2227" i="5"/>
  <c r="R2227" i="5"/>
  <c r="AA2227" i="5"/>
  <c r="J2228" i="5"/>
  <c r="R2228" i="5"/>
  <c r="AA2228" i="5"/>
  <c r="J2229" i="5"/>
  <c r="R2229" i="5"/>
  <c r="AA2229" i="5"/>
  <c r="J2230" i="5"/>
  <c r="R2230" i="5"/>
  <c r="AA2230" i="5"/>
  <c r="J2231" i="5"/>
  <c r="R2231" i="5"/>
  <c r="AA2231" i="5"/>
  <c r="J2232" i="5"/>
  <c r="R2232" i="5"/>
  <c r="AA2232" i="5"/>
  <c r="J2233" i="5"/>
  <c r="R2233" i="5"/>
  <c r="AA2233" i="5"/>
  <c r="J2234" i="5"/>
  <c r="R2234" i="5"/>
  <c r="AA2234" i="5"/>
  <c r="J2235" i="5"/>
  <c r="R2235" i="5"/>
  <c r="AA2235" i="5"/>
  <c r="J2236" i="5"/>
  <c r="R2236" i="5"/>
  <c r="AA2236" i="5"/>
  <c r="J2237" i="5"/>
  <c r="R2237" i="5"/>
  <c r="AA2237" i="5"/>
  <c r="J2238" i="5"/>
  <c r="R2238" i="5"/>
  <c r="AA2238" i="5"/>
  <c r="J2239" i="5"/>
  <c r="R2239" i="5"/>
  <c r="AA2239" i="5"/>
  <c r="J2240" i="5"/>
  <c r="R2240" i="5"/>
  <c r="AA2240" i="5"/>
  <c r="J2241" i="5"/>
  <c r="R2241" i="5"/>
  <c r="AA2241" i="5"/>
  <c r="J2242" i="5"/>
  <c r="R2242" i="5"/>
  <c r="AA2242" i="5"/>
  <c r="J2243" i="5"/>
  <c r="R2243" i="5"/>
  <c r="AA2243" i="5"/>
  <c r="J2244" i="5"/>
  <c r="R2244" i="5"/>
  <c r="AA2244" i="5"/>
  <c r="J2245" i="5"/>
  <c r="R2245" i="5"/>
  <c r="AA2245" i="5"/>
  <c r="J2246" i="5"/>
  <c r="R2246" i="5"/>
  <c r="AA2246" i="5"/>
  <c r="J2247" i="5"/>
  <c r="R2247" i="5"/>
  <c r="AA2247" i="5"/>
  <c r="J2248" i="5"/>
  <c r="R2248" i="5"/>
  <c r="AA2248" i="5"/>
  <c r="J2249" i="5"/>
  <c r="R2249" i="5"/>
  <c r="AA2249" i="5"/>
  <c r="J2250" i="5"/>
  <c r="R2250" i="5"/>
  <c r="AA2250" i="5"/>
  <c r="J2251" i="5"/>
  <c r="R2251" i="5"/>
  <c r="AA2251" i="5"/>
  <c r="J2252" i="5"/>
  <c r="R2252" i="5"/>
  <c r="AA2252" i="5"/>
  <c r="J2253" i="5"/>
  <c r="R2253" i="5"/>
  <c r="AA2253" i="5"/>
  <c r="J2254" i="5"/>
  <c r="R2254" i="5"/>
  <c r="AA2254" i="5"/>
  <c r="J2255" i="5"/>
  <c r="R2255" i="5"/>
  <c r="AA2255" i="5"/>
  <c r="J2256" i="5"/>
  <c r="R2256" i="5"/>
  <c r="AA2256" i="5"/>
  <c r="J2257" i="5"/>
  <c r="R2257" i="5"/>
  <c r="AA2257" i="5"/>
  <c r="J2258" i="5"/>
  <c r="R2258" i="5"/>
  <c r="AA2258" i="5"/>
  <c r="J2259" i="5"/>
  <c r="R2259" i="5"/>
  <c r="AA2259" i="5"/>
  <c r="J2260" i="5"/>
  <c r="R2260" i="5"/>
  <c r="AA2260" i="5"/>
  <c r="J2261" i="5"/>
  <c r="R2261" i="5"/>
  <c r="AA2261" i="5"/>
  <c r="J2262" i="5"/>
  <c r="R2262" i="5"/>
  <c r="AA2262" i="5"/>
  <c r="J2263" i="5"/>
  <c r="R2263" i="5"/>
  <c r="AA2263" i="5"/>
  <c r="J2264" i="5"/>
  <c r="R2264" i="5"/>
  <c r="AA2264" i="5"/>
  <c r="J2265" i="5"/>
  <c r="R2265" i="5"/>
  <c r="AA2265" i="5"/>
  <c r="J2266" i="5"/>
  <c r="R2266" i="5"/>
  <c r="AA2266" i="5"/>
  <c r="J2267" i="5"/>
  <c r="R2267" i="5"/>
  <c r="AA2267" i="5"/>
  <c r="J2268" i="5"/>
  <c r="R2268" i="5"/>
  <c r="AA2268" i="5"/>
  <c r="J2269" i="5"/>
  <c r="R2269" i="5"/>
  <c r="AA2269" i="5"/>
  <c r="J2270" i="5"/>
  <c r="R2270" i="5"/>
  <c r="AA2270" i="5"/>
  <c r="J2271" i="5"/>
  <c r="R2271" i="5"/>
  <c r="AA2271" i="5"/>
  <c r="J2272" i="5"/>
  <c r="R2272" i="5"/>
  <c r="AA2272" i="5"/>
  <c r="J2273" i="5"/>
  <c r="R2273" i="5"/>
  <c r="AA2273" i="5"/>
  <c r="J2274" i="5"/>
  <c r="R2274" i="5"/>
  <c r="AA2274" i="5"/>
  <c r="J2275" i="5"/>
  <c r="R2275" i="5"/>
  <c r="AA2275" i="5"/>
  <c r="J2276" i="5"/>
  <c r="R2276" i="5"/>
  <c r="AA2276" i="5"/>
  <c r="J2277" i="5"/>
  <c r="R2277" i="5"/>
  <c r="AA2277" i="5"/>
  <c r="J2278" i="5"/>
  <c r="R2278" i="5"/>
  <c r="AA2278" i="5"/>
  <c r="J2279" i="5"/>
  <c r="R2279" i="5"/>
  <c r="AA2279" i="5"/>
  <c r="J2280" i="5"/>
  <c r="R2280" i="5"/>
  <c r="AA2280" i="5"/>
  <c r="J2281" i="5"/>
  <c r="R2281" i="5"/>
  <c r="AA2281" i="5"/>
  <c r="J2282" i="5"/>
  <c r="R2282" i="5"/>
  <c r="AA2282" i="5"/>
  <c r="J2283" i="5"/>
  <c r="R2283" i="5"/>
  <c r="AA2283" i="5"/>
  <c r="J2284" i="5"/>
  <c r="R2284" i="5"/>
  <c r="AA2284" i="5"/>
  <c r="J2285" i="5"/>
  <c r="R2285" i="5"/>
  <c r="AA2285" i="5"/>
  <c r="J2286" i="5"/>
  <c r="R2286" i="5"/>
  <c r="AA2286" i="5"/>
  <c r="J2287" i="5"/>
  <c r="R2287" i="5"/>
  <c r="AA2287" i="5"/>
  <c r="J2288" i="5"/>
  <c r="R2288" i="5"/>
  <c r="AA2288" i="5"/>
  <c r="J2289" i="5"/>
  <c r="R2289" i="5"/>
  <c r="AA2289" i="5"/>
  <c r="J2290" i="5"/>
  <c r="R2290" i="5"/>
  <c r="AA2290" i="5"/>
  <c r="J2291" i="5"/>
  <c r="R2291" i="5"/>
  <c r="AA2291" i="5"/>
  <c r="J2292" i="5"/>
  <c r="R2292" i="5"/>
  <c r="AA2292" i="5"/>
  <c r="J2293" i="5"/>
  <c r="R2293" i="5"/>
  <c r="AA2293" i="5"/>
  <c r="J2294" i="5"/>
  <c r="R2294" i="5"/>
  <c r="AA2294" i="5"/>
  <c r="J2295" i="5"/>
  <c r="R2295" i="5"/>
  <c r="AA2295" i="5"/>
  <c r="J2296" i="5"/>
  <c r="R2296" i="5"/>
  <c r="AA2296" i="5"/>
  <c r="J2297" i="5"/>
  <c r="R2297" i="5"/>
  <c r="AA2297" i="5"/>
  <c r="J2298" i="5"/>
  <c r="R2298" i="5"/>
  <c r="AA2298" i="5"/>
  <c r="J2299" i="5"/>
  <c r="R2299" i="5"/>
  <c r="AA2299" i="5"/>
  <c r="J2300" i="5"/>
  <c r="R2300" i="5"/>
  <c r="AA2300" i="5"/>
  <c r="J2301" i="5"/>
  <c r="R2301" i="5"/>
  <c r="AA2301" i="5"/>
  <c r="J2302" i="5"/>
  <c r="R2302" i="5"/>
  <c r="AA2302" i="5"/>
  <c r="J2303" i="5"/>
  <c r="R2303" i="5"/>
  <c r="AA2303" i="5"/>
  <c r="J2304" i="5"/>
  <c r="R2304" i="5"/>
  <c r="AA2304" i="5"/>
  <c r="J2305" i="5"/>
  <c r="R2305" i="5"/>
  <c r="AA2305" i="5"/>
  <c r="J2306" i="5"/>
  <c r="R2306" i="5"/>
  <c r="AA2306" i="5"/>
  <c r="J2307" i="5"/>
  <c r="R2307" i="5"/>
  <c r="AA2307" i="5"/>
  <c r="J2308" i="5"/>
  <c r="R2308" i="5"/>
  <c r="AA2308" i="5"/>
  <c r="J2309" i="5"/>
  <c r="R2309" i="5"/>
  <c r="AA2309" i="5"/>
  <c r="J2310" i="5"/>
  <c r="R2310" i="5"/>
  <c r="AA2310" i="5"/>
  <c r="J2311" i="5"/>
  <c r="R2311" i="5"/>
  <c r="AA2311" i="5"/>
  <c r="J2312" i="5"/>
  <c r="R2312" i="5"/>
  <c r="AA2312" i="5"/>
  <c r="J2313" i="5"/>
  <c r="R2313" i="5"/>
  <c r="AA2313" i="5"/>
  <c r="J2314" i="5"/>
  <c r="R2314" i="5"/>
  <c r="AA2314" i="5"/>
  <c r="J2315" i="5"/>
  <c r="R2315" i="5"/>
  <c r="AA2315" i="5"/>
  <c r="J2316" i="5"/>
  <c r="R2316" i="5"/>
  <c r="AA2316" i="5"/>
  <c r="J2317" i="5"/>
  <c r="R2317" i="5"/>
  <c r="AA2317" i="5"/>
  <c r="J2318" i="5"/>
  <c r="R2318" i="5"/>
  <c r="AA2318" i="5"/>
  <c r="J2319" i="5"/>
  <c r="R2319" i="5"/>
  <c r="AA2319" i="5"/>
  <c r="J2320" i="5"/>
  <c r="R2320" i="5"/>
  <c r="AA2320" i="5"/>
  <c r="J2321" i="5"/>
  <c r="R2321" i="5"/>
  <c r="AA2321" i="5"/>
  <c r="J2322" i="5"/>
  <c r="R2322" i="5"/>
  <c r="AA2322" i="5"/>
  <c r="J2323" i="5"/>
  <c r="R2323" i="5"/>
  <c r="AA2323" i="5"/>
  <c r="J2324" i="5"/>
  <c r="R2324" i="5"/>
  <c r="AA2324" i="5"/>
  <c r="J2325" i="5"/>
  <c r="R2325" i="5"/>
  <c r="AA2325" i="5"/>
  <c r="J2326" i="5"/>
  <c r="R2326" i="5"/>
  <c r="AA2326" i="5"/>
  <c r="J2327" i="5"/>
  <c r="R2327" i="5"/>
  <c r="AA2327" i="5"/>
  <c r="J2328" i="5"/>
  <c r="R2328" i="5"/>
  <c r="AA2328" i="5"/>
  <c r="J2329" i="5"/>
  <c r="R2329" i="5"/>
  <c r="AA2329" i="5"/>
  <c r="J2330" i="5"/>
  <c r="R2330" i="5"/>
  <c r="AA2330" i="5"/>
  <c r="J2331" i="5"/>
  <c r="R2331" i="5"/>
  <c r="AA2331" i="5"/>
  <c r="J2332" i="5"/>
  <c r="R2332" i="5"/>
  <c r="AA2332" i="5"/>
  <c r="J2333" i="5"/>
  <c r="R2333" i="5"/>
  <c r="AA2333" i="5"/>
  <c r="J2334" i="5"/>
  <c r="R2334" i="5"/>
  <c r="AA2334" i="5"/>
  <c r="J2335" i="5"/>
  <c r="R2335" i="5"/>
  <c r="AA2335" i="5"/>
  <c r="J2336" i="5"/>
  <c r="R2336" i="5"/>
  <c r="AA2336" i="5"/>
  <c r="J2337" i="5"/>
  <c r="R2337" i="5"/>
  <c r="AA2337" i="5"/>
  <c r="J2338" i="5"/>
  <c r="R2338" i="5"/>
  <c r="AA2338" i="5"/>
  <c r="J2339" i="5"/>
  <c r="R2339" i="5"/>
  <c r="AA2339" i="5"/>
  <c r="J2340" i="5"/>
  <c r="R2340" i="5"/>
  <c r="AA2340" i="5"/>
  <c r="J2341" i="5"/>
  <c r="R2341" i="5"/>
  <c r="AA2341" i="5"/>
  <c r="J2342" i="5"/>
  <c r="R2342" i="5"/>
  <c r="AA2342" i="5"/>
  <c r="J2343" i="5"/>
  <c r="R2343" i="5"/>
  <c r="AA2343" i="5"/>
  <c r="J2344" i="5"/>
  <c r="R2344" i="5"/>
  <c r="AA2344" i="5"/>
  <c r="J2345" i="5"/>
  <c r="R2345" i="5"/>
  <c r="AA2345" i="5"/>
  <c r="J2346" i="5"/>
  <c r="R2346" i="5"/>
  <c r="AA2346" i="5"/>
  <c r="J2347" i="5"/>
  <c r="R2347" i="5"/>
  <c r="AA2347" i="5"/>
  <c r="J2348" i="5"/>
  <c r="R2348" i="5"/>
  <c r="AA2348" i="5"/>
  <c r="J2349" i="5"/>
  <c r="R2349" i="5"/>
  <c r="AA2349" i="5"/>
  <c r="J2350" i="5"/>
  <c r="R2350" i="5"/>
  <c r="AA2350" i="5"/>
  <c r="J2351" i="5"/>
  <c r="R2351" i="5"/>
  <c r="AA2351" i="5"/>
  <c r="J2352" i="5"/>
  <c r="R2352" i="5"/>
  <c r="AA2352" i="5"/>
  <c r="J2353" i="5"/>
  <c r="R2353" i="5"/>
  <c r="AA2353" i="5"/>
  <c r="J2354" i="5"/>
  <c r="R2354" i="5"/>
  <c r="AA2354" i="5"/>
  <c r="J2355" i="5"/>
  <c r="R2355" i="5"/>
  <c r="AA2355" i="5"/>
  <c r="J2356" i="5"/>
  <c r="R2356" i="5"/>
  <c r="AA2356" i="5"/>
  <c r="J2357" i="5"/>
  <c r="R2357" i="5"/>
  <c r="AA2357" i="5"/>
  <c r="J2358" i="5"/>
  <c r="R2358" i="5"/>
  <c r="AA2358" i="5"/>
  <c r="J2359" i="5"/>
  <c r="R2359" i="5"/>
  <c r="AA2359" i="5"/>
  <c r="J2360" i="5"/>
  <c r="R2360" i="5"/>
  <c r="AA2360" i="5"/>
  <c r="J2361" i="5"/>
  <c r="R2361" i="5"/>
  <c r="AA2361" i="5"/>
  <c r="J2362" i="5"/>
  <c r="R2362" i="5"/>
  <c r="AA2362" i="5"/>
  <c r="J2363" i="5"/>
  <c r="R2363" i="5"/>
  <c r="AA2363" i="5"/>
  <c r="J2364" i="5"/>
  <c r="R2364" i="5"/>
  <c r="AA2364" i="5"/>
  <c r="J2365" i="5"/>
  <c r="R2365" i="5"/>
  <c r="AA2365" i="5"/>
  <c r="J2366" i="5"/>
  <c r="R2366" i="5"/>
  <c r="AA2366" i="5"/>
  <c r="J2367" i="5"/>
  <c r="R2367" i="5"/>
  <c r="AA2367" i="5"/>
  <c r="J2368" i="5"/>
  <c r="R2368" i="5"/>
  <c r="AA2368" i="5"/>
  <c r="J2369" i="5"/>
  <c r="R2369" i="5"/>
  <c r="AA2369" i="5"/>
  <c r="J2370" i="5"/>
  <c r="R2370" i="5"/>
  <c r="AA2370" i="5"/>
  <c r="J2371" i="5"/>
  <c r="R2371" i="5"/>
  <c r="AA2371" i="5"/>
  <c r="J2372" i="5"/>
  <c r="R2372" i="5"/>
  <c r="AA2372" i="5"/>
  <c r="J2373" i="5"/>
  <c r="R2373" i="5"/>
  <c r="AA2373" i="5"/>
  <c r="J2374" i="5"/>
  <c r="R2374" i="5"/>
  <c r="AA2374" i="5"/>
  <c r="J2375" i="5"/>
  <c r="R2375" i="5"/>
  <c r="AA2375" i="5"/>
  <c r="J2376" i="5"/>
  <c r="R2376" i="5"/>
  <c r="AA2376" i="5"/>
  <c r="J2377" i="5"/>
  <c r="R2377" i="5"/>
  <c r="AA2377" i="5"/>
  <c r="J2378" i="5"/>
  <c r="R2378" i="5"/>
  <c r="AA2378" i="5"/>
  <c r="J2379" i="5"/>
  <c r="R2379" i="5"/>
  <c r="AA2379" i="5"/>
  <c r="J2380" i="5"/>
  <c r="R2380" i="5"/>
  <c r="AA2380" i="5"/>
  <c r="J2381" i="5"/>
  <c r="R2381" i="5"/>
  <c r="AA2381" i="5"/>
  <c r="J2382" i="5"/>
  <c r="R2382" i="5"/>
  <c r="AA2382" i="5"/>
  <c r="J2383" i="5"/>
  <c r="R2383" i="5"/>
  <c r="AA2383" i="5"/>
  <c r="J2384" i="5"/>
  <c r="R2384" i="5"/>
  <c r="AA2384" i="5"/>
  <c r="J2385" i="5"/>
  <c r="R2385" i="5"/>
  <c r="AA2385" i="5"/>
  <c r="J2386" i="5"/>
  <c r="R2386" i="5"/>
  <c r="AA2386" i="5"/>
  <c r="J2387" i="5"/>
  <c r="R2387" i="5"/>
  <c r="AA2387" i="5"/>
  <c r="J2388" i="5"/>
  <c r="R2388" i="5"/>
  <c r="AA2388" i="5"/>
  <c r="J2389" i="5"/>
  <c r="R2389" i="5"/>
  <c r="AA2389" i="5"/>
  <c r="J2390" i="5"/>
  <c r="R2390" i="5"/>
  <c r="AA2390" i="5"/>
  <c r="J2391" i="5"/>
  <c r="R2391" i="5"/>
  <c r="AA2391" i="5"/>
  <c r="J2392" i="5"/>
  <c r="R2392" i="5"/>
  <c r="AA2392" i="5"/>
  <c r="J2393" i="5"/>
  <c r="R2393" i="5"/>
  <c r="AA2393" i="5"/>
  <c r="J2394" i="5"/>
  <c r="R2394" i="5"/>
  <c r="AA2394" i="5"/>
  <c r="J2395" i="5"/>
  <c r="R2395" i="5"/>
  <c r="AA2395" i="5"/>
  <c r="J2396" i="5"/>
  <c r="R2396" i="5"/>
  <c r="AA2396" i="5"/>
  <c r="J2397" i="5"/>
  <c r="R2397" i="5"/>
  <c r="AA2397" i="5"/>
  <c r="J2398" i="5"/>
  <c r="R2398" i="5"/>
  <c r="AA2398" i="5"/>
  <c r="J2399" i="5"/>
  <c r="R2399" i="5"/>
  <c r="AA2399" i="5"/>
  <c r="J2400" i="5"/>
  <c r="R2400" i="5"/>
  <c r="AA2400" i="5"/>
  <c r="J2401" i="5"/>
  <c r="R2401" i="5"/>
  <c r="AA2401" i="5"/>
  <c r="J2402" i="5"/>
  <c r="R2402" i="5"/>
  <c r="AA2402" i="5"/>
  <c r="J2403" i="5"/>
  <c r="R2403" i="5"/>
  <c r="AA2403" i="5"/>
  <c r="J2404" i="5"/>
  <c r="R2404" i="5"/>
  <c r="AA2404" i="5"/>
  <c r="J2405" i="5"/>
  <c r="R2405" i="5"/>
  <c r="AA2405" i="5"/>
  <c r="J2406" i="5"/>
  <c r="R2406" i="5"/>
  <c r="AA2406" i="5"/>
  <c r="J2407" i="5"/>
  <c r="R2407" i="5"/>
  <c r="AA2407" i="5"/>
  <c r="J2408" i="5"/>
  <c r="R2408" i="5"/>
  <c r="AA2408" i="5"/>
  <c r="J2409" i="5"/>
  <c r="R2409" i="5"/>
  <c r="AA2409" i="5"/>
  <c r="J2410" i="5"/>
  <c r="R2410" i="5"/>
  <c r="AA2410" i="5"/>
  <c r="J2411" i="5"/>
  <c r="R2411" i="5"/>
  <c r="AA2411" i="5"/>
  <c r="J2412" i="5"/>
  <c r="R2412" i="5"/>
  <c r="AA2412" i="5"/>
  <c r="J2413" i="5"/>
  <c r="R2413" i="5"/>
  <c r="AA2413" i="5"/>
  <c r="J2414" i="5"/>
  <c r="R2414" i="5"/>
  <c r="AA2414" i="5"/>
  <c r="J2415" i="5"/>
  <c r="R2415" i="5"/>
  <c r="AA2415" i="5"/>
  <c r="J2416" i="5"/>
  <c r="R2416" i="5"/>
  <c r="AA2416" i="5"/>
  <c r="J2417" i="5"/>
  <c r="R2417" i="5"/>
  <c r="AA2417" i="5"/>
  <c r="J2418" i="5"/>
  <c r="R2418" i="5"/>
  <c r="AA2418" i="5"/>
  <c r="J2419" i="5"/>
  <c r="R2419" i="5"/>
  <c r="AA2419" i="5"/>
  <c r="J2420" i="5"/>
  <c r="R2420" i="5"/>
  <c r="AA2420" i="5"/>
  <c r="J2421" i="5"/>
  <c r="R2421" i="5"/>
  <c r="AA2421" i="5"/>
  <c r="J2422" i="5"/>
  <c r="R2422" i="5"/>
  <c r="AA2422" i="5"/>
  <c r="J2423" i="5"/>
  <c r="R2423" i="5"/>
  <c r="AA2423" i="5"/>
  <c r="J2424" i="5"/>
  <c r="R2424" i="5"/>
  <c r="AA2424" i="5"/>
  <c r="J2425" i="5"/>
  <c r="R2425" i="5"/>
  <c r="AA2425" i="5"/>
  <c r="J2426" i="5"/>
  <c r="R2426" i="5"/>
  <c r="AA2426" i="5"/>
  <c r="R2427" i="5"/>
  <c r="J2428" i="5"/>
  <c r="R2428" i="5"/>
  <c r="AA2428" i="5"/>
  <c r="AA2429" i="5"/>
  <c r="J2430" i="5"/>
  <c r="R2430" i="5"/>
  <c r="AA2430" i="5"/>
  <c r="J2431" i="5"/>
  <c r="R2431" i="5"/>
  <c r="AA2431" i="5"/>
  <c r="J2432" i="5"/>
  <c r="R2432" i="5"/>
  <c r="AA2432" i="5"/>
  <c r="J2433" i="5"/>
  <c r="R2433" i="5"/>
  <c r="AA2433" i="5"/>
  <c r="J2434" i="5"/>
  <c r="R2434" i="5"/>
  <c r="AA2434" i="5"/>
  <c r="J2435" i="5"/>
  <c r="R2435" i="5"/>
  <c r="AA2435" i="5"/>
  <c r="J2436" i="5"/>
  <c r="R2436" i="5"/>
  <c r="AA2436" i="5"/>
  <c r="J2437" i="5"/>
  <c r="R2437" i="5"/>
  <c r="AA2437" i="5"/>
  <c r="J2438" i="5"/>
  <c r="R2438" i="5"/>
  <c r="AA2438" i="5"/>
  <c r="J2439" i="5"/>
  <c r="R2439" i="5"/>
  <c r="AA2439" i="5"/>
  <c r="J2440" i="5"/>
  <c r="R2440" i="5"/>
  <c r="AA2440" i="5"/>
  <c r="J2441" i="5"/>
  <c r="R2441" i="5"/>
  <c r="AA2441" i="5"/>
  <c r="J2442" i="5"/>
  <c r="R2442" i="5"/>
  <c r="AA2442" i="5"/>
  <c r="J2443" i="5"/>
  <c r="R2443" i="5"/>
  <c r="AA2443" i="5"/>
  <c r="J2444" i="5"/>
  <c r="R2444" i="5"/>
  <c r="AA2444" i="5"/>
  <c r="J2445" i="5"/>
  <c r="R2445" i="5"/>
  <c r="AA2445" i="5"/>
  <c r="J2446" i="5"/>
  <c r="R2446" i="5"/>
  <c r="AA2446" i="5"/>
  <c r="J2447" i="5"/>
  <c r="R2447" i="5"/>
  <c r="AA2447" i="5"/>
  <c r="J2448" i="5"/>
  <c r="R2448" i="5"/>
  <c r="AA2448" i="5"/>
  <c r="J2449" i="5"/>
  <c r="R2449" i="5"/>
  <c r="AA2449" i="5"/>
  <c r="J2450" i="5"/>
  <c r="R2450" i="5"/>
  <c r="AA2450" i="5"/>
  <c r="J2451" i="5"/>
  <c r="R2451" i="5"/>
  <c r="AA2451" i="5"/>
  <c r="J2452" i="5"/>
  <c r="R2452" i="5"/>
  <c r="AA2452" i="5"/>
  <c r="J2453" i="5"/>
  <c r="R2453" i="5"/>
  <c r="AA2453" i="5"/>
  <c r="J2454" i="5"/>
  <c r="R2454" i="5"/>
  <c r="AA2454" i="5"/>
  <c r="J2455" i="5"/>
  <c r="R2455" i="5"/>
  <c r="AA2455" i="5"/>
  <c r="J2456" i="5"/>
  <c r="R2456" i="5"/>
  <c r="AA2456" i="5"/>
  <c r="J2457" i="5"/>
  <c r="R2457" i="5"/>
  <c r="AA2457" i="5"/>
  <c r="J2458" i="5"/>
  <c r="R2458" i="5"/>
  <c r="AA2458" i="5"/>
  <c r="J2459" i="5"/>
  <c r="R2459" i="5"/>
  <c r="AA2459" i="5"/>
  <c r="J2460" i="5"/>
  <c r="R2460" i="5"/>
  <c r="AA2460" i="5"/>
  <c r="J2461" i="5"/>
  <c r="R2461" i="5"/>
  <c r="AA2461" i="5"/>
  <c r="J2462" i="5"/>
  <c r="R2462" i="5"/>
  <c r="AA2462" i="5"/>
  <c r="J2463" i="5"/>
  <c r="R2463" i="5"/>
  <c r="AA2463" i="5"/>
  <c r="J2464" i="5"/>
  <c r="R2464" i="5"/>
  <c r="AA2464" i="5"/>
  <c r="J2465" i="5"/>
  <c r="R2465" i="5"/>
  <c r="AA2465" i="5"/>
  <c r="J2466" i="5"/>
  <c r="R2466" i="5"/>
  <c r="AA2466" i="5"/>
  <c r="J2467" i="5"/>
  <c r="R2467" i="5"/>
  <c r="AA2467" i="5"/>
  <c r="J2468" i="5"/>
  <c r="R2468" i="5"/>
  <c r="AA2468" i="5"/>
  <c r="J2469" i="5"/>
  <c r="R2469" i="5"/>
  <c r="AA2469" i="5"/>
  <c r="J2470" i="5"/>
  <c r="R2470" i="5"/>
  <c r="AA2470" i="5"/>
  <c r="J2471" i="5"/>
  <c r="R2471" i="5"/>
  <c r="AA2471" i="5"/>
  <c r="J2472" i="5"/>
  <c r="R2472" i="5"/>
  <c r="AA2472" i="5"/>
  <c r="J2473" i="5"/>
  <c r="R2473" i="5"/>
  <c r="AA2473" i="5"/>
  <c r="J2474" i="5"/>
  <c r="R2474" i="5"/>
  <c r="AA2474" i="5"/>
  <c r="J2475" i="5"/>
  <c r="R2475" i="5"/>
  <c r="AA2475" i="5"/>
  <c r="J2476" i="5"/>
  <c r="R2476" i="5"/>
  <c r="AA2476" i="5"/>
  <c r="J2477" i="5"/>
  <c r="R2477" i="5"/>
  <c r="AA2477" i="5"/>
  <c r="J2478" i="5"/>
  <c r="R2478" i="5"/>
  <c r="AA2478" i="5"/>
  <c r="J2479" i="5"/>
  <c r="R2479" i="5"/>
  <c r="AA2479" i="5"/>
  <c r="J2480" i="5"/>
  <c r="R2480" i="5"/>
  <c r="AA2480" i="5"/>
  <c r="J2481" i="5"/>
  <c r="R2481" i="5"/>
  <c r="AA2481" i="5"/>
  <c r="J2482" i="5"/>
  <c r="R2482" i="5"/>
  <c r="AA2482" i="5"/>
  <c r="J2483" i="5"/>
  <c r="R2483" i="5"/>
  <c r="AA2483" i="5"/>
  <c r="J2484" i="5"/>
  <c r="R2484" i="5"/>
  <c r="AA2484" i="5"/>
  <c r="J2485" i="5"/>
  <c r="R2485" i="5"/>
  <c r="AA2485" i="5"/>
  <c r="J2486" i="5"/>
  <c r="R2486" i="5"/>
  <c r="AA2486" i="5"/>
  <c r="J2487" i="5"/>
  <c r="R2487" i="5"/>
  <c r="AA2487" i="5"/>
  <c r="J2488" i="5"/>
  <c r="R2488" i="5"/>
  <c r="AA2488" i="5"/>
  <c r="J2489" i="5"/>
  <c r="R2489" i="5"/>
  <c r="AA2489" i="5"/>
  <c r="J2490" i="5"/>
  <c r="R2490" i="5"/>
  <c r="AA2490" i="5"/>
  <c r="J2491" i="5"/>
  <c r="R2491" i="5"/>
  <c r="AA2491" i="5"/>
  <c r="J2492" i="5"/>
  <c r="R2492" i="5"/>
  <c r="AA2492" i="5"/>
  <c r="J2493" i="5"/>
  <c r="R2493" i="5"/>
  <c r="AA2493" i="5"/>
  <c r="J2494" i="5"/>
  <c r="R2494" i="5"/>
  <c r="AA2494" i="5"/>
  <c r="J2495" i="5"/>
  <c r="R2495" i="5"/>
  <c r="AA2495" i="5"/>
  <c r="J2496" i="5"/>
  <c r="R2496" i="5"/>
  <c r="AA2496" i="5"/>
  <c r="J2497" i="5"/>
  <c r="R2497" i="5"/>
  <c r="AA2497" i="5"/>
  <c r="J2498" i="5"/>
  <c r="R2498" i="5"/>
  <c r="AA2498" i="5"/>
  <c r="J2499" i="5"/>
  <c r="R2499" i="5"/>
  <c r="AA2499" i="5"/>
  <c r="J2500" i="5"/>
  <c r="R2500" i="5"/>
  <c r="AA2500" i="5"/>
  <c r="J2501" i="5"/>
  <c r="R2501" i="5"/>
  <c r="AA2501" i="5"/>
  <c r="J2502" i="5"/>
  <c r="R2502" i="5"/>
  <c r="AA2502" i="5"/>
  <c r="J2503" i="5"/>
  <c r="R2503" i="5"/>
  <c r="AA2503" i="5"/>
  <c r="J2504" i="5"/>
  <c r="R2504" i="5"/>
  <c r="AA2504" i="5"/>
  <c r="J2505" i="5"/>
  <c r="R2505" i="5"/>
  <c r="AA2505" i="5"/>
  <c r="J2506" i="5"/>
  <c r="R2506" i="5"/>
  <c r="AA2506" i="5"/>
  <c r="J2507" i="5"/>
  <c r="R2507" i="5"/>
  <c r="AA2507" i="5"/>
  <c r="J2508" i="5"/>
  <c r="R2508" i="5"/>
  <c r="AA2508" i="5"/>
  <c r="J2509" i="5"/>
  <c r="R2509" i="5"/>
  <c r="AA2509" i="5"/>
  <c r="J2510" i="5"/>
  <c r="R2510" i="5"/>
  <c r="AA2510" i="5"/>
  <c r="J2511" i="5"/>
  <c r="R2511" i="5"/>
  <c r="AA2511" i="5"/>
  <c r="J2512" i="5"/>
  <c r="R2512" i="5"/>
  <c r="AA2512" i="5"/>
  <c r="J2513" i="5"/>
  <c r="R2513" i="5"/>
  <c r="AA2513" i="5"/>
  <c r="J2514" i="5"/>
  <c r="R2514" i="5"/>
  <c r="AA2514" i="5"/>
  <c r="C67" i="169" l="1"/>
  <c r="D67" i="169" s="1"/>
  <c r="E67" i="169" s="1"/>
  <c r="F67" i="169" s="1"/>
  <c r="C66" i="169"/>
  <c r="D66" i="169" s="1"/>
  <c r="E66" i="169" s="1"/>
  <c r="F66" i="169" s="1"/>
  <c r="C65" i="169"/>
  <c r="C62" i="169"/>
  <c r="D62" i="169" s="1"/>
  <c r="E62" i="169" s="1"/>
  <c r="F62" i="169" s="1"/>
  <c r="C61" i="169"/>
  <c r="D61" i="169" s="1"/>
  <c r="E61" i="169" s="1"/>
  <c r="F61" i="169" s="1"/>
  <c r="C59" i="169"/>
  <c r="C55" i="169"/>
  <c r="D55" i="169" s="1"/>
  <c r="E55" i="169" s="1"/>
  <c r="F55" i="169" s="1"/>
  <c r="C54" i="169"/>
  <c r="C53" i="169"/>
  <c r="C52" i="169"/>
  <c r="C48" i="169"/>
  <c r="D48" i="169" s="1"/>
  <c r="E48" i="169" s="1"/>
  <c r="F48" i="169" s="1"/>
  <c r="C47" i="169"/>
  <c r="D47" i="169" s="1"/>
  <c r="E47" i="169" s="1"/>
  <c r="F47" i="169" s="1"/>
  <c r="C46" i="169"/>
  <c r="D46" i="169" s="1"/>
  <c r="E46" i="169" s="1"/>
  <c r="F46" i="169" s="1"/>
  <c r="AK19" i="153"/>
  <c r="AL19" i="153"/>
  <c r="AN19" i="153"/>
  <c r="AO17" i="153"/>
  <c r="AO13" i="153"/>
  <c r="AM19" i="153"/>
  <c r="AO10" i="153"/>
  <c r="AO4" i="153"/>
  <c r="AO16" i="153"/>
  <c r="AO7" i="153"/>
  <c r="AJ19" i="153"/>
  <c r="AO18" i="153"/>
  <c r="AA2119" i="5"/>
  <c r="AA2118" i="5"/>
  <c r="R2119" i="5"/>
  <c r="R2118" i="5"/>
  <c r="J2119" i="5"/>
  <c r="J2118" i="5"/>
  <c r="D65" i="169" l="1"/>
  <c r="E65" i="169" s="1"/>
  <c r="F65" i="169" s="1"/>
  <c r="D59" i="169"/>
  <c r="E59" i="169" s="1"/>
  <c r="F59" i="169" s="1"/>
  <c r="D54" i="169"/>
  <c r="E54" i="169" s="1"/>
  <c r="F54" i="169" s="1"/>
  <c r="D53" i="169"/>
  <c r="E53" i="169" s="1"/>
  <c r="F53" i="169" s="1"/>
  <c r="D52" i="169"/>
  <c r="E52" i="169" s="1"/>
  <c r="F52" i="169" s="1"/>
  <c r="AO19" i="153"/>
  <c r="DL7" i="175"/>
  <c r="DK7" i="175"/>
  <c r="DI7" i="175"/>
  <c r="DH7" i="175"/>
  <c r="DF7" i="175"/>
  <c r="DE7" i="175"/>
  <c r="DC7" i="175"/>
  <c r="DB7" i="175"/>
  <c r="CZ7" i="175"/>
  <c r="CY7" i="175"/>
  <c r="DL6" i="175"/>
  <c r="DK6" i="175"/>
  <c r="DI6" i="175"/>
  <c r="DH6" i="175"/>
  <c r="DF6" i="175"/>
  <c r="DE6" i="175"/>
  <c r="DC6" i="175"/>
  <c r="DB6" i="175"/>
  <c r="CZ6" i="175"/>
  <c r="CY6" i="175"/>
  <c r="DL5" i="175"/>
  <c r="DK5" i="175"/>
  <c r="DI5" i="175"/>
  <c r="DH5" i="175"/>
  <c r="DF5" i="175"/>
  <c r="DE5" i="175"/>
  <c r="DC5" i="175"/>
  <c r="DB5" i="175"/>
  <c r="CZ5" i="175"/>
  <c r="CY5" i="175"/>
  <c r="DL4" i="175"/>
  <c r="DK4" i="175"/>
  <c r="DI4" i="175"/>
  <c r="DH4" i="175"/>
  <c r="DF4" i="175"/>
  <c r="DE4" i="175"/>
  <c r="DC4" i="175"/>
  <c r="DB4" i="175"/>
  <c r="CZ4" i="175"/>
  <c r="CY4" i="175"/>
  <c r="DL3" i="175"/>
  <c r="DK3" i="175"/>
  <c r="DI3" i="175"/>
  <c r="DH3" i="175"/>
  <c r="DF3" i="175"/>
  <c r="DE3" i="175"/>
  <c r="DC3" i="175"/>
  <c r="DB3" i="175"/>
  <c r="CZ3" i="175"/>
  <c r="CY3" i="175"/>
  <c r="L6" i="175"/>
  <c r="I6" i="175" s="1"/>
  <c r="L7" i="175"/>
  <c r="K6" i="175"/>
  <c r="K7" i="175"/>
  <c r="L4" i="175"/>
  <c r="L5" i="175"/>
  <c r="K5" i="175"/>
  <c r="K4" i="175"/>
  <c r="K3" i="175"/>
  <c r="L3" i="175"/>
  <c r="AA2084" i="5"/>
  <c r="AA2085" i="5"/>
  <c r="AA2086" i="5"/>
  <c r="AA2087" i="5"/>
  <c r="AA2088" i="5"/>
  <c r="AA2089" i="5"/>
  <c r="AA2090" i="5"/>
  <c r="AA2091" i="5"/>
  <c r="AA2092" i="5"/>
  <c r="AA2093" i="5"/>
  <c r="AA2094" i="5"/>
  <c r="C60" i="169" s="1"/>
  <c r="D60" i="169" s="1"/>
  <c r="E60" i="169" s="1"/>
  <c r="F60" i="169" s="1"/>
  <c r="AA2095" i="5"/>
  <c r="AA2096" i="5"/>
  <c r="AA2097" i="5"/>
  <c r="AA2098" i="5"/>
  <c r="AA2099" i="5"/>
  <c r="AA2100" i="5"/>
  <c r="AA2101" i="5"/>
  <c r="AA2102" i="5"/>
  <c r="AA2103" i="5"/>
  <c r="AA2104" i="5"/>
  <c r="AA2105" i="5"/>
  <c r="AA2106" i="5"/>
  <c r="AA2107" i="5"/>
  <c r="AA2109" i="5"/>
  <c r="AA2110" i="5"/>
  <c r="C51" i="169" s="1"/>
  <c r="AA2111" i="5"/>
  <c r="AA2112" i="5"/>
  <c r="AA2113" i="5"/>
  <c r="AA2114" i="5"/>
  <c r="AA2115" i="5"/>
  <c r="AA2116" i="5"/>
  <c r="AA2117" i="5"/>
  <c r="R2084" i="5"/>
  <c r="R2085" i="5"/>
  <c r="R2086" i="5"/>
  <c r="R2087" i="5"/>
  <c r="R2088" i="5"/>
  <c r="R2089" i="5"/>
  <c r="R2090" i="5"/>
  <c r="R2091" i="5"/>
  <c r="R2092" i="5"/>
  <c r="R2093" i="5"/>
  <c r="R2094" i="5"/>
  <c r="R2095" i="5"/>
  <c r="R2096" i="5"/>
  <c r="R2097" i="5"/>
  <c r="R2098" i="5"/>
  <c r="R2099" i="5"/>
  <c r="R2100" i="5"/>
  <c r="R2101" i="5"/>
  <c r="R2102" i="5"/>
  <c r="R2103" i="5"/>
  <c r="R2104" i="5"/>
  <c r="R2105" i="5"/>
  <c r="R2106" i="5"/>
  <c r="R2107" i="5"/>
  <c r="R2109" i="5"/>
  <c r="R2110" i="5"/>
  <c r="R2111" i="5"/>
  <c r="R2112" i="5"/>
  <c r="R2113" i="5"/>
  <c r="R2114" i="5"/>
  <c r="R2115" i="5"/>
  <c r="R2116" i="5"/>
  <c r="R2117" i="5"/>
  <c r="J2084" i="5"/>
  <c r="J2085" i="5"/>
  <c r="J2086" i="5"/>
  <c r="J2087" i="5"/>
  <c r="J2088" i="5"/>
  <c r="J2089" i="5"/>
  <c r="J2090" i="5"/>
  <c r="J2091" i="5"/>
  <c r="J2092" i="5"/>
  <c r="J2093" i="5"/>
  <c r="J2094" i="5"/>
  <c r="J2095" i="5"/>
  <c r="J2096" i="5"/>
  <c r="J2097" i="5"/>
  <c r="J2098" i="5"/>
  <c r="J2099" i="5"/>
  <c r="J2100" i="5"/>
  <c r="J2101" i="5"/>
  <c r="J2102" i="5"/>
  <c r="J2103" i="5"/>
  <c r="J2104" i="5"/>
  <c r="J2105" i="5"/>
  <c r="J2106" i="5"/>
  <c r="J2107" i="5"/>
  <c r="J2109" i="5"/>
  <c r="J2110" i="5"/>
  <c r="J2111" i="5"/>
  <c r="J2112" i="5"/>
  <c r="J2113" i="5"/>
  <c r="J2114" i="5"/>
  <c r="J2115" i="5"/>
  <c r="J2116" i="5"/>
  <c r="J2117" i="5"/>
  <c r="G3" i="175" l="1"/>
  <c r="I3" i="175"/>
  <c r="G5" i="175"/>
  <c r="I5" i="175"/>
  <c r="G4" i="175"/>
  <c r="I4" i="175"/>
  <c r="G7" i="175"/>
  <c r="I7" i="175"/>
  <c r="E6" i="175"/>
  <c r="G6" i="175"/>
  <c r="D51" i="169"/>
  <c r="E51" i="169" s="1"/>
  <c r="F51" i="169" s="1"/>
  <c r="E4" i="175"/>
  <c r="C4" i="175"/>
  <c r="C6" i="175"/>
  <c r="C3" i="175"/>
  <c r="E3" i="175"/>
  <c r="E5" i="175"/>
  <c r="C5" i="175"/>
  <c r="C7" i="175"/>
  <c r="E7" i="175"/>
  <c r="CZ8" i="175"/>
  <c r="DL8" i="175"/>
  <c r="DI8" i="175"/>
  <c r="N5" i="175"/>
  <c r="N4" i="175"/>
  <c r="CY8" i="175"/>
  <c r="DK8" i="175"/>
  <c r="N7" i="175"/>
  <c r="N6" i="175"/>
  <c r="L8" i="175"/>
  <c r="DM6" i="175"/>
  <c r="DA4" i="175"/>
  <c r="DG4" i="175"/>
  <c r="DM4" i="175"/>
  <c r="DJ5" i="175"/>
  <c r="DA6" i="175"/>
  <c r="N3" i="175"/>
  <c r="DJ6" i="175"/>
  <c r="M5" i="175"/>
  <c r="O5" i="175" s="1"/>
  <c r="DG7" i="175"/>
  <c r="DB8" i="175"/>
  <c r="DH8" i="175"/>
  <c r="M4" i="175"/>
  <c r="O4" i="175" s="1"/>
  <c r="DJ7" i="175"/>
  <c r="K8" i="175"/>
  <c r="DG3" i="175"/>
  <c r="DJ4" i="175"/>
  <c r="DA5" i="175"/>
  <c r="DG5" i="175"/>
  <c r="DD6" i="175"/>
  <c r="DM5" i="175"/>
  <c r="DM7" i="175"/>
  <c r="DF8" i="175"/>
  <c r="DG6" i="175"/>
  <c r="DE8" i="175"/>
  <c r="DD5" i="175"/>
  <c r="DD7" i="175"/>
  <c r="DD4" i="175"/>
  <c r="DC8" i="175"/>
  <c r="DN7" i="175"/>
  <c r="DN6" i="175"/>
  <c r="DN5" i="175"/>
  <c r="DA7" i="175"/>
  <c r="DN4" i="175"/>
  <c r="DM3" i="175"/>
  <c r="DD3" i="175"/>
  <c r="DA3" i="175"/>
  <c r="DJ3" i="175"/>
  <c r="DN3" i="175"/>
  <c r="M7" i="175"/>
  <c r="O7" i="175" s="1"/>
  <c r="M6" i="175"/>
  <c r="O6" i="175" s="1"/>
  <c r="M3" i="175"/>
  <c r="O3" i="175" s="1"/>
  <c r="CV7" i="175"/>
  <c r="CU7" i="175"/>
  <c r="CS7" i="175"/>
  <c r="CR7" i="175"/>
  <c r="CP7" i="175"/>
  <c r="CO7" i="175"/>
  <c r="CM7" i="175"/>
  <c r="CL7" i="175"/>
  <c r="CJ7" i="175"/>
  <c r="CI7" i="175"/>
  <c r="CV6" i="175"/>
  <c r="CU6" i="175"/>
  <c r="CS6" i="175"/>
  <c r="CR6" i="175"/>
  <c r="CP6" i="175"/>
  <c r="CO6" i="175"/>
  <c r="CM6" i="175"/>
  <c r="CL6" i="175"/>
  <c r="CJ6" i="175"/>
  <c r="CI6" i="175"/>
  <c r="CV5" i="175"/>
  <c r="CU5" i="175"/>
  <c r="CS5" i="175"/>
  <c r="CR5" i="175"/>
  <c r="CP5" i="175"/>
  <c r="CO5" i="175"/>
  <c r="CM5" i="175"/>
  <c r="CL5" i="175"/>
  <c r="CJ5" i="175"/>
  <c r="CI5" i="175"/>
  <c r="CV4" i="175"/>
  <c r="CU4" i="175"/>
  <c r="CS4" i="175"/>
  <c r="CR4" i="175"/>
  <c r="CP4" i="175"/>
  <c r="CO4" i="175"/>
  <c r="CM4" i="175"/>
  <c r="CL4" i="175"/>
  <c r="CJ4" i="175"/>
  <c r="CI4" i="175"/>
  <c r="CV3" i="175"/>
  <c r="CU3" i="175"/>
  <c r="CS3" i="175"/>
  <c r="CR3" i="175"/>
  <c r="CP3" i="175"/>
  <c r="CO3" i="175"/>
  <c r="CM3" i="175"/>
  <c r="CL3" i="175"/>
  <c r="CJ3" i="175"/>
  <c r="CI3" i="175"/>
  <c r="C26" i="169"/>
  <c r="C27" i="169"/>
  <c r="C35" i="169"/>
  <c r="C36" i="169"/>
  <c r="B27" i="169"/>
  <c r="B28" i="169"/>
  <c r="B29" i="169"/>
  <c r="B30" i="169"/>
  <c r="B31" i="169"/>
  <c r="B32" i="169"/>
  <c r="B33" i="169"/>
  <c r="B34" i="169"/>
  <c r="B35" i="169"/>
  <c r="B36" i="169"/>
  <c r="B37" i="169"/>
  <c r="B38" i="169"/>
  <c r="CF7" i="175"/>
  <c r="CE7" i="175"/>
  <c r="CC7" i="175"/>
  <c r="CB7" i="175"/>
  <c r="BZ7" i="175"/>
  <c r="BY7" i="175"/>
  <c r="BW7" i="175"/>
  <c r="BV7" i="175"/>
  <c r="BT7" i="175"/>
  <c r="BS7" i="175"/>
  <c r="CF6" i="175"/>
  <c r="CE6" i="175"/>
  <c r="CC6" i="175"/>
  <c r="CB6" i="175"/>
  <c r="BZ6" i="175"/>
  <c r="BY6" i="175"/>
  <c r="BW6" i="175"/>
  <c r="BV6" i="175"/>
  <c r="BT6" i="175"/>
  <c r="BS6" i="175"/>
  <c r="CF5" i="175"/>
  <c r="CE5" i="175"/>
  <c r="CC5" i="175"/>
  <c r="CB5" i="175"/>
  <c r="BZ5" i="175"/>
  <c r="BY5" i="175"/>
  <c r="BW5" i="175"/>
  <c r="BV5" i="175"/>
  <c r="BT5" i="175"/>
  <c r="BS5" i="175"/>
  <c r="CF4" i="175"/>
  <c r="CE4" i="175"/>
  <c r="CC4" i="175"/>
  <c r="CB4" i="175"/>
  <c r="BZ4" i="175"/>
  <c r="BY4" i="175"/>
  <c r="BW4" i="175"/>
  <c r="BV4" i="175"/>
  <c r="BT4" i="175"/>
  <c r="BS4" i="175"/>
  <c r="CF3" i="175"/>
  <c r="CE3" i="175"/>
  <c r="CC3" i="175"/>
  <c r="CB3" i="175"/>
  <c r="BZ3" i="175"/>
  <c r="BY3" i="175"/>
  <c r="BW3" i="175"/>
  <c r="BV3" i="175"/>
  <c r="BT3" i="175"/>
  <c r="BS3" i="175"/>
  <c r="G8" i="175" l="1"/>
  <c r="I8" i="175"/>
  <c r="CJ8" i="175"/>
  <c r="CV8" i="175"/>
  <c r="DL9" i="175"/>
  <c r="C8" i="175"/>
  <c r="E8" i="175"/>
  <c r="CZ9" i="175"/>
  <c r="DJ8" i="175"/>
  <c r="CU8" i="175"/>
  <c r="DC9" i="175"/>
  <c r="DM8" i="175"/>
  <c r="N8" i="175"/>
  <c r="DI9" i="175"/>
  <c r="DA8" i="175"/>
  <c r="BT8" i="175"/>
  <c r="BZ8" i="175"/>
  <c r="CF8" i="175"/>
  <c r="DG8" i="175"/>
  <c r="CR8" i="175"/>
  <c r="DF9" i="175"/>
  <c r="M8" i="175"/>
  <c r="O8" i="175" s="1"/>
  <c r="DN9" i="175"/>
  <c r="DD8" i="175"/>
  <c r="DN8" i="175"/>
  <c r="BV8" i="175"/>
  <c r="CB8" i="175"/>
  <c r="CS8" i="175"/>
  <c r="CT4" i="175"/>
  <c r="CK5" i="175"/>
  <c r="CQ5" i="175"/>
  <c r="CW5" i="175"/>
  <c r="CT6" i="175"/>
  <c r="CQ6" i="175"/>
  <c r="CT7" i="175"/>
  <c r="CK4" i="175"/>
  <c r="CQ4" i="175"/>
  <c r="CT5" i="175"/>
  <c r="CK6" i="175"/>
  <c r="CN7" i="175"/>
  <c r="CK7" i="175"/>
  <c r="CQ7" i="175"/>
  <c r="CW7" i="175"/>
  <c r="CC8" i="175"/>
  <c r="CN5" i="175"/>
  <c r="CN6" i="175"/>
  <c r="CW4" i="175"/>
  <c r="CW6" i="175"/>
  <c r="CP8" i="175"/>
  <c r="CO8" i="175"/>
  <c r="CQ3" i="175"/>
  <c r="CN4" i="175"/>
  <c r="CL8" i="175"/>
  <c r="CM8" i="175"/>
  <c r="CX7" i="175"/>
  <c r="CX6" i="175"/>
  <c r="CX5" i="175"/>
  <c r="CI8" i="175"/>
  <c r="CX4" i="175"/>
  <c r="CN3" i="175"/>
  <c r="CK3" i="175"/>
  <c r="CW3" i="175"/>
  <c r="CT3" i="175"/>
  <c r="CX3" i="175"/>
  <c r="CA3" i="175"/>
  <c r="CG7" i="175"/>
  <c r="D36" i="169"/>
  <c r="E36" i="169" s="1"/>
  <c r="F36" i="169" s="1"/>
  <c r="D35" i="169"/>
  <c r="E35" i="169" s="1"/>
  <c r="F35" i="169" s="1"/>
  <c r="D27" i="169"/>
  <c r="E27" i="169" s="1"/>
  <c r="F27" i="169" s="1"/>
  <c r="BU4" i="175"/>
  <c r="CA4" i="175"/>
  <c r="CG4" i="175"/>
  <c r="CD5" i="175"/>
  <c r="BU6" i="175"/>
  <c r="CG6" i="175"/>
  <c r="CD7" i="175"/>
  <c r="CE8" i="175"/>
  <c r="BX6" i="175"/>
  <c r="BX5" i="175"/>
  <c r="CD4" i="175"/>
  <c r="CA5" i="175"/>
  <c r="CG5" i="175"/>
  <c r="CD6" i="175"/>
  <c r="BU7" i="175"/>
  <c r="CA7" i="175"/>
  <c r="BY8" i="175"/>
  <c r="CA6" i="175"/>
  <c r="BX4" i="175"/>
  <c r="BX7" i="175"/>
  <c r="BX3" i="175"/>
  <c r="CH5" i="175"/>
  <c r="CH4" i="175"/>
  <c r="CH7" i="175"/>
  <c r="BS8" i="175"/>
  <c r="BU5" i="175"/>
  <c r="CH6" i="175"/>
  <c r="BU3" i="175"/>
  <c r="CG3" i="175"/>
  <c r="CD3" i="175"/>
  <c r="CH3" i="175"/>
  <c r="BW8" i="175"/>
  <c r="H4" i="4"/>
  <c r="I4" i="4" s="1"/>
  <c r="H5" i="4"/>
  <c r="I5" i="4" s="1"/>
  <c r="H6" i="4"/>
  <c r="I6" i="4" s="1"/>
  <c r="H7" i="4"/>
  <c r="I7" i="4" s="1"/>
  <c r="H8" i="4"/>
  <c r="I8" i="4" s="1"/>
  <c r="H9" i="4"/>
  <c r="I9" i="4" s="1"/>
  <c r="H10" i="4"/>
  <c r="I10" i="4" s="1"/>
  <c r="H11" i="4"/>
  <c r="I11" i="4" s="1"/>
  <c r="H12" i="4"/>
  <c r="I12" i="4" s="1"/>
  <c r="H13" i="4"/>
  <c r="I13" i="4" s="1"/>
  <c r="H14" i="4"/>
  <c r="I14" i="4" s="1"/>
  <c r="H15" i="4"/>
  <c r="I15" i="4" s="1"/>
  <c r="H16" i="4"/>
  <c r="I16" i="4" s="1"/>
  <c r="H17" i="4"/>
  <c r="I17" i="4" s="1"/>
  <c r="H18" i="4"/>
  <c r="I18" i="4" s="1"/>
  <c r="H19" i="4"/>
  <c r="I19" i="4" s="1"/>
  <c r="H20" i="4"/>
  <c r="I20" i="4" s="1"/>
  <c r="H21" i="4"/>
  <c r="I21" i="4" s="1"/>
  <c r="H22" i="4"/>
  <c r="I22" i="4" s="1"/>
  <c r="H23" i="4"/>
  <c r="I23" i="4" s="1"/>
  <c r="H24" i="4"/>
  <c r="I24" i="4" s="1"/>
  <c r="H25" i="4"/>
  <c r="I25" i="4" s="1"/>
  <c r="H26" i="4"/>
  <c r="I26" i="4" s="1"/>
  <c r="H27" i="4"/>
  <c r="I27" i="4" s="1"/>
  <c r="H28" i="4"/>
  <c r="I28" i="4" s="1"/>
  <c r="H29" i="4"/>
  <c r="I29" i="4" s="1"/>
  <c r="H30" i="4"/>
  <c r="I30" i="4" s="1"/>
  <c r="H31" i="4"/>
  <c r="I31" i="4" s="1"/>
  <c r="H32" i="4"/>
  <c r="I32" i="4" s="1"/>
  <c r="H33" i="4"/>
  <c r="I33" i="4" s="1"/>
  <c r="H34" i="4"/>
  <c r="I34" i="4" s="1"/>
  <c r="H35" i="4"/>
  <c r="I35" i="4" s="1"/>
  <c r="H36" i="4"/>
  <c r="I36" i="4" s="1"/>
  <c r="H37" i="4"/>
  <c r="I37" i="4" s="1"/>
  <c r="H38" i="4"/>
  <c r="I38" i="4" s="1"/>
  <c r="H39" i="4"/>
  <c r="I39" i="4" s="1"/>
  <c r="H40" i="4"/>
  <c r="I40" i="4" s="1"/>
  <c r="H41" i="4"/>
  <c r="I41" i="4" s="1"/>
  <c r="H42" i="4"/>
  <c r="I42" i="4" s="1"/>
  <c r="H43" i="4"/>
  <c r="I43" i="4" s="1"/>
  <c r="H44" i="4"/>
  <c r="I44" i="4" s="1"/>
  <c r="H45" i="4"/>
  <c r="I45" i="4" s="1"/>
  <c r="H46" i="4"/>
  <c r="I46" i="4" s="1"/>
  <c r="H47" i="4"/>
  <c r="I47" i="4" s="1"/>
  <c r="H48" i="4"/>
  <c r="I48" i="4" s="1"/>
  <c r="H49" i="4"/>
  <c r="I49" i="4" s="1"/>
  <c r="H50" i="4"/>
  <c r="I50" i="4" s="1"/>
  <c r="H51" i="4"/>
  <c r="I51" i="4" s="1"/>
  <c r="H3" i="4"/>
  <c r="I3" i="4" s="1"/>
  <c r="F3" i="4"/>
  <c r="K1" i="4"/>
  <c r="F13" i="4"/>
  <c r="G13" i="4" s="1"/>
  <c r="F14" i="4"/>
  <c r="G14" i="4" s="1"/>
  <c r="F15" i="4"/>
  <c r="G15" i="4" s="1"/>
  <c r="F16" i="4"/>
  <c r="G16" i="4" s="1"/>
  <c r="F17" i="4"/>
  <c r="G17" i="4" s="1"/>
  <c r="F18" i="4"/>
  <c r="G18" i="4" s="1"/>
  <c r="F19" i="4"/>
  <c r="G19" i="4" s="1"/>
  <c r="F20" i="4"/>
  <c r="G20" i="4" s="1"/>
  <c r="F21" i="4"/>
  <c r="G21" i="4" s="1"/>
  <c r="F22" i="4"/>
  <c r="G22" i="4" s="1"/>
  <c r="F23" i="4"/>
  <c r="G23" i="4" s="1"/>
  <c r="F24" i="4"/>
  <c r="G24" i="4" s="1"/>
  <c r="F25" i="4"/>
  <c r="G25" i="4" s="1"/>
  <c r="F26" i="4"/>
  <c r="G26" i="4" s="1"/>
  <c r="F27" i="4"/>
  <c r="G27" i="4" s="1"/>
  <c r="F28" i="4"/>
  <c r="G28" i="4" s="1"/>
  <c r="F29" i="4"/>
  <c r="G29" i="4" s="1"/>
  <c r="F30" i="4"/>
  <c r="G30" i="4" s="1"/>
  <c r="F31" i="4"/>
  <c r="G31" i="4" s="1"/>
  <c r="F32" i="4"/>
  <c r="G32" i="4" s="1"/>
  <c r="F33" i="4"/>
  <c r="G33" i="4" s="1"/>
  <c r="F34" i="4"/>
  <c r="G34" i="4" s="1"/>
  <c r="F35" i="4"/>
  <c r="G35" i="4" s="1"/>
  <c r="F36" i="4"/>
  <c r="G36" i="4" s="1"/>
  <c r="F37" i="4"/>
  <c r="G37" i="4" s="1"/>
  <c r="F38" i="4"/>
  <c r="G38" i="4" s="1"/>
  <c r="F39" i="4"/>
  <c r="G39" i="4" s="1"/>
  <c r="F40" i="4"/>
  <c r="G40" i="4" s="1"/>
  <c r="F41" i="4"/>
  <c r="G41" i="4" s="1"/>
  <c r="F42" i="4"/>
  <c r="G42" i="4" s="1"/>
  <c r="F43" i="4"/>
  <c r="G43" i="4" s="1"/>
  <c r="F44" i="4"/>
  <c r="G44" i="4" s="1"/>
  <c r="F45" i="4"/>
  <c r="G45" i="4" s="1"/>
  <c r="F46" i="4"/>
  <c r="G46" i="4" s="1"/>
  <c r="F47" i="4"/>
  <c r="G47" i="4" s="1"/>
  <c r="F48" i="4"/>
  <c r="G48" i="4" s="1"/>
  <c r="F49" i="4"/>
  <c r="G49" i="4" s="1"/>
  <c r="F50" i="4"/>
  <c r="G50" i="4" s="1"/>
  <c r="F51" i="4"/>
  <c r="G51" i="4" s="1"/>
  <c r="F5" i="4"/>
  <c r="G5" i="4" s="1"/>
  <c r="F6" i="4"/>
  <c r="G6" i="4" s="1"/>
  <c r="F7" i="4"/>
  <c r="G7" i="4" s="1"/>
  <c r="F8" i="4"/>
  <c r="G8" i="4" s="1"/>
  <c r="F9" i="4"/>
  <c r="G9" i="4" s="1"/>
  <c r="F10" i="4"/>
  <c r="G10" i="4" s="1"/>
  <c r="F11" i="4"/>
  <c r="G11" i="4" s="1"/>
  <c r="F12" i="4"/>
  <c r="G12" i="4" s="1"/>
  <c r="F4" i="4"/>
  <c r="G4" i="4" s="1"/>
  <c r="C21" i="169"/>
  <c r="C22" i="169"/>
  <c r="C23" i="169"/>
  <c r="C24" i="169"/>
  <c r="C25" i="169"/>
  <c r="CW8" i="175" l="1"/>
  <c r="CK8" i="175"/>
  <c r="CV9" i="175"/>
  <c r="BT9" i="175"/>
  <c r="CF9" i="175"/>
  <c r="CS9" i="175"/>
  <c r="CA8" i="175"/>
  <c r="CC9" i="175"/>
  <c r="BW9" i="175"/>
  <c r="CD8" i="175"/>
  <c r="CT8" i="175"/>
  <c r="CX9" i="175"/>
  <c r="CN8" i="175"/>
  <c r="CP9" i="175"/>
  <c r="CM9" i="175"/>
  <c r="CQ8" i="175"/>
  <c r="CJ9" i="175"/>
  <c r="CX8" i="175"/>
  <c r="CG8" i="175"/>
  <c r="BU8" i="175"/>
  <c r="BZ9" i="175"/>
  <c r="CH8" i="175"/>
  <c r="BX8" i="175"/>
  <c r="CH9" i="175"/>
  <c r="K2" i="4"/>
  <c r="G3" i="4"/>
  <c r="AH15" i="153"/>
  <c r="AG15" i="153"/>
  <c r="AF15" i="153"/>
  <c r="AE15" i="153"/>
  <c r="AD15" i="153"/>
  <c r="AH14" i="153"/>
  <c r="AG14" i="153"/>
  <c r="AF14" i="153"/>
  <c r="AE14" i="153"/>
  <c r="AD14" i="153"/>
  <c r="AH12" i="153"/>
  <c r="AG12" i="153"/>
  <c r="AF12" i="153"/>
  <c r="AE12" i="153"/>
  <c r="AD12" i="153"/>
  <c r="AH11" i="153"/>
  <c r="AG11" i="153"/>
  <c r="AF11" i="153"/>
  <c r="AE11" i="153"/>
  <c r="AD11" i="153"/>
  <c r="AH9" i="153"/>
  <c r="AG9" i="153"/>
  <c r="AF9" i="153"/>
  <c r="AE9" i="153"/>
  <c r="AD9" i="153"/>
  <c r="AH8" i="153"/>
  <c r="AG8" i="153"/>
  <c r="AF8" i="153"/>
  <c r="AE8" i="153"/>
  <c r="AD8" i="153"/>
  <c r="AH6" i="153"/>
  <c r="AG6" i="153"/>
  <c r="AF6" i="153"/>
  <c r="AE6" i="153"/>
  <c r="AD6" i="153"/>
  <c r="AH5" i="153"/>
  <c r="AG5" i="153"/>
  <c r="AF5" i="153"/>
  <c r="AE5" i="153"/>
  <c r="AD5" i="153"/>
  <c r="AH3" i="153"/>
  <c r="AG3" i="153"/>
  <c r="AF3" i="153"/>
  <c r="AE3" i="153"/>
  <c r="AD3" i="153"/>
  <c r="AH2" i="153"/>
  <c r="AG2" i="153"/>
  <c r="AF2" i="153"/>
  <c r="AE2" i="153"/>
  <c r="AD2" i="153"/>
  <c r="AE17" i="153" l="1"/>
  <c r="AE18" i="153"/>
  <c r="AH17" i="153"/>
  <c r="AF18" i="153"/>
  <c r="AG17" i="153"/>
  <c r="AI3" i="153"/>
  <c r="AF17" i="153"/>
  <c r="AH4" i="153"/>
  <c r="AF7" i="153"/>
  <c r="AD10" i="153"/>
  <c r="AI2" i="153"/>
  <c r="AG4" i="153"/>
  <c r="AE7" i="153"/>
  <c r="AI8" i="153"/>
  <c r="AG10" i="153"/>
  <c r="AE13" i="153"/>
  <c r="AI14" i="153"/>
  <c r="AG16" i="153"/>
  <c r="AH10" i="153"/>
  <c r="AF13" i="153"/>
  <c r="AD16" i="153"/>
  <c r="AH16" i="153"/>
  <c r="AE4" i="153"/>
  <c r="AI5" i="153"/>
  <c r="AG7" i="153"/>
  <c r="AE10" i="153"/>
  <c r="AI11" i="153"/>
  <c r="AG13" i="153"/>
  <c r="AE16" i="153"/>
  <c r="AD17" i="153"/>
  <c r="AG18" i="153"/>
  <c r="AF4" i="153"/>
  <c r="AD7" i="153"/>
  <c r="AH7" i="153"/>
  <c r="AF10" i="153"/>
  <c r="AD13" i="153"/>
  <c r="AH13" i="153"/>
  <c r="AF16" i="153"/>
  <c r="AD18" i="153"/>
  <c r="AH18" i="153"/>
  <c r="AI15" i="153"/>
  <c r="AI12" i="153"/>
  <c r="AI9" i="153"/>
  <c r="AI6" i="153"/>
  <c r="AD4" i="153"/>
  <c r="X2" i="153"/>
  <c r="B4" i="3"/>
  <c r="B3" i="3"/>
  <c r="E4" i="3" s="1"/>
  <c r="AE19" i="153" l="1"/>
  <c r="AH19" i="153"/>
  <c r="AG19" i="153"/>
  <c r="AF19" i="153"/>
  <c r="AI4" i="153"/>
  <c r="AI10" i="153"/>
  <c r="AI17" i="153"/>
  <c r="AI13" i="153"/>
  <c r="AD19" i="153"/>
  <c r="AI18" i="153"/>
  <c r="AI16" i="153"/>
  <c r="AI7" i="153"/>
  <c r="B86" i="151"/>
  <c r="C86" i="151"/>
  <c r="D86" i="151"/>
  <c r="E86" i="151"/>
  <c r="F86" i="151"/>
  <c r="G86" i="151"/>
  <c r="H86" i="151"/>
  <c r="I86" i="151"/>
  <c r="B87" i="151"/>
  <c r="C87" i="151"/>
  <c r="D87" i="151"/>
  <c r="E87" i="151"/>
  <c r="F87" i="151"/>
  <c r="G87" i="151"/>
  <c r="H87" i="151"/>
  <c r="I87" i="151"/>
  <c r="B88" i="151"/>
  <c r="C88" i="151"/>
  <c r="D88" i="151"/>
  <c r="E88" i="151"/>
  <c r="F88" i="151"/>
  <c r="G88" i="151"/>
  <c r="H88" i="151"/>
  <c r="I88" i="151"/>
  <c r="B89" i="151"/>
  <c r="C89" i="151"/>
  <c r="D89" i="151"/>
  <c r="E89" i="151"/>
  <c r="F89" i="151"/>
  <c r="G89" i="151"/>
  <c r="H89" i="151"/>
  <c r="I89" i="151"/>
  <c r="B90" i="151"/>
  <c r="C90" i="151"/>
  <c r="D90" i="151"/>
  <c r="E90" i="151"/>
  <c r="F90" i="151"/>
  <c r="G90" i="151"/>
  <c r="H90" i="151"/>
  <c r="I90" i="151"/>
  <c r="B91" i="151"/>
  <c r="C91" i="151"/>
  <c r="D91" i="151"/>
  <c r="E91" i="151"/>
  <c r="F91" i="151"/>
  <c r="G91" i="151"/>
  <c r="H91" i="151"/>
  <c r="I91" i="151"/>
  <c r="B92" i="151"/>
  <c r="C92" i="151"/>
  <c r="D92" i="151"/>
  <c r="E92" i="151"/>
  <c r="F92" i="151"/>
  <c r="G92" i="151"/>
  <c r="H92" i="151"/>
  <c r="I92" i="151"/>
  <c r="AI19" i="153" l="1"/>
  <c r="J89" i="151"/>
  <c r="J91" i="151"/>
  <c r="J86" i="151"/>
  <c r="J92" i="151"/>
  <c r="J87" i="151"/>
  <c r="J88" i="151"/>
  <c r="J90" i="151"/>
  <c r="BP7" i="175"/>
  <c r="BO7" i="175"/>
  <c r="BM7" i="175"/>
  <c r="BL7" i="175"/>
  <c r="BJ7" i="175"/>
  <c r="BI7" i="175"/>
  <c r="BG7" i="175"/>
  <c r="BF7" i="175"/>
  <c r="BD7" i="175"/>
  <c r="BC7" i="175"/>
  <c r="BP6" i="175"/>
  <c r="BO6" i="175"/>
  <c r="BM6" i="175"/>
  <c r="BL6" i="175"/>
  <c r="BJ6" i="175"/>
  <c r="BI6" i="175"/>
  <c r="BG6" i="175"/>
  <c r="BF6" i="175"/>
  <c r="BD6" i="175"/>
  <c r="BC6" i="175"/>
  <c r="BP5" i="175"/>
  <c r="BO5" i="175"/>
  <c r="BM5" i="175"/>
  <c r="BL5" i="175"/>
  <c r="BJ5" i="175"/>
  <c r="BI5" i="175"/>
  <c r="BG5" i="175"/>
  <c r="BF5" i="175"/>
  <c r="BD5" i="175"/>
  <c r="BC5" i="175"/>
  <c r="BP4" i="175"/>
  <c r="BO4" i="175"/>
  <c r="BM4" i="175"/>
  <c r="BL4" i="175"/>
  <c r="BJ4" i="175"/>
  <c r="BI4" i="175"/>
  <c r="BG4" i="175"/>
  <c r="BF4" i="175"/>
  <c r="BD4" i="175"/>
  <c r="BC4" i="175"/>
  <c r="BP3" i="175"/>
  <c r="BO3" i="175"/>
  <c r="BM3" i="175"/>
  <c r="BL3" i="175"/>
  <c r="BJ3" i="175"/>
  <c r="BI3" i="175"/>
  <c r="BG3" i="175"/>
  <c r="BF3" i="175"/>
  <c r="BD3" i="175"/>
  <c r="BC3" i="175"/>
  <c r="BD8" i="175" l="1"/>
  <c r="BJ8" i="175"/>
  <c r="BP8" i="175"/>
  <c r="BO8" i="175"/>
  <c r="BM8" i="175"/>
  <c r="BI8" i="175"/>
  <c r="BF8" i="175"/>
  <c r="BL8" i="175"/>
  <c r="BC8" i="175"/>
  <c r="BN7" i="175"/>
  <c r="BK6" i="175"/>
  <c r="BQ6" i="175"/>
  <c r="BN5" i="175"/>
  <c r="BE6" i="175"/>
  <c r="BH7" i="175"/>
  <c r="BK5" i="175"/>
  <c r="BQ5" i="175"/>
  <c r="BN6" i="175"/>
  <c r="BE7" i="175"/>
  <c r="BQ7" i="175"/>
  <c r="BK4" i="175"/>
  <c r="BQ4" i="175"/>
  <c r="BE5" i="175"/>
  <c r="BN4" i="175"/>
  <c r="BK3" i="175"/>
  <c r="BK7" i="175"/>
  <c r="BH4" i="175"/>
  <c r="BH3" i="175"/>
  <c r="BR4" i="175"/>
  <c r="BH6" i="175"/>
  <c r="BH5" i="175"/>
  <c r="BR6" i="175"/>
  <c r="BE4" i="175"/>
  <c r="BR5" i="175"/>
  <c r="BR7" i="175"/>
  <c r="BQ3" i="175"/>
  <c r="BE3" i="175"/>
  <c r="BN3" i="175"/>
  <c r="BR3" i="175"/>
  <c r="BG8" i="175"/>
  <c r="C34" i="149"/>
  <c r="BJ9" i="175" l="1"/>
  <c r="BE8" i="175"/>
  <c r="BP9" i="175"/>
  <c r="BQ8" i="175"/>
  <c r="BN8" i="175"/>
  <c r="BD9" i="175"/>
  <c r="BK8" i="175"/>
  <c r="BG9" i="175"/>
  <c r="BM9" i="175"/>
  <c r="BR9" i="175"/>
  <c r="BR8" i="175"/>
  <c r="BH8" i="175"/>
  <c r="H6" i="149"/>
  <c r="AZ3" i="175" l="1"/>
  <c r="AZ7" i="175"/>
  <c r="AY7" i="175"/>
  <c r="AZ6" i="175"/>
  <c r="AY6" i="175"/>
  <c r="AZ5" i="175"/>
  <c r="AY5" i="175"/>
  <c r="AZ4" i="175"/>
  <c r="AY4" i="175"/>
  <c r="AY3" i="175"/>
  <c r="AW7" i="175"/>
  <c r="AV7" i="175"/>
  <c r="AW6" i="175"/>
  <c r="AV6" i="175"/>
  <c r="AW5" i="175"/>
  <c r="AV5" i="175"/>
  <c r="AW4" i="175"/>
  <c r="AV4" i="175"/>
  <c r="AW3" i="175"/>
  <c r="AV3" i="175"/>
  <c r="AT7" i="175"/>
  <c r="AS7" i="175"/>
  <c r="AT6" i="175"/>
  <c r="AS6" i="175"/>
  <c r="AT5" i="175"/>
  <c r="AS5" i="175"/>
  <c r="AT4" i="175"/>
  <c r="AS4" i="175"/>
  <c r="AT3" i="175"/>
  <c r="AS3" i="175"/>
  <c r="AQ7" i="175"/>
  <c r="AP7" i="175"/>
  <c r="AQ6" i="175"/>
  <c r="AP6" i="175"/>
  <c r="AQ5" i="175"/>
  <c r="AP5" i="175"/>
  <c r="AQ4" i="175"/>
  <c r="AP4" i="175"/>
  <c r="AQ3" i="175"/>
  <c r="AP3" i="175"/>
  <c r="AN7" i="175"/>
  <c r="AM7" i="175"/>
  <c r="AN6" i="175"/>
  <c r="AM6" i="175"/>
  <c r="AN5" i="175"/>
  <c r="AM5" i="175"/>
  <c r="AN4" i="175"/>
  <c r="AM4" i="175"/>
  <c r="AN3" i="175"/>
  <c r="AM3" i="175"/>
  <c r="Y8" i="153"/>
  <c r="X3" i="153"/>
  <c r="AB15" i="153"/>
  <c r="AA15" i="153"/>
  <c r="Z15" i="153"/>
  <c r="Y15" i="153"/>
  <c r="X15" i="153"/>
  <c r="AB14" i="153"/>
  <c r="AA14" i="153"/>
  <c r="Z14" i="153"/>
  <c r="Y14" i="153"/>
  <c r="X14" i="153"/>
  <c r="AB12" i="153"/>
  <c r="AA12" i="153"/>
  <c r="Z12" i="153"/>
  <c r="Y12" i="153"/>
  <c r="X12" i="153"/>
  <c r="AB11" i="153"/>
  <c r="AA11" i="153"/>
  <c r="Z11" i="153"/>
  <c r="Y11" i="153"/>
  <c r="X11" i="153"/>
  <c r="AB9" i="153"/>
  <c r="AA9" i="153"/>
  <c r="Z9" i="153"/>
  <c r="Y9" i="153"/>
  <c r="X9" i="153"/>
  <c r="AB8" i="153"/>
  <c r="AA8" i="153"/>
  <c r="Z8" i="153"/>
  <c r="X8" i="153"/>
  <c r="AB6" i="153"/>
  <c r="AA6" i="153"/>
  <c r="Z6" i="153"/>
  <c r="Y6" i="153"/>
  <c r="X6" i="153"/>
  <c r="AB5" i="153"/>
  <c r="AA5" i="153"/>
  <c r="Z5" i="153"/>
  <c r="Y5" i="153"/>
  <c r="X5" i="153"/>
  <c r="AB3" i="153"/>
  <c r="AB2" i="153"/>
  <c r="AA3" i="153"/>
  <c r="Z3" i="153"/>
  <c r="Y3" i="153"/>
  <c r="AA2" i="153"/>
  <c r="Z2" i="153"/>
  <c r="Y2" i="153"/>
  <c r="B76" i="151"/>
  <c r="C76" i="151"/>
  <c r="D76" i="151"/>
  <c r="E76" i="151"/>
  <c r="F76" i="151"/>
  <c r="G76" i="151"/>
  <c r="H76" i="151"/>
  <c r="I76" i="151"/>
  <c r="B77" i="151"/>
  <c r="C77" i="151"/>
  <c r="D77" i="151"/>
  <c r="E77" i="151"/>
  <c r="F77" i="151"/>
  <c r="G77" i="151"/>
  <c r="H77" i="151"/>
  <c r="I77" i="151"/>
  <c r="B78" i="151"/>
  <c r="C78" i="151"/>
  <c r="D78" i="151"/>
  <c r="E78" i="151"/>
  <c r="F78" i="151"/>
  <c r="G78" i="151"/>
  <c r="H78" i="151"/>
  <c r="I78" i="151"/>
  <c r="B79" i="151"/>
  <c r="C79" i="151"/>
  <c r="D79" i="151"/>
  <c r="E79" i="151"/>
  <c r="F79" i="151"/>
  <c r="G79" i="151"/>
  <c r="H79" i="151"/>
  <c r="I79" i="151"/>
  <c r="B80" i="151"/>
  <c r="C80" i="151"/>
  <c r="D80" i="151"/>
  <c r="E80" i="151"/>
  <c r="F80" i="151"/>
  <c r="G80" i="151"/>
  <c r="H80" i="151"/>
  <c r="I80" i="151"/>
  <c r="B81" i="151"/>
  <c r="C81" i="151"/>
  <c r="D81" i="151"/>
  <c r="E81" i="151"/>
  <c r="F81" i="151"/>
  <c r="G81" i="151"/>
  <c r="H81" i="151"/>
  <c r="I81" i="151"/>
  <c r="B82" i="151"/>
  <c r="C82" i="151"/>
  <c r="D82" i="151"/>
  <c r="E82" i="151"/>
  <c r="F82" i="151"/>
  <c r="G82" i="151"/>
  <c r="H82" i="151"/>
  <c r="I82" i="151"/>
  <c r="B83" i="151"/>
  <c r="C83" i="151"/>
  <c r="D83" i="151"/>
  <c r="E83" i="151"/>
  <c r="F83" i="151"/>
  <c r="G83" i="151"/>
  <c r="H83" i="151"/>
  <c r="I83" i="151"/>
  <c r="B84" i="151"/>
  <c r="C84" i="151"/>
  <c r="D84" i="151"/>
  <c r="E84" i="151"/>
  <c r="F84" i="151"/>
  <c r="G84" i="151"/>
  <c r="H84" i="151"/>
  <c r="I84" i="151"/>
  <c r="B85" i="151"/>
  <c r="C85" i="151"/>
  <c r="D85" i="151"/>
  <c r="E85" i="151"/>
  <c r="F85" i="151"/>
  <c r="G85" i="151"/>
  <c r="H85" i="151"/>
  <c r="I85" i="151"/>
  <c r="B74" i="151"/>
  <c r="C74" i="151"/>
  <c r="D74" i="151"/>
  <c r="E74" i="151"/>
  <c r="F74" i="151"/>
  <c r="G74" i="151"/>
  <c r="H74" i="151"/>
  <c r="I74" i="151"/>
  <c r="B75" i="151"/>
  <c r="C75" i="151"/>
  <c r="D75" i="151"/>
  <c r="E75" i="151"/>
  <c r="F75" i="151"/>
  <c r="G75" i="151"/>
  <c r="H75" i="151"/>
  <c r="I75" i="151"/>
  <c r="AJ7" i="175"/>
  <c r="AI7" i="175"/>
  <c r="AJ6" i="175"/>
  <c r="AI6" i="175"/>
  <c r="AJ5" i="175"/>
  <c r="AI5" i="175"/>
  <c r="AJ4" i="175"/>
  <c r="AI4" i="175"/>
  <c r="AJ3" i="175"/>
  <c r="AI3" i="175"/>
  <c r="AG7" i="175"/>
  <c r="AF7" i="175"/>
  <c r="AG6" i="175"/>
  <c r="AF6" i="175"/>
  <c r="AG5" i="175"/>
  <c r="AF5" i="175"/>
  <c r="AG4" i="175"/>
  <c r="AF4" i="175"/>
  <c r="AG3" i="175"/>
  <c r="AF3" i="175"/>
  <c r="AD7" i="175"/>
  <c r="AC7" i="175"/>
  <c r="AD6" i="175"/>
  <c r="AC6" i="175"/>
  <c r="AD5" i="175"/>
  <c r="AC5" i="175"/>
  <c r="AD4" i="175"/>
  <c r="AC4" i="175"/>
  <c r="AD3" i="175"/>
  <c r="AC3" i="175"/>
  <c r="AA7" i="175"/>
  <c r="Z7" i="175"/>
  <c r="AA6" i="175"/>
  <c r="Z6" i="175"/>
  <c r="AA5" i="175"/>
  <c r="Z5" i="175"/>
  <c r="AA4" i="175"/>
  <c r="Z4" i="175"/>
  <c r="AA3" i="175"/>
  <c r="Z3" i="175"/>
  <c r="W7" i="175"/>
  <c r="V7" i="175"/>
  <c r="W6" i="175"/>
  <c r="V6" i="175"/>
  <c r="W5" i="175"/>
  <c r="V5" i="175"/>
  <c r="W4" i="175"/>
  <c r="V4" i="175"/>
  <c r="W3" i="175"/>
  <c r="V3" i="175"/>
  <c r="T7" i="175"/>
  <c r="S7" i="175"/>
  <c r="T6" i="175"/>
  <c r="S6" i="175"/>
  <c r="T5" i="175"/>
  <c r="S5" i="175"/>
  <c r="T4" i="175"/>
  <c r="S4" i="175"/>
  <c r="T3" i="175"/>
  <c r="S3" i="175"/>
  <c r="P4" i="175"/>
  <c r="P5" i="175"/>
  <c r="P6" i="175"/>
  <c r="P7" i="175"/>
  <c r="P3" i="175"/>
  <c r="Q3" i="175"/>
  <c r="Q4" i="175"/>
  <c r="Q5" i="175"/>
  <c r="Q6" i="175"/>
  <c r="Q7" i="175"/>
  <c r="Y6" i="175" l="1"/>
  <c r="Y4" i="175"/>
  <c r="Y7" i="175"/>
  <c r="Y3" i="175"/>
  <c r="Y5" i="175"/>
  <c r="AC12" i="153"/>
  <c r="AC15" i="153"/>
  <c r="Z18" i="153"/>
  <c r="AB18" i="153"/>
  <c r="Z17" i="153"/>
  <c r="AA18" i="153"/>
  <c r="Y18" i="153"/>
  <c r="AL3" i="175"/>
  <c r="AL5" i="175"/>
  <c r="AL7" i="175"/>
  <c r="AL4" i="175"/>
  <c r="AL6" i="175"/>
  <c r="BB3" i="175"/>
  <c r="BB5" i="175"/>
  <c r="BB7" i="175"/>
  <c r="BB4" i="175"/>
  <c r="BB6" i="175"/>
  <c r="AA17" i="153"/>
  <c r="AB17" i="153"/>
  <c r="AH6" i="175"/>
  <c r="AK3" i="175"/>
  <c r="AK5" i="175"/>
  <c r="BA6" i="175"/>
  <c r="AK7" i="175"/>
  <c r="AE3" i="175"/>
  <c r="AE5" i="175"/>
  <c r="AE7" i="175"/>
  <c r="AH4" i="175"/>
  <c r="AV8" i="175"/>
  <c r="AP8" i="175"/>
  <c r="AQ8" i="175"/>
  <c r="AW8" i="175"/>
  <c r="BA5" i="175"/>
  <c r="BA7" i="175"/>
  <c r="AR6" i="175"/>
  <c r="AU5" i="175"/>
  <c r="AU7" i="175"/>
  <c r="AX4" i="175"/>
  <c r="AX6" i="175"/>
  <c r="AE4" i="175"/>
  <c r="AE6" i="175"/>
  <c r="AH3" i="175"/>
  <c r="AH5" i="175"/>
  <c r="AH7" i="175"/>
  <c r="AK4" i="175"/>
  <c r="AK6" i="175"/>
  <c r="AO4" i="175"/>
  <c r="AO6" i="175"/>
  <c r="AR5" i="175"/>
  <c r="AR7" i="175"/>
  <c r="AU4" i="175"/>
  <c r="AU6" i="175"/>
  <c r="AX5" i="175"/>
  <c r="AX7" i="175"/>
  <c r="BA4" i="175"/>
  <c r="AO5" i="175"/>
  <c r="AO7" i="175"/>
  <c r="AR4" i="175"/>
  <c r="AY8" i="175"/>
  <c r="Z7" i="153"/>
  <c r="AC11" i="153"/>
  <c r="AA13" i="153"/>
  <c r="Y16" i="153"/>
  <c r="AC5" i="153"/>
  <c r="AA7" i="153"/>
  <c r="Z10" i="153"/>
  <c r="X13" i="153"/>
  <c r="AB13" i="153"/>
  <c r="Z16" i="153"/>
  <c r="Y17" i="153"/>
  <c r="X7" i="153"/>
  <c r="AB7" i="153"/>
  <c r="AA10" i="153"/>
  <c r="Y13" i="153"/>
  <c r="AC14" i="153"/>
  <c r="AA16" i="153"/>
  <c r="AM8" i="175"/>
  <c r="AS8" i="175"/>
  <c r="AU3" i="175"/>
  <c r="Y7" i="153"/>
  <c r="X10" i="153"/>
  <c r="AB10" i="153"/>
  <c r="Z13" i="153"/>
  <c r="X16" i="153"/>
  <c r="AB16" i="153"/>
  <c r="X17" i="153"/>
  <c r="AN8" i="175"/>
  <c r="AT8" i="175"/>
  <c r="AO3" i="175"/>
  <c r="X18" i="153"/>
  <c r="AR3" i="175"/>
  <c r="BA3" i="175"/>
  <c r="AZ8" i="175"/>
  <c r="AX3" i="175"/>
  <c r="Y10" i="153"/>
  <c r="AC8" i="153"/>
  <c r="AC9" i="153"/>
  <c r="AC6" i="153"/>
  <c r="AB4" i="153"/>
  <c r="AC2" i="153"/>
  <c r="AC3" i="153"/>
  <c r="X4" i="153"/>
  <c r="Y4" i="153"/>
  <c r="Z4" i="153"/>
  <c r="AA4" i="153"/>
  <c r="J83" i="151"/>
  <c r="J79" i="151"/>
  <c r="J85" i="151"/>
  <c r="J76" i="151"/>
  <c r="J74" i="151"/>
  <c r="J82" i="151"/>
  <c r="J81" i="151"/>
  <c r="J77" i="151"/>
  <c r="J75" i="151"/>
  <c r="J84" i="151"/>
  <c r="J78" i="151"/>
  <c r="J80" i="151"/>
  <c r="AJ8" i="175"/>
  <c r="AI8" i="175"/>
  <c r="S8" i="175"/>
  <c r="Z8" i="175"/>
  <c r="AF8" i="175"/>
  <c r="P8" i="175"/>
  <c r="W8" i="175"/>
  <c r="AD8" i="175"/>
  <c r="T8" i="175"/>
  <c r="AA8" i="175"/>
  <c r="AG8" i="175"/>
  <c r="Q8" i="175"/>
  <c r="V8" i="175"/>
  <c r="AC8" i="175"/>
  <c r="U3" i="175"/>
  <c r="U5" i="175"/>
  <c r="U7" i="175"/>
  <c r="X4" i="175"/>
  <c r="X6" i="175"/>
  <c r="AB3" i="175"/>
  <c r="AB5" i="175"/>
  <c r="AB7" i="175"/>
  <c r="U4" i="175"/>
  <c r="U6" i="175"/>
  <c r="X3" i="175"/>
  <c r="X5" i="175"/>
  <c r="AB4" i="175"/>
  <c r="AB6" i="175"/>
  <c r="R7" i="175"/>
  <c r="R6" i="175"/>
  <c r="R5" i="175"/>
  <c r="R3" i="175"/>
  <c r="R4" i="175"/>
  <c r="X7" i="175"/>
  <c r="F21" i="149"/>
  <c r="Y8" i="175" l="1"/>
  <c r="AC18" i="153"/>
  <c r="AC17" i="153"/>
  <c r="BB9" i="175"/>
  <c r="Z19" i="153"/>
  <c r="AB19" i="153"/>
  <c r="AC16" i="153"/>
  <c r="AZ9" i="175"/>
  <c r="AA19" i="153"/>
  <c r="AW9" i="175"/>
  <c r="X19" i="153"/>
  <c r="AL8" i="175"/>
  <c r="AN9" i="175"/>
  <c r="AT9" i="175"/>
  <c r="BB8" i="175"/>
  <c r="AQ9" i="175"/>
  <c r="AA9" i="175"/>
  <c r="AJ9" i="175"/>
  <c r="AG9" i="175"/>
  <c r="AD9" i="175"/>
  <c r="AR8" i="175"/>
  <c r="AE8" i="175"/>
  <c r="AC7" i="153"/>
  <c r="AU8" i="175"/>
  <c r="BA8" i="175"/>
  <c r="AX8" i="175"/>
  <c r="AC13" i="153"/>
  <c r="AK8" i="175"/>
  <c r="Y19" i="153"/>
  <c r="AH8" i="175"/>
  <c r="AO8" i="175"/>
  <c r="AC10" i="153"/>
  <c r="AC4" i="153"/>
  <c r="AB8" i="175"/>
  <c r="U8" i="175"/>
  <c r="R8" i="175"/>
  <c r="X8" i="175"/>
  <c r="AA1848" i="5"/>
  <c r="AA1849" i="5"/>
  <c r="AA1850" i="5"/>
  <c r="AA1851" i="5"/>
  <c r="AA1852" i="5"/>
  <c r="AA1853" i="5"/>
  <c r="AA1854" i="5"/>
  <c r="AA1855" i="5"/>
  <c r="AA1856" i="5"/>
  <c r="AA1857" i="5"/>
  <c r="AA1858" i="5"/>
  <c r="AA1859" i="5"/>
  <c r="AA1860" i="5"/>
  <c r="AA1861" i="5"/>
  <c r="AA1862" i="5"/>
  <c r="AA1863" i="5"/>
  <c r="AA1864" i="5"/>
  <c r="AA1865" i="5"/>
  <c r="AA1866" i="5"/>
  <c r="AA1867" i="5"/>
  <c r="AA1868" i="5"/>
  <c r="AA1869" i="5"/>
  <c r="AA1870" i="5"/>
  <c r="AA1871" i="5"/>
  <c r="AA1872" i="5"/>
  <c r="AA1873" i="5"/>
  <c r="AA1874" i="5"/>
  <c r="AA1875" i="5"/>
  <c r="AA1876" i="5"/>
  <c r="AA1877" i="5"/>
  <c r="AA1878" i="5"/>
  <c r="AA1879" i="5"/>
  <c r="AA1880" i="5"/>
  <c r="AA1881" i="5"/>
  <c r="AA1882" i="5"/>
  <c r="AA1883" i="5"/>
  <c r="AA1884" i="5"/>
  <c r="AA1885" i="5"/>
  <c r="AA1886" i="5"/>
  <c r="AA1887" i="5"/>
  <c r="AA1888" i="5"/>
  <c r="AA1889" i="5"/>
  <c r="AA1890" i="5"/>
  <c r="AA1891" i="5"/>
  <c r="AA1892" i="5"/>
  <c r="AA1893" i="5"/>
  <c r="AA1894" i="5"/>
  <c r="AA1895" i="5"/>
  <c r="AA1896" i="5"/>
  <c r="AA1897" i="5"/>
  <c r="AA1898" i="5"/>
  <c r="AA1899" i="5"/>
  <c r="AA1900" i="5"/>
  <c r="AA1901" i="5"/>
  <c r="AA1902" i="5"/>
  <c r="AA1903" i="5"/>
  <c r="AA1904" i="5"/>
  <c r="AA1905" i="5"/>
  <c r="AA1906" i="5"/>
  <c r="AA1907" i="5"/>
  <c r="AA1908" i="5"/>
  <c r="AA1909" i="5"/>
  <c r="AA1910" i="5"/>
  <c r="AA1911" i="5"/>
  <c r="AA1912" i="5"/>
  <c r="AA1913" i="5"/>
  <c r="AA1914" i="5"/>
  <c r="AA1915" i="5"/>
  <c r="AA1916" i="5"/>
  <c r="AA1917" i="5"/>
  <c r="AA1918" i="5"/>
  <c r="AA1919" i="5"/>
  <c r="AA1920" i="5"/>
  <c r="AA1921" i="5"/>
  <c r="AA1922" i="5"/>
  <c r="AA1923" i="5"/>
  <c r="AA1924" i="5"/>
  <c r="AA1925" i="5"/>
  <c r="AA1926" i="5"/>
  <c r="AA1927" i="5"/>
  <c r="AA1928" i="5"/>
  <c r="AA1929" i="5"/>
  <c r="AA1930" i="5"/>
  <c r="AA1931" i="5"/>
  <c r="AA1932" i="5"/>
  <c r="AA1933" i="5"/>
  <c r="AA1934" i="5"/>
  <c r="AA1935" i="5"/>
  <c r="AA1936" i="5"/>
  <c r="AA1937" i="5"/>
  <c r="AA1938" i="5"/>
  <c r="AA1939" i="5"/>
  <c r="AA1940" i="5"/>
  <c r="AA1941" i="5"/>
  <c r="AA1942" i="5"/>
  <c r="AA1943" i="5"/>
  <c r="AA1944" i="5"/>
  <c r="AA1945" i="5"/>
  <c r="AA1946" i="5"/>
  <c r="AA1947" i="5"/>
  <c r="AA1948" i="5"/>
  <c r="AA1949" i="5"/>
  <c r="AA1950" i="5"/>
  <c r="AA1951" i="5"/>
  <c r="AA1952" i="5"/>
  <c r="AA1953" i="5"/>
  <c r="AA1954" i="5"/>
  <c r="AA1955" i="5"/>
  <c r="AA1956" i="5"/>
  <c r="AA1957" i="5"/>
  <c r="AA1958" i="5"/>
  <c r="AA1959" i="5"/>
  <c r="AA1960" i="5"/>
  <c r="AA1961" i="5"/>
  <c r="AA1962" i="5"/>
  <c r="AA1963" i="5"/>
  <c r="C41" i="169" s="1"/>
  <c r="D41" i="169" s="1"/>
  <c r="E41" i="169" s="1"/>
  <c r="F41" i="169" s="1"/>
  <c r="AA1964" i="5"/>
  <c r="AA1965" i="5"/>
  <c r="AA1966" i="5"/>
  <c r="AA1967" i="5"/>
  <c r="AA1968" i="5"/>
  <c r="AA1969" i="5"/>
  <c r="AA1970" i="5"/>
  <c r="AA1971" i="5"/>
  <c r="AA1972" i="5"/>
  <c r="AA1973" i="5"/>
  <c r="AA1974" i="5"/>
  <c r="AA1975" i="5"/>
  <c r="AA1976" i="5"/>
  <c r="AA1977" i="5"/>
  <c r="AA1978" i="5"/>
  <c r="AA1979" i="5"/>
  <c r="AA1980" i="5"/>
  <c r="AA1981" i="5"/>
  <c r="AA1982" i="5"/>
  <c r="AA1983" i="5"/>
  <c r="AA1984" i="5"/>
  <c r="AA1985" i="5"/>
  <c r="AA1986" i="5"/>
  <c r="AA1987" i="5"/>
  <c r="AA1988" i="5"/>
  <c r="AA1989" i="5"/>
  <c r="AA1990" i="5"/>
  <c r="AA1991" i="5"/>
  <c r="AA1992" i="5"/>
  <c r="AA1993" i="5"/>
  <c r="AA1994" i="5"/>
  <c r="AA1995" i="5"/>
  <c r="AA1996" i="5"/>
  <c r="AA1997" i="5"/>
  <c r="AA1998" i="5"/>
  <c r="AA1999" i="5"/>
  <c r="AA2000" i="5"/>
  <c r="AA2001" i="5"/>
  <c r="AA2002" i="5"/>
  <c r="AA2003" i="5"/>
  <c r="AA2004" i="5"/>
  <c r="AA2005" i="5"/>
  <c r="AA2006" i="5"/>
  <c r="AA2007" i="5"/>
  <c r="AA2008" i="5"/>
  <c r="AA2009" i="5"/>
  <c r="AA2010" i="5"/>
  <c r="AA2011" i="5"/>
  <c r="AA2012" i="5"/>
  <c r="AA2013" i="5"/>
  <c r="AA2014" i="5"/>
  <c r="AA2015" i="5"/>
  <c r="AA2016" i="5"/>
  <c r="AA2017" i="5"/>
  <c r="AA2018" i="5"/>
  <c r="AA2019" i="5"/>
  <c r="AA2020" i="5"/>
  <c r="AA2021" i="5"/>
  <c r="AA2022" i="5"/>
  <c r="AA2023" i="5"/>
  <c r="AA2024" i="5"/>
  <c r="AA2025" i="5"/>
  <c r="AA2026" i="5"/>
  <c r="AA2027" i="5"/>
  <c r="AA2028" i="5"/>
  <c r="AA2029" i="5"/>
  <c r="AA2030" i="5"/>
  <c r="AA2031" i="5"/>
  <c r="AA2032" i="5"/>
  <c r="AA2033" i="5"/>
  <c r="AA2034" i="5"/>
  <c r="AA2035" i="5"/>
  <c r="AA2036" i="5"/>
  <c r="AA2037" i="5"/>
  <c r="AA2038" i="5"/>
  <c r="AA2039" i="5"/>
  <c r="AA2040" i="5"/>
  <c r="AA2041" i="5"/>
  <c r="AA2042" i="5"/>
  <c r="AA2043" i="5"/>
  <c r="AA2044" i="5"/>
  <c r="AA2045" i="5"/>
  <c r="AA2046" i="5"/>
  <c r="AA2047" i="5"/>
  <c r="AA2048" i="5"/>
  <c r="AA2049" i="5"/>
  <c r="AA2050" i="5"/>
  <c r="AA2051" i="5"/>
  <c r="AA2052" i="5"/>
  <c r="AA2053" i="5"/>
  <c r="AA2054" i="5"/>
  <c r="AA2055" i="5"/>
  <c r="AA2056" i="5"/>
  <c r="AA2057" i="5"/>
  <c r="AA2058" i="5"/>
  <c r="AA2059" i="5"/>
  <c r="AA2060" i="5"/>
  <c r="AA2061" i="5"/>
  <c r="AA2062" i="5"/>
  <c r="AA2063" i="5"/>
  <c r="AA2064" i="5"/>
  <c r="C58" i="169" s="1"/>
  <c r="AA2065" i="5"/>
  <c r="AA2066" i="5"/>
  <c r="AA2067" i="5"/>
  <c r="AA2068" i="5"/>
  <c r="AA2069" i="5"/>
  <c r="AA2070" i="5"/>
  <c r="AA2071" i="5"/>
  <c r="AA2072" i="5"/>
  <c r="AA2073" i="5"/>
  <c r="AA2074" i="5"/>
  <c r="AA2075" i="5"/>
  <c r="C40" i="169" s="1"/>
  <c r="AA2076" i="5"/>
  <c r="AA2077" i="5"/>
  <c r="AA2078" i="5"/>
  <c r="AA2079" i="5"/>
  <c r="C37" i="169" s="1"/>
  <c r="D37" i="169" s="1"/>
  <c r="E37" i="169" s="1"/>
  <c r="F37" i="169" s="1"/>
  <c r="AA2080" i="5"/>
  <c r="C39" i="169" s="1"/>
  <c r="D39" i="169" s="1"/>
  <c r="E39" i="169" s="1"/>
  <c r="F39" i="169" s="1"/>
  <c r="AA2081" i="5"/>
  <c r="AA2082" i="5"/>
  <c r="AA2083" i="5"/>
  <c r="J1848" i="5"/>
  <c r="R1848" i="5"/>
  <c r="J1849" i="5"/>
  <c r="R1849" i="5"/>
  <c r="J1850" i="5"/>
  <c r="R1850" i="5"/>
  <c r="J1851" i="5"/>
  <c r="R1851" i="5"/>
  <c r="J1852" i="5"/>
  <c r="R1852" i="5"/>
  <c r="J1853" i="5"/>
  <c r="R1853" i="5"/>
  <c r="J1854" i="5"/>
  <c r="R1854" i="5"/>
  <c r="J1855" i="5"/>
  <c r="R1855" i="5"/>
  <c r="J1856" i="5"/>
  <c r="R1856" i="5"/>
  <c r="J1857" i="5"/>
  <c r="R1857" i="5"/>
  <c r="J1858" i="5"/>
  <c r="R1858" i="5"/>
  <c r="J1859" i="5"/>
  <c r="R1859" i="5"/>
  <c r="J1860" i="5"/>
  <c r="R1860" i="5"/>
  <c r="J1861" i="5"/>
  <c r="R1861" i="5"/>
  <c r="J1862" i="5"/>
  <c r="R1862" i="5"/>
  <c r="J1863" i="5"/>
  <c r="R1863" i="5"/>
  <c r="J1864" i="5"/>
  <c r="R1864" i="5"/>
  <c r="J1865" i="5"/>
  <c r="R1865" i="5"/>
  <c r="J1866" i="5"/>
  <c r="R1866" i="5"/>
  <c r="J1867" i="5"/>
  <c r="R1867" i="5"/>
  <c r="J1868" i="5"/>
  <c r="R1868" i="5"/>
  <c r="J1869" i="5"/>
  <c r="R1869" i="5"/>
  <c r="J1870" i="5"/>
  <c r="R1870" i="5"/>
  <c r="J1871" i="5"/>
  <c r="R1871" i="5"/>
  <c r="J1872" i="5"/>
  <c r="R1872" i="5"/>
  <c r="J1873" i="5"/>
  <c r="R1873" i="5"/>
  <c r="J1874" i="5"/>
  <c r="R1874" i="5"/>
  <c r="J1875" i="5"/>
  <c r="R1875" i="5"/>
  <c r="J1876" i="5"/>
  <c r="R1876" i="5"/>
  <c r="J1877" i="5"/>
  <c r="R1877" i="5"/>
  <c r="J1878" i="5"/>
  <c r="R1878" i="5"/>
  <c r="J1879" i="5"/>
  <c r="R1879" i="5"/>
  <c r="J1880" i="5"/>
  <c r="R1880" i="5"/>
  <c r="J1881" i="5"/>
  <c r="R1881" i="5"/>
  <c r="J1882" i="5"/>
  <c r="R1882" i="5"/>
  <c r="J1883" i="5"/>
  <c r="R1883" i="5"/>
  <c r="J1884" i="5"/>
  <c r="R1884" i="5"/>
  <c r="J1885" i="5"/>
  <c r="R1885" i="5"/>
  <c r="J1886" i="5"/>
  <c r="R1886" i="5"/>
  <c r="J1887" i="5"/>
  <c r="R1887" i="5"/>
  <c r="J1888" i="5"/>
  <c r="R1888" i="5"/>
  <c r="J1889" i="5"/>
  <c r="R1889" i="5"/>
  <c r="J1890" i="5"/>
  <c r="R1890" i="5"/>
  <c r="J1891" i="5"/>
  <c r="R1891" i="5"/>
  <c r="J1892" i="5"/>
  <c r="R1892" i="5"/>
  <c r="J1893" i="5"/>
  <c r="R1893" i="5"/>
  <c r="J1894" i="5"/>
  <c r="R1894" i="5"/>
  <c r="J1895" i="5"/>
  <c r="R1895" i="5"/>
  <c r="J1896" i="5"/>
  <c r="R1896" i="5"/>
  <c r="J1897" i="5"/>
  <c r="R1897" i="5"/>
  <c r="J1898" i="5"/>
  <c r="R1898" i="5"/>
  <c r="J1899" i="5"/>
  <c r="R1899" i="5"/>
  <c r="J1900" i="5"/>
  <c r="R1900" i="5"/>
  <c r="J1901" i="5"/>
  <c r="R1901" i="5"/>
  <c r="J1902" i="5"/>
  <c r="R1902" i="5"/>
  <c r="J1903" i="5"/>
  <c r="R1903" i="5"/>
  <c r="J1904" i="5"/>
  <c r="R1904" i="5"/>
  <c r="J1905" i="5"/>
  <c r="R1905" i="5"/>
  <c r="J1906" i="5"/>
  <c r="R1906" i="5"/>
  <c r="J1907" i="5"/>
  <c r="R1907" i="5"/>
  <c r="J1908" i="5"/>
  <c r="R1908" i="5"/>
  <c r="J1909" i="5"/>
  <c r="R1909" i="5"/>
  <c r="J1910" i="5"/>
  <c r="R1910" i="5"/>
  <c r="J1911" i="5"/>
  <c r="R1911" i="5"/>
  <c r="J1912" i="5"/>
  <c r="R1912" i="5"/>
  <c r="J1913" i="5"/>
  <c r="R1913" i="5"/>
  <c r="J1914" i="5"/>
  <c r="R1914" i="5"/>
  <c r="J1915" i="5"/>
  <c r="R1915" i="5"/>
  <c r="J1916" i="5"/>
  <c r="R1916" i="5"/>
  <c r="J1917" i="5"/>
  <c r="R1917" i="5"/>
  <c r="J1918" i="5"/>
  <c r="R1918" i="5"/>
  <c r="J1919" i="5"/>
  <c r="R1919" i="5"/>
  <c r="J1920" i="5"/>
  <c r="R1920" i="5"/>
  <c r="J1921" i="5"/>
  <c r="R1921" i="5"/>
  <c r="J1922" i="5"/>
  <c r="R1922" i="5"/>
  <c r="J1923" i="5"/>
  <c r="R1923" i="5"/>
  <c r="J1924" i="5"/>
  <c r="R1924" i="5"/>
  <c r="J1925" i="5"/>
  <c r="R1925" i="5"/>
  <c r="J1926" i="5"/>
  <c r="R1926" i="5"/>
  <c r="J1927" i="5"/>
  <c r="R1927" i="5"/>
  <c r="J1928" i="5"/>
  <c r="R1928" i="5"/>
  <c r="J1929" i="5"/>
  <c r="R1929" i="5"/>
  <c r="J1930" i="5"/>
  <c r="R1930" i="5"/>
  <c r="J1931" i="5"/>
  <c r="R1931" i="5"/>
  <c r="J1932" i="5"/>
  <c r="R1932" i="5"/>
  <c r="J1933" i="5"/>
  <c r="R1933" i="5"/>
  <c r="J1934" i="5"/>
  <c r="R1934" i="5"/>
  <c r="J1935" i="5"/>
  <c r="R1935" i="5"/>
  <c r="J1936" i="5"/>
  <c r="R1936" i="5"/>
  <c r="J1937" i="5"/>
  <c r="R1937" i="5"/>
  <c r="J1938" i="5"/>
  <c r="R1938" i="5"/>
  <c r="J1939" i="5"/>
  <c r="R1939" i="5"/>
  <c r="J1940" i="5"/>
  <c r="R1940" i="5"/>
  <c r="J1941" i="5"/>
  <c r="R1941" i="5"/>
  <c r="J1942" i="5"/>
  <c r="R1942" i="5"/>
  <c r="J1943" i="5"/>
  <c r="R1943" i="5"/>
  <c r="J1944" i="5"/>
  <c r="R1944" i="5"/>
  <c r="J1945" i="5"/>
  <c r="R1945" i="5"/>
  <c r="J1946" i="5"/>
  <c r="R1946" i="5"/>
  <c r="J1947" i="5"/>
  <c r="R1947" i="5"/>
  <c r="J1948" i="5"/>
  <c r="R1948" i="5"/>
  <c r="J1949" i="5"/>
  <c r="R1949" i="5"/>
  <c r="J1950" i="5"/>
  <c r="R1950" i="5"/>
  <c r="J1951" i="5"/>
  <c r="R1951" i="5"/>
  <c r="J1952" i="5"/>
  <c r="R1952" i="5"/>
  <c r="J1953" i="5"/>
  <c r="R1953" i="5"/>
  <c r="J1954" i="5"/>
  <c r="R1954" i="5"/>
  <c r="J1955" i="5"/>
  <c r="R1955" i="5"/>
  <c r="J1956" i="5"/>
  <c r="R1956" i="5"/>
  <c r="J1957" i="5"/>
  <c r="R1957" i="5"/>
  <c r="J1958" i="5"/>
  <c r="R1958" i="5"/>
  <c r="J1959" i="5"/>
  <c r="R1959" i="5"/>
  <c r="J1960" i="5"/>
  <c r="R1960" i="5"/>
  <c r="J1961" i="5"/>
  <c r="R1961" i="5"/>
  <c r="J1962" i="5"/>
  <c r="R1962" i="5"/>
  <c r="J1963" i="5"/>
  <c r="R1963" i="5"/>
  <c r="J1964" i="5"/>
  <c r="R1964" i="5"/>
  <c r="J1965" i="5"/>
  <c r="R1965" i="5"/>
  <c r="J1966" i="5"/>
  <c r="R1966" i="5"/>
  <c r="J1967" i="5"/>
  <c r="R1967" i="5"/>
  <c r="J1968" i="5"/>
  <c r="R1968" i="5"/>
  <c r="J1969" i="5"/>
  <c r="R1969" i="5"/>
  <c r="J1970" i="5"/>
  <c r="R1970" i="5"/>
  <c r="J1971" i="5"/>
  <c r="R1971" i="5"/>
  <c r="J1972" i="5"/>
  <c r="R1972" i="5"/>
  <c r="J1973" i="5"/>
  <c r="R1973" i="5"/>
  <c r="J1974" i="5"/>
  <c r="R1974" i="5"/>
  <c r="J1975" i="5"/>
  <c r="R1975" i="5"/>
  <c r="J1976" i="5"/>
  <c r="R1976" i="5"/>
  <c r="J1977" i="5"/>
  <c r="R1977" i="5"/>
  <c r="J1978" i="5"/>
  <c r="R1978" i="5"/>
  <c r="J1979" i="5"/>
  <c r="R1979" i="5"/>
  <c r="J1980" i="5"/>
  <c r="R1980" i="5"/>
  <c r="J1981" i="5"/>
  <c r="R1981" i="5"/>
  <c r="J1982" i="5"/>
  <c r="R1982" i="5"/>
  <c r="J1983" i="5"/>
  <c r="R1983" i="5"/>
  <c r="J1984" i="5"/>
  <c r="R1984" i="5"/>
  <c r="J1985" i="5"/>
  <c r="R1985" i="5"/>
  <c r="J1986" i="5"/>
  <c r="R1986" i="5"/>
  <c r="J1987" i="5"/>
  <c r="R1987" i="5"/>
  <c r="J1988" i="5"/>
  <c r="R1988" i="5"/>
  <c r="J1989" i="5"/>
  <c r="R1989" i="5"/>
  <c r="J1990" i="5"/>
  <c r="R1990" i="5"/>
  <c r="J1991" i="5"/>
  <c r="R1991" i="5"/>
  <c r="J1992" i="5"/>
  <c r="R1992" i="5"/>
  <c r="J1993" i="5"/>
  <c r="R1993" i="5"/>
  <c r="J1994" i="5"/>
  <c r="R1994" i="5"/>
  <c r="J1995" i="5"/>
  <c r="R1995" i="5"/>
  <c r="J1996" i="5"/>
  <c r="R1996" i="5"/>
  <c r="J1997" i="5"/>
  <c r="R1997" i="5"/>
  <c r="J1998" i="5"/>
  <c r="R1998" i="5"/>
  <c r="J1999" i="5"/>
  <c r="R1999" i="5"/>
  <c r="J2000" i="5"/>
  <c r="R2000" i="5"/>
  <c r="J2001" i="5"/>
  <c r="R2001" i="5"/>
  <c r="J2002" i="5"/>
  <c r="R2002" i="5"/>
  <c r="J2003" i="5"/>
  <c r="R2003" i="5"/>
  <c r="J2004" i="5"/>
  <c r="R2004" i="5"/>
  <c r="J2005" i="5"/>
  <c r="R2005" i="5"/>
  <c r="J2006" i="5"/>
  <c r="R2006" i="5"/>
  <c r="J2007" i="5"/>
  <c r="R2007" i="5"/>
  <c r="J2008" i="5"/>
  <c r="R2008" i="5"/>
  <c r="J2009" i="5"/>
  <c r="R2009" i="5"/>
  <c r="J2010" i="5"/>
  <c r="R2010" i="5"/>
  <c r="J2011" i="5"/>
  <c r="R2011" i="5"/>
  <c r="J2012" i="5"/>
  <c r="R2012" i="5"/>
  <c r="J2013" i="5"/>
  <c r="R2013" i="5"/>
  <c r="J2014" i="5"/>
  <c r="R2014" i="5"/>
  <c r="J2015" i="5"/>
  <c r="R2015" i="5"/>
  <c r="J2016" i="5"/>
  <c r="R2016" i="5"/>
  <c r="J2017" i="5"/>
  <c r="R2017" i="5"/>
  <c r="J2018" i="5"/>
  <c r="R2018" i="5"/>
  <c r="J2019" i="5"/>
  <c r="R2019" i="5"/>
  <c r="J2020" i="5"/>
  <c r="R2020" i="5"/>
  <c r="J2021" i="5"/>
  <c r="R2021" i="5"/>
  <c r="J2022" i="5"/>
  <c r="R2022" i="5"/>
  <c r="J2023" i="5"/>
  <c r="R2023" i="5"/>
  <c r="J2024" i="5"/>
  <c r="R2024" i="5"/>
  <c r="J2025" i="5"/>
  <c r="R2025" i="5"/>
  <c r="J2026" i="5"/>
  <c r="R2026" i="5"/>
  <c r="J2027" i="5"/>
  <c r="R2027" i="5"/>
  <c r="J2028" i="5"/>
  <c r="R2028" i="5"/>
  <c r="J2029" i="5"/>
  <c r="R2029" i="5"/>
  <c r="J2030" i="5"/>
  <c r="R2030" i="5"/>
  <c r="J2031" i="5"/>
  <c r="R2031" i="5"/>
  <c r="J2032" i="5"/>
  <c r="R2032" i="5"/>
  <c r="J2033" i="5"/>
  <c r="R2033" i="5"/>
  <c r="J2034" i="5"/>
  <c r="R2034" i="5"/>
  <c r="J2035" i="5"/>
  <c r="R2035" i="5"/>
  <c r="J2036" i="5"/>
  <c r="R2036" i="5"/>
  <c r="J2037" i="5"/>
  <c r="R2037" i="5"/>
  <c r="J2038" i="5"/>
  <c r="R2038" i="5"/>
  <c r="J2039" i="5"/>
  <c r="R2039" i="5"/>
  <c r="J2040" i="5"/>
  <c r="R2040" i="5"/>
  <c r="J2041" i="5"/>
  <c r="R2041" i="5"/>
  <c r="J2042" i="5"/>
  <c r="R2042" i="5"/>
  <c r="J2043" i="5"/>
  <c r="R2043" i="5"/>
  <c r="J2044" i="5"/>
  <c r="R2044" i="5"/>
  <c r="J2045" i="5"/>
  <c r="R2045" i="5"/>
  <c r="J2046" i="5"/>
  <c r="R2046" i="5"/>
  <c r="J2047" i="5"/>
  <c r="R2047" i="5"/>
  <c r="J2048" i="5"/>
  <c r="R2048" i="5"/>
  <c r="J2049" i="5"/>
  <c r="R2049" i="5"/>
  <c r="J2050" i="5"/>
  <c r="R2050" i="5"/>
  <c r="J2051" i="5"/>
  <c r="R2051" i="5"/>
  <c r="J2052" i="5"/>
  <c r="R2052" i="5"/>
  <c r="J2053" i="5"/>
  <c r="R2053" i="5"/>
  <c r="J2054" i="5"/>
  <c r="R2054" i="5"/>
  <c r="J2055" i="5"/>
  <c r="R2055" i="5"/>
  <c r="J2056" i="5"/>
  <c r="R2056" i="5"/>
  <c r="J2057" i="5"/>
  <c r="R2057" i="5"/>
  <c r="J2058" i="5"/>
  <c r="R2058" i="5"/>
  <c r="J2059" i="5"/>
  <c r="R2059" i="5"/>
  <c r="J2060" i="5"/>
  <c r="R2060" i="5"/>
  <c r="J2061" i="5"/>
  <c r="R2061" i="5"/>
  <c r="J2062" i="5"/>
  <c r="R2062" i="5"/>
  <c r="J2063" i="5"/>
  <c r="R2063" i="5"/>
  <c r="J2064" i="5"/>
  <c r="R2064" i="5"/>
  <c r="J2065" i="5"/>
  <c r="R2065" i="5"/>
  <c r="J2066" i="5"/>
  <c r="R2066" i="5"/>
  <c r="J2067" i="5"/>
  <c r="R2067" i="5"/>
  <c r="J2068" i="5"/>
  <c r="R2068" i="5"/>
  <c r="J2069" i="5"/>
  <c r="R2069" i="5"/>
  <c r="J2070" i="5"/>
  <c r="R2070" i="5"/>
  <c r="J2071" i="5"/>
  <c r="R2071" i="5"/>
  <c r="J2072" i="5"/>
  <c r="R2072" i="5"/>
  <c r="J2073" i="5"/>
  <c r="R2073" i="5"/>
  <c r="J2074" i="5"/>
  <c r="R2074" i="5"/>
  <c r="J2075" i="5"/>
  <c r="R2075" i="5"/>
  <c r="J2076" i="5"/>
  <c r="R2076" i="5"/>
  <c r="J2077" i="5"/>
  <c r="R2077" i="5"/>
  <c r="J2078" i="5"/>
  <c r="R2078" i="5"/>
  <c r="J2079" i="5"/>
  <c r="R2079" i="5"/>
  <c r="J2080" i="5"/>
  <c r="R2080" i="5"/>
  <c r="J2081" i="5"/>
  <c r="R2081" i="5"/>
  <c r="J2082" i="5"/>
  <c r="R2082" i="5"/>
  <c r="J2083" i="5"/>
  <c r="R2083" i="5"/>
  <c r="D58" i="169" l="1"/>
  <c r="E58" i="169" s="1"/>
  <c r="F58" i="169" s="1"/>
  <c r="C44" i="169"/>
  <c r="D44" i="169" s="1"/>
  <c r="E44" i="169" s="1"/>
  <c r="F44" i="169" s="1"/>
  <c r="C45" i="169"/>
  <c r="D45" i="169" s="1"/>
  <c r="E45" i="169" s="1"/>
  <c r="F45" i="169" s="1"/>
  <c r="C33" i="169"/>
  <c r="D33" i="169" s="1"/>
  <c r="E33" i="169" s="1"/>
  <c r="F33" i="169" s="1"/>
  <c r="D40" i="169"/>
  <c r="E40" i="169" s="1"/>
  <c r="F40" i="169" s="1"/>
  <c r="C29" i="169"/>
  <c r="D29" i="169" s="1"/>
  <c r="E29" i="169" s="1"/>
  <c r="F29" i="169" s="1"/>
  <c r="C31" i="169"/>
  <c r="D31" i="169" s="1"/>
  <c r="E31" i="169" s="1"/>
  <c r="F31" i="169" s="1"/>
  <c r="C38" i="169"/>
  <c r="D38" i="169" s="1"/>
  <c r="E38" i="169" s="1"/>
  <c r="F38" i="169" s="1"/>
  <c r="C28" i="169"/>
  <c r="D28" i="169" s="1"/>
  <c r="E28" i="169" s="1"/>
  <c r="F28" i="169" s="1"/>
  <c r="C30" i="169"/>
  <c r="D30" i="169" s="1"/>
  <c r="E30" i="169" s="1"/>
  <c r="F30" i="169" s="1"/>
  <c r="C20" i="169"/>
  <c r="AC19" i="153"/>
  <c r="B15" i="149"/>
  <c r="F32" i="149" s="1"/>
  <c r="U15" i="153" l="1"/>
  <c r="U14" i="153"/>
  <c r="T15" i="153"/>
  <c r="T14" i="153"/>
  <c r="U12" i="153"/>
  <c r="U11" i="153"/>
  <c r="T12" i="153"/>
  <c r="T11" i="153"/>
  <c r="U9" i="153"/>
  <c r="U8" i="153"/>
  <c r="T9" i="153"/>
  <c r="T8" i="153"/>
  <c r="U6" i="153"/>
  <c r="U5" i="153"/>
  <c r="T6" i="153"/>
  <c r="T5" i="153"/>
  <c r="U3" i="153"/>
  <c r="U2" i="153"/>
  <c r="T3" i="153"/>
  <c r="T2" i="153"/>
  <c r="B74" i="150"/>
  <c r="C74" i="150"/>
  <c r="D74" i="150"/>
  <c r="E74" i="150"/>
  <c r="F74" i="150"/>
  <c r="G74" i="150"/>
  <c r="H74" i="150"/>
  <c r="I74" i="150"/>
  <c r="B75" i="150"/>
  <c r="C75" i="150"/>
  <c r="D75" i="150"/>
  <c r="E75" i="150"/>
  <c r="F75" i="150"/>
  <c r="G75" i="150"/>
  <c r="H75" i="150"/>
  <c r="I75" i="150"/>
  <c r="B76" i="150"/>
  <c r="C76" i="150"/>
  <c r="D76" i="150"/>
  <c r="E76" i="150"/>
  <c r="F76" i="150"/>
  <c r="G76" i="150"/>
  <c r="H76" i="150"/>
  <c r="I76" i="150"/>
  <c r="B77" i="150"/>
  <c r="C77" i="150"/>
  <c r="D77" i="150"/>
  <c r="E77" i="150"/>
  <c r="F77" i="150"/>
  <c r="G77" i="150"/>
  <c r="H77" i="150"/>
  <c r="I77" i="150"/>
  <c r="B78" i="150"/>
  <c r="C78" i="150"/>
  <c r="D78" i="150"/>
  <c r="E78" i="150"/>
  <c r="F78" i="150"/>
  <c r="G78" i="150"/>
  <c r="H78" i="150"/>
  <c r="I78" i="150"/>
  <c r="B79" i="150"/>
  <c r="C79" i="150"/>
  <c r="D79" i="150"/>
  <c r="E79" i="150"/>
  <c r="F79" i="150"/>
  <c r="G79" i="150"/>
  <c r="H79" i="150"/>
  <c r="I79" i="150"/>
  <c r="B80" i="150"/>
  <c r="C80" i="150"/>
  <c r="D80" i="150"/>
  <c r="E80" i="150"/>
  <c r="F80" i="150"/>
  <c r="G80" i="150"/>
  <c r="H80" i="150"/>
  <c r="I80" i="150"/>
  <c r="B81" i="150"/>
  <c r="C81" i="150"/>
  <c r="D81" i="150"/>
  <c r="E81" i="150"/>
  <c r="F81" i="150"/>
  <c r="G81" i="150"/>
  <c r="H81" i="150"/>
  <c r="I81" i="150"/>
  <c r="B82" i="150"/>
  <c r="C82" i="150"/>
  <c r="D82" i="150"/>
  <c r="E82" i="150"/>
  <c r="F82" i="150"/>
  <c r="G82" i="150"/>
  <c r="H82" i="150"/>
  <c r="I82" i="150"/>
  <c r="B83" i="150"/>
  <c r="C83" i="150"/>
  <c r="D83" i="150"/>
  <c r="E83" i="150"/>
  <c r="F83" i="150"/>
  <c r="G83" i="150"/>
  <c r="H83" i="150"/>
  <c r="I83" i="150"/>
  <c r="B84" i="150"/>
  <c r="C84" i="150"/>
  <c r="D84" i="150"/>
  <c r="E84" i="150"/>
  <c r="F84" i="150"/>
  <c r="G84" i="150"/>
  <c r="H84" i="150"/>
  <c r="I84" i="150"/>
  <c r="B85" i="150"/>
  <c r="C85" i="150"/>
  <c r="D85" i="150"/>
  <c r="E85" i="150"/>
  <c r="F85" i="150"/>
  <c r="G85" i="150"/>
  <c r="H85" i="150"/>
  <c r="I85" i="150"/>
  <c r="B86" i="150"/>
  <c r="C86" i="150"/>
  <c r="D86" i="150"/>
  <c r="E86" i="150"/>
  <c r="F86" i="150"/>
  <c r="G86" i="150"/>
  <c r="H86" i="150"/>
  <c r="I86" i="150"/>
  <c r="B87" i="150"/>
  <c r="C87" i="150"/>
  <c r="D87" i="150"/>
  <c r="E87" i="150"/>
  <c r="F87" i="150"/>
  <c r="G87" i="150"/>
  <c r="H87" i="150"/>
  <c r="I87" i="150"/>
  <c r="C8" i="169"/>
  <c r="C9" i="169"/>
  <c r="C10" i="169"/>
  <c r="C11" i="169"/>
  <c r="C12" i="169"/>
  <c r="C13" i="169"/>
  <c r="C14" i="169"/>
  <c r="C15" i="169"/>
  <c r="C16" i="169"/>
  <c r="C17" i="169"/>
  <c r="C18" i="169"/>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71" i="5"/>
  <c r="AA172" i="5"/>
  <c r="AA173" i="5"/>
  <c r="AA174" i="5"/>
  <c r="AA175" i="5"/>
  <c r="AA176" i="5"/>
  <c r="AA177" i="5"/>
  <c r="AA178" i="5"/>
  <c r="AA179" i="5"/>
  <c r="AA180" i="5"/>
  <c r="AA181" i="5"/>
  <c r="AA182" i="5"/>
  <c r="AA183" i="5"/>
  <c r="AA184" i="5"/>
  <c r="AA185" i="5"/>
  <c r="AA186" i="5"/>
  <c r="AA187" i="5"/>
  <c r="AA188" i="5"/>
  <c r="AA189" i="5"/>
  <c r="AA190" i="5"/>
  <c r="AA191" i="5"/>
  <c r="AA192" i="5"/>
  <c r="AA193" i="5"/>
  <c r="AA194" i="5"/>
  <c r="AA195" i="5"/>
  <c r="AA196" i="5"/>
  <c r="AA197" i="5"/>
  <c r="AA198" i="5"/>
  <c r="AA199" i="5"/>
  <c r="AA200" i="5"/>
  <c r="AA201" i="5"/>
  <c r="AA202" i="5"/>
  <c r="AA203" i="5"/>
  <c r="AA204" i="5"/>
  <c r="AA205" i="5"/>
  <c r="AA206" i="5"/>
  <c r="AA207" i="5"/>
  <c r="AA208" i="5"/>
  <c r="AA209" i="5"/>
  <c r="AA210" i="5"/>
  <c r="AA211" i="5"/>
  <c r="AA212" i="5"/>
  <c r="AA213" i="5"/>
  <c r="AA214" i="5"/>
  <c r="AA215" i="5"/>
  <c r="AA216" i="5"/>
  <c r="AA217" i="5"/>
  <c r="AA218" i="5"/>
  <c r="AA219" i="5"/>
  <c r="AA220" i="5"/>
  <c r="AA221" i="5"/>
  <c r="AA222" i="5"/>
  <c r="AA223" i="5"/>
  <c r="AA224" i="5"/>
  <c r="AA225" i="5"/>
  <c r="AA226" i="5"/>
  <c r="AA227" i="5"/>
  <c r="AA228" i="5"/>
  <c r="AA229" i="5"/>
  <c r="AA230" i="5"/>
  <c r="AA231" i="5"/>
  <c r="AA232" i="5"/>
  <c r="AA233" i="5"/>
  <c r="AA234" i="5"/>
  <c r="AA235" i="5"/>
  <c r="AA236" i="5"/>
  <c r="AA237" i="5"/>
  <c r="AA238" i="5"/>
  <c r="AA239" i="5"/>
  <c r="AA240" i="5"/>
  <c r="AA241" i="5"/>
  <c r="AA242" i="5"/>
  <c r="AA243" i="5"/>
  <c r="AA244" i="5"/>
  <c r="AA245" i="5"/>
  <c r="AA246" i="5"/>
  <c r="AA247" i="5"/>
  <c r="AA248" i="5"/>
  <c r="AA249" i="5"/>
  <c r="AA250" i="5"/>
  <c r="AA251" i="5"/>
  <c r="AA252" i="5"/>
  <c r="AA253" i="5"/>
  <c r="AA254" i="5"/>
  <c r="AA255" i="5"/>
  <c r="AA256" i="5"/>
  <c r="AA257" i="5"/>
  <c r="AA258" i="5"/>
  <c r="AA259" i="5"/>
  <c r="AA260" i="5"/>
  <c r="AA261" i="5"/>
  <c r="AA262" i="5"/>
  <c r="AA263" i="5"/>
  <c r="AA264" i="5"/>
  <c r="AA265" i="5"/>
  <c r="AA266" i="5"/>
  <c r="AA267" i="5"/>
  <c r="AA268" i="5"/>
  <c r="AA269" i="5"/>
  <c r="AA270" i="5"/>
  <c r="AA271" i="5"/>
  <c r="AA272" i="5"/>
  <c r="AA273" i="5"/>
  <c r="AA274" i="5"/>
  <c r="AA275" i="5"/>
  <c r="AA276" i="5"/>
  <c r="AA277" i="5"/>
  <c r="AA278" i="5"/>
  <c r="AA279" i="5"/>
  <c r="AA280" i="5"/>
  <c r="AA281" i="5"/>
  <c r="AA282" i="5"/>
  <c r="AA283" i="5"/>
  <c r="AA284" i="5"/>
  <c r="AA285" i="5"/>
  <c r="AA286" i="5"/>
  <c r="AA287" i="5"/>
  <c r="AA288" i="5"/>
  <c r="AA289" i="5"/>
  <c r="AA290" i="5"/>
  <c r="AA291" i="5"/>
  <c r="AA292" i="5"/>
  <c r="AA293" i="5"/>
  <c r="AA294" i="5"/>
  <c r="AA295" i="5"/>
  <c r="AA296" i="5"/>
  <c r="AA297" i="5"/>
  <c r="AA298" i="5"/>
  <c r="AA299" i="5"/>
  <c r="AA300" i="5"/>
  <c r="AA301" i="5"/>
  <c r="AA302" i="5"/>
  <c r="AA303" i="5"/>
  <c r="AA304" i="5"/>
  <c r="AA305" i="5"/>
  <c r="AA306" i="5"/>
  <c r="AA307" i="5"/>
  <c r="AA308" i="5"/>
  <c r="AA309" i="5"/>
  <c r="AA310" i="5"/>
  <c r="AA311" i="5"/>
  <c r="AA312" i="5"/>
  <c r="AA313" i="5"/>
  <c r="AA314" i="5"/>
  <c r="AA315" i="5"/>
  <c r="AA316" i="5"/>
  <c r="AA317" i="5"/>
  <c r="AA318" i="5"/>
  <c r="AA319" i="5"/>
  <c r="AA320" i="5"/>
  <c r="AA321" i="5"/>
  <c r="AA322" i="5"/>
  <c r="AA323" i="5"/>
  <c r="AA324" i="5"/>
  <c r="AA325" i="5"/>
  <c r="AA326" i="5"/>
  <c r="AA327" i="5"/>
  <c r="AA328" i="5"/>
  <c r="AA329" i="5"/>
  <c r="AA330" i="5"/>
  <c r="AA331" i="5"/>
  <c r="AA332" i="5"/>
  <c r="AA333" i="5"/>
  <c r="AA334" i="5"/>
  <c r="AA335" i="5"/>
  <c r="AA336" i="5"/>
  <c r="AA337" i="5"/>
  <c r="AA338" i="5"/>
  <c r="AA339" i="5"/>
  <c r="AA340" i="5"/>
  <c r="AA341" i="5"/>
  <c r="AA342" i="5"/>
  <c r="AA343" i="5"/>
  <c r="AA344" i="5"/>
  <c r="AA345" i="5"/>
  <c r="AA346" i="5"/>
  <c r="AA347" i="5"/>
  <c r="AA348" i="5"/>
  <c r="AA349" i="5"/>
  <c r="AA350" i="5"/>
  <c r="AA351" i="5"/>
  <c r="AA352" i="5"/>
  <c r="AA353" i="5"/>
  <c r="AA354" i="5"/>
  <c r="AA355" i="5"/>
  <c r="AA356" i="5"/>
  <c r="AA357" i="5"/>
  <c r="AA358" i="5"/>
  <c r="AA359" i="5"/>
  <c r="AA360" i="5"/>
  <c r="AA361" i="5"/>
  <c r="AA362" i="5"/>
  <c r="AA363" i="5"/>
  <c r="AA364" i="5"/>
  <c r="AA365" i="5"/>
  <c r="AA366" i="5"/>
  <c r="AA367" i="5"/>
  <c r="AA368" i="5"/>
  <c r="AA369" i="5"/>
  <c r="AA370" i="5"/>
  <c r="AA371" i="5"/>
  <c r="AA372" i="5"/>
  <c r="AA373" i="5"/>
  <c r="AA374" i="5"/>
  <c r="AA375" i="5"/>
  <c r="AA376" i="5"/>
  <c r="AA377" i="5"/>
  <c r="AA378" i="5"/>
  <c r="AA379" i="5"/>
  <c r="AA380" i="5"/>
  <c r="AA381" i="5"/>
  <c r="AA382" i="5"/>
  <c r="AA383" i="5"/>
  <c r="AA384" i="5"/>
  <c r="AA385" i="5"/>
  <c r="AA386" i="5"/>
  <c r="AA387" i="5"/>
  <c r="AA388" i="5"/>
  <c r="AA389" i="5"/>
  <c r="AA390" i="5"/>
  <c r="AA391" i="5"/>
  <c r="AA392" i="5"/>
  <c r="AA393" i="5"/>
  <c r="AA394" i="5"/>
  <c r="AA395" i="5"/>
  <c r="AA396" i="5"/>
  <c r="AA397" i="5"/>
  <c r="AA398" i="5"/>
  <c r="AA399" i="5"/>
  <c r="AA400" i="5"/>
  <c r="AA401" i="5"/>
  <c r="AA402" i="5"/>
  <c r="AA403" i="5"/>
  <c r="AA404" i="5"/>
  <c r="AA405" i="5"/>
  <c r="AA406" i="5"/>
  <c r="AA407" i="5"/>
  <c r="AA408" i="5"/>
  <c r="AA409" i="5"/>
  <c r="AA410" i="5"/>
  <c r="AA411" i="5"/>
  <c r="AA412" i="5"/>
  <c r="AA413" i="5"/>
  <c r="AA414" i="5"/>
  <c r="AA415" i="5"/>
  <c r="AA416" i="5"/>
  <c r="AA417" i="5"/>
  <c r="AA418" i="5"/>
  <c r="AA419" i="5"/>
  <c r="AA420" i="5"/>
  <c r="AA421" i="5"/>
  <c r="AA422" i="5"/>
  <c r="AA423" i="5"/>
  <c r="AA424" i="5"/>
  <c r="AA425" i="5"/>
  <c r="AA426" i="5"/>
  <c r="AA427" i="5"/>
  <c r="AA428" i="5"/>
  <c r="AA429" i="5"/>
  <c r="AA430" i="5"/>
  <c r="AA431" i="5"/>
  <c r="AA432" i="5"/>
  <c r="AA433" i="5"/>
  <c r="AA434" i="5"/>
  <c r="AA435" i="5"/>
  <c r="AA436" i="5"/>
  <c r="AA437" i="5"/>
  <c r="AA438" i="5"/>
  <c r="AA439" i="5"/>
  <c r="AA440" i="5"/>
  <c r="AA441" i="5"/>
  <c r="AA442" i="5"/>
  <c r="AA443" i="5"/>
  <c r="AA444" i="5"/>
  <c r="AA445" i="5"/>
  <c r="AA446" i="5"/>
  <c r="AA447" i="5"/>
  <c r="AA448" i="5"/>
  <c r="AA449" i="5"/>
  <c r="AA450" i="5"/>
  <c r="AA451" i="5"/>
  <c r="AA452" i="5"/>
  <c r="AA453" i="5"/>
  <c r="AA454" i="5"/>
  <c r="AA455" i="5"/>
  <c r="AA456" i="5"/>
  <c r="AA457" i="5"/>
  <c r="AA458" i="5"/>
  <c r="AA459" i="5"/>
  <c r="AA460" i="5"/>
  <c r="AA461" i="5"/>
  <c r="AA462" i="5"/>
  <c r="AA463" i="5"/>
  <c r="AA464" i="5"/>
  <c r="AA465" i="5"/>
  <c r="AA466" i="5"/>
  <c r="AA467" i="5"/>
  <c r="AA468" i="5"/>
  <c r="AA469" i="5"/>
  <c r="AA470" i="5"/>
  <c r="AA471" i="5"/>
  <c r="AA472" i="5"/>
  <c r="AA473" i="5"/>
  <c r="AA474" i="5"/>
  <c r="AA475" i="5"/>
  <c r="AA476" i="5"/>
  <c r="AA477" i="5"/>
  <c r="AA478" i="5"/>
  <c r="AA479" i="5"/>
  <c r="AA480" i="5"/>
  <c r="AA481" i="5"/>
  <c r="AA482" i="5"/>
  <c r="AA483" i="5"/>
  <c r="AA484" i="5"/>
  <c r="AA485" i="5"/>
  <c r="AA486" i="5"/>
  <c r="AA487" i="5"/>
  <c r="AA488" i="5"/>
  <c r="AA489" i="5"/>
  <c r="AA490" i="5"/>
  <c r="AA491" i="5"/>
  <c r="AA492" i="5"/>
  <c r="AA493" i="5"/>
  <c r="AA494" i="5"/>
  <c r="AA495" i="5"/>
  <c r="AA496" i="5"/>
  <c r="AA497" i="5"/>
  <c r="AA498" i="5"/>
  <c r="AA499" i="5"/>
  <c r="AA500" i="5"/>
  <c r="AA501" i="5"/>
  <c r="AA502" i="5"/>
  <c r="AA503" i="5"/>
  <c r="AA504" i="5"/>
  <c r="AA505" i="5"/>
  <c r="AA506" i="5"/>
  <c r="AA507" i="5"/>
  <c r="AA508" i="5"/>
  <c r="AA509" i="5"/>
  <c r="AA510" i="5"/>
  <c r="AA511" i="5"/>
  <c r="AA512" i="5"/>
  <c r="AA513" i="5"/>
  <c r="AA514" i="5"/>
  <c r="AA515" i="5"/>
  <c r="AA516" i="5"/>
  <c r="AA517" i="5"/>
  <c r="AA518" i="5"/>
  <c r="AA519" i="5"/>
  <c r="AA520" i="5"/>
  <c r="AA521" i="5"/>
  <c r="AA522" i="5"/>
  <c r="AA523" i="5"/>
  <c r="AA524" i="5"/>
  <c r="AA525" i="5"/>
  <c r="AA526" i="5"/>
  <c r="AA527" i="5"/>
  <c r="AA528" i="5"/>
  <c r="AA529" i="5"/>
  <c r="AA530" i="5"/>
  <c r="AA531" i="5"/>
  <c r="AA532" i="5"/>
  <c r="AA533" i="5"/>
  <c r="AA534" i="5"/>
  <c r="AA535" i="5"/>
  <c r="AA536" i="5"/>
  <c r="AA537" i="5"/>
  <c r="AA538" i="5"/>
  <c r="AA539" i="5"/>
  <c r="AA540" i="5"/>
  <c r="AA541" i="5"/>
  <c r="AA542" i="5"/>
  <c r="AA543" i="5"/>
  <c r="AA544" i="5"/>
  <c r="AA545" i="5"/>
  <c r="AA546" i="5"/>
  <c r="AA547" i="5"/>
  <c r="AA548" i="5"/>
  <c r="AA549" i="5"/>
  <c r="AA550" i="5"/>
  <c r="AA551" i="5"/>
  <c r="AA552" i="5"/>
  <c r="AA553" i="5"/>
  <c r="AA554" i="5"/>
  <c r="AA555" i="5"/>
  <c r="AA556" i="5"/>
  <c r="AA557" i="5"/>
  <c r="AA558" i="5"/>
  <c r="AA559" i="5"/>
  <c r="AA560" i="5"/>
  <c r="AA561" i="5"/>
  <c r="AA562" i="5"/>
  <c r="AA563" i="5"/>
  <c r="AA564" i="5"/>
  <c r="AA565" i="5"/>
  <c r="AA566" i="5"/>
  <c r="AA567" i="5"/>
  <c r="AA568" i="5"/>
  <c r="AA569" i="5"/>
  <c r="AA570" i="5"/>
  <c r="AA571" i="5"/>
  <c r="AA572" i="5"/>
  <c r="AA573" i="5"/>
  <c r="AA574" i="5"/>
  <c r="AA575" i="5"/>
  <c r="AA576" i="5"/>
  <c r="AA577" i="5"/>
  <c r="AA578" i="5"/>
  <c r="AA579" i="5"/>
  <c r="AA580" i="5"/>
  <c r="AA581" i="5"/>
  <c r="AA582" i="5"/>
  <c r="AA583" i="5"/>
  <c r="AA584" i="5"/>
  <c r="AA585" i="5"/>
  <c r="AA586" i="5"/>
  <c r="AA587" i="5"/>
  <c r="AA588" i="5"/>
  <c r="AA589" i="5"/>
  <c r="AA590" i="5"/>
  <c r="AA591" i="5"/>
  <c r="AA592" i="5"/>
  <c r="AA593" i="5"/>
  <c r="AA594" i="5"/>
  <c r="AA595" i="5"/>
  <c r="AA596" i="5"/>
  <c r="AA597" i="5"/>
  <c r="AA598" i="5"/>
  <c r="AA599" i="5"/>
  <c r="AA600" i="5"/>
  <c r="AA601" i="5"/>
  <c r="AA602" i="5"/>
  <c r="AA603" i="5"/>
  <c r="AA604" i="5"/>
  <c r="AA605" i="5"/>
  <c r="AA606" i="5"/>
  <c r="AA607" i="5"/>
  <c r="AA608" i="5"/>
  <c r="AA609" i="5"/>
  <c r="AA610" i="5"/>
  <c r="AA611" i="5"/>
  <c r="AA612" i="5"/>
  <c r="AA613" i="5"/>
  <c r="AA614" i="5"/>
  <c r="AA615" i="5"/>
  <c r="AA616" i="5"/>
  <c r="AA617" i="5"/>
  <c r="AA618" i="5"/>
  <c r="AA619" i="5"/>
  <c r="AA620" i="5"/>
  <c r="AA621" i="5"/>
  <c r="AA622" i="5"/>
  <c r="AA623" i="5"/>
  <c r="AA624" i="5"/>
  <c r="AA625" i="5"/>
  <c r="AA626" i="5"/>
  <c r="AA627" i="5"/>
  <c r="AA628" i="5"/>
  <c r="AA629" i="5"/>
  <c r="AA630" i="5"/>
  <c r="AA631" i="5"/>
  <c r="AA632" i="5"/>
  <c r="AA633" i="5"/>
  <c r="AA634" i="5"/>
  <c r="AA635" i="5"/>
  <c r="AA636" i="5"/>
  <c r="AA637" i="5"/>
  <c r="AA638" i="5"/>
  <c r="AA639" i="5"/>
  <c r="AA640" i="5"/>
  <c r="AA641" i="5"/>
  <c r="AA642" i="5"/>
  <c r="AA643" i="5"/>
  <c r="AA644" i="5"/>
  <c r="AA645" i="5"/>
  <c r="AA646" i="5"/>
  <c r="AA647" i="5"/>
  <c r="AA648" i="5"/>
  <c r="AA649" i="5"/>
  <c r="AA650" i="5"/>
  <c r="AA651" i="5"/>
  <c r="AA652" i="5"/>
  <c r="AA653" i="5"/>
  <c r="AA654" i="5"/>
  <c r="AA655" i="5"/>
  <c r="AA656" i="5"/>
  <c r="AA657" i="5"/>
  <c r="AA658" i="5"/>
  <c r="AA659" i="5"/>
  <c r="AA660" i="5"/>
  <c r="AA661" i="5"/>
  <c r="AA662" i="5"/>
  <c r="AA663" i="5"/>
  <c r="AA664" i="5"/>
  <c r="AA665" i="5"/>
  <c r="AA666" i="5"/>
  <c r="AA667" i="5"/>
  <c r="AA668" i="5"/>
  <c r="AA669" i="5"/>
  <c r="AA670" i="5"/>
  <c r="AA671" i="5"/>
  <c r="AA672" i="5"/>
  <c r="AA673" i="5"/>
  <c r="AA674" i="5"/>
  <c r="AA675" i="5"/>
  <c r="AA676" i="5"/>
  <c r="AA677" i="5"/>
  <c r="AA678" i="5"/>
  <c r="AA679" i="5"/>
  <c r="AA680" i="5"/>
  <c r="AA681" i="5"/>
  <c r="AA682" i="5"/>
  <c r="AA683" i="5"/>
  <c r="AA684" i="5"/>
  <c r="AA685" i="5"/>
  <c r="AA686" i="5"/>
  <c r="AA687" i="5"/>
  <c r="AA688" i="5"/>
  <c r="AA689" i="5"/>
  <c r="AA690" i="5"/>
  <c r="AA691" i="5"/>
  <c r="AA692" i="5"/>
  <c r="AA693" i="5"/>
  <c r="AA694" i="5"/>
  <c r="AA695" i="5"/>
  <c r="AA696" i="5"/>
  <c r="AA697" i="5"/>
  <c r="AA698" i="5"/>
  <c r="AA699" i="5"/>
  <c r="AA700" i="5"/>
  <c r="AA701" i="5"/>
  <c r="AA702" i="5"/>
  <c r="AA703" i="5"/>
  <c r="AA704" i="5"/>
  <c r="AA705" i="5"/>
  <c r="AA706" i="5"/>
  <c r="AA707" i="5"/>
  <c r="AA708" i="5"/>
  <c r="AA709" i="5"/>
  <c r="AA710" i="5"/>
  <c r="AA711" i="5"/>
  <c r="AA712" i="5"/>
  <c r="AA713" i="5"/>
  <c r="AA714" i="5"/>
  <c r="AA715" i="5"/>
  <c r="AA716" i="5"/>
  <c r="AA717" i="5"/>
  <c r="AA718" i="5"/>
  <c r="AA719" i="5"/>
  <c r="AA720" i="5"/>
  <c r="AA721" i="5"/>
  <c r="AA722" i="5"/>
  <c r="AA723" i="5"/>
  <c r="AA724" i="5"/>
  <c r="AA725" i="5"/>
  <c r="AA726" i="5"/>
  <c r="AA727" i="5"/>
  <c r="AA728" i="5"/>
  <c r="AA729" i="5"/>
  <c r="AA730" i="5"/>
  <c r="AA731" i="5"/>
  <c r="AA732" i="5"/>
  <c r="AA733" i="5"/>
  <c r="AA734" i="5"/>
  <c r="AA735" i="5"/>
  <c r="AA736" i="5"/>
  <c r="AA737" i="5"/>
  <c r="AA738" i="5"/>
  <c r="AA739" i="5"/>
  <c r="AA740" i="5"/>
  <c r="AA741" i="5"/>
  <c r="AA742" i="5"/>
  <c r="AA743" i="5"/>
  <c r="AA744" i="5"/>
  <c r="AA745" i="5"/>
  <c r="AA746" i="5"/>
  <c r="AA747" i="5"/>
  <c r="AA748" i="5"/>
  <c r="AA749" i="5"/>
  <c r="AA750" i="5"/>
  <c r="AA751" i="5"/>
  <c r="AA752" i="5"/>
  <c r="AA753" i="5"/>
  <c r="AA754" i="5"/>
  <c r="AA755" i="5"/>
  <c r="AA756" i="5"/>
  <c r="AA757" i="5"/>
  <c r="AA758" i="5"/>
  <c r="AA759" i="5"/>
  <c r="AA760" i="5"/>
  <c r="AA761" i="5"/>
  <c r="AA762" i="5"/>
  <c r="AA763" i="5"/>
  <c r="AA764" i="5"/>
  <c r="AA765" i="5"/>
  <c r="AA766" i="5"/>
  <c r="AA767" i="5"/>
  <c r="AA768" i="5"/>
  <c r="AA769" i="5"/>
  <c r="AA770" i="5"/>
  <c r="AA771" i="5"/>
  <c r="AA772" i="5"/>
  <c r="AA773" i="5"/>
  <c r="AA774" i="5"/>
  <c r="AA775" i="5"/>
  <c r="AA776" i="5"/>
  <c r="AA777" i="5"/>
  <c r="AA778" i="5"/>
  <c r="AA779" i="5"/>
  <c r="AA780" i="5"/>
  <c r="AA781" i="5"/>
  <c r="AA782" i="5"/>
  <c r="AA783" i="5"/>
  <c r="AA784" i="5"/>
  <c r="AA785" i="5"/>
  <c r="AA786" i="5"/>
  <c r="AA787" i="5"/>
  <c r="AA788" i="5"/>
  <c r="AA789" i="5"/>
  <c r="AA790" i="5"/>
  <c r="AA791" i="5"/>
  <c r="AA792" i="5"/>
  <c r="AA793" i="5"/>
  <c r="AA794" i="5"/>
  <c r="AA795" i="5"/>
  <c r="AA796" i="5"/>
  <c r="AA797" i="5"/>
  <c r="AA798" i="5"/>
  <c r="AA799" i="5"/>
  <c r="AA800" i="5"/>
  <c r="AA801" i="5"/>
  <c r="AA802" i="5"/>
  <c r="AA803" i="5"/>
  <c r="AA804" i="5"/>
  <c r="AA805" i="5"/>
  <c r="AA806" i="5"/>
  <c r="AA807" i="5"/>
  <c r="AA808" i="5"/>
  <c r="AA809" i="5"/>
  <c r="AA810" i="5"/>
  <c r="AA811" i="5"/>
  <c r="AA812" i="5"/>
  <c r="AA813" i="5"/>
  <c r="AA814" i="5"/>
  <c r="AA815" i="5"/>
  <c r="AA816" i="5"/>
  <c r="AA817" i="5"/>
  <c r="AA818" i="5"/>
  <c r="AA819" i="5"/>
  <c r="AA820" i="5"/>
  <c r="AA821" i="5"/>
  <c r="AA822" i="5"/>
  <c r="AA823" i="5"/>
  <c r="AA824" i="5"/>
  <c r="AA825" i="5"/>
  <c r="AA826" i="5"/>
  <c r="AA827" i="5"/>
  <c r="AA828" i="5"/>
  <c r="AA829" i="5"/>
  <c r="AA830" i="5"/>
  <c r="AA831" i="5"/>
  <c r="AA832" i="5"/>
  <c r="AA833" i="5"/>
  <c r="AA834" i="5"/>
  <c r="AA835" i="5"/>
  <c r="AA836" i="5"/>
  <c r="AA837" i="5"/>
  <c r="AA838" i="5"/>
  <c r="AA839" i="5"/>
  <c r="AA840" i="5"/>
  <c r="AA841" i="5"/>
  <c r="AA842" i="5"/>
  <c r="AA843" i="5"/>
  <c r="AA844" i="5"/>
  <c r="AA845" i="5"/>
  <c r="AA846" i="5"/>
  <c r="AA847" i="5"/>
  <c r="AA848" i="5"/>
  <c r="AA849" i="5"/>
  <c r="AA850" i="5"/>
  <c r="AA851" i="5"/>
  <c r="AA852" i="5"/>
  <c r="AA853" i="5"/>
  <c r="AA854" i="5"/>
  <c r="AA855" i="5"/>
  <c r="AA856" i="5"/>
  <c r="AA857" i="5"/>
  <c r="AA858" i="5"/>
  <c r="AA859" i="5"/>
  <c r="AA860" i="5"/>
  <c r="AA861" i="5"/>
  <c r="AA862" i="5"/>
  <c r="AA863" i="5"/>
  <c r="AA864" i="5"/>
  <c r="AA865" i="5"/>
  <c r="AA866" i="5"/>
  <c r="AA867" i="5"/>
  <c r="AA868" i="5"/>
  <c r="AA869" i="5"/>
  <c r="AA870" i="5"/>
  <c r="AA871" i="5"/>
  <c r="AA872" i="5"/>
  <c r="AA873" i="5"/>
  <c r="AA874" i="5"/>
  <c r="AA875" i="5"/>
  <c r="AA876" i="5"/>
  <c r="AA877" i="5"/>
  <c r="AA878" i="5"/>
  <c r="AA879" i="5"/>
  <c r="AA880" i="5"/>
  <c r="AA881" i="5"/>
  <c r="AA882" i="5"/>
  <c r="AA883" i="5"/>
  <c r="AA884" i="5"/>
  <c r="AA885" i="5"/>
  <c r="AA886" i="5"/>
  <c r="AA887" i="5"/>
  <c r="AA888" i="5"/>
  <c r="AA889" i="5"/>
  <c r="AA890" i="5"/>
  <c r="AA891" i="5"/>
  <c r="AA892" i="5"/>
  <c r="AA893" i="5"/>
  <c r="AA894" i="5"/>
  <c r="AA895" i="5"/>
  <c r="AA896" i="5"/>
  <c r="AA897" i="5"/>
  <c r="AA898" i="5"/>
  <c r="AA899" i="5"/>
  <c r="AA900" i="5"/>
  <c r="AA901" i="5"/>
  <c r="AA902" i="5"/>
  <c r="AA903" i="5"/>
  <c r="AA904" i="5"/>
  <c r="AA905" i="5"/>
  <c r="AA906" i="5"/>
  <c r="AA907" i="5"/>
  <c r="AA908" i="5"/>
  <c r="AA909" i="5"/>
  <c r="AA910" i="5"/>
  <c r="AA911" i="5"/>
  <c r="AA912" i="5"/>
  <c r="AA913" i="5"/>
  <c r="AA914" i="5"/>
  <c r="AA915" i="5"/>
  <c r="AA916" i="5"/>
  <c r="AA917" i="5"/>
  <c r="AA918" i="5"/>
  <c r="AA919" i="5"/>
  <c r="AA920" i="5"/>
  <c r="AA921" i="5"/>
  <c r="AA922" i="5"/>
  <c r="AA923" i="5"/>
  <c r="AA924" i="5"/>
  <c r="AA925" i="5"/>
  <c r="AA926" i="5"/>
  <c r="AA927" i="5"/>
  <c r="AA928" i="5"/>
  <c r="AA929" i="5"/>
  <c r="AA930" i="5"/>
  <c r="AA931" i="5"/>
  <c r="AA932" i="5"/>
  <c r="AA933" i="5"/>
  <c r="AA934" i="5"/>
  <c r="AA935" i="5"/>
  <c r="AA936" i="5"/>
  <c r="AA937" i="5"/>
  <c r="AA938" i="5"/>
  <c r="AA939" i="5"/>
  <c r="AA940" i="5"/>
  <c r="AA941" i="5"/>
  <c r="AA942" i="5"/>
  <c r="AA943" i="5"/>
  <c r="AA944" i="5"/>
  <c r="AA945" i="5"/>
  <c r="AA946" i="5"/>
  <c r="AA947" i="5"/>
  <c r="AA948" i="5"/>
  <c r="AA949" i="5"/>
  <c r="AA950" i="5"/>
  <c r="AA951" i="5"/>
  <c r="AA952" i="5"/>
  <c r="AA953" i="5"/>
  <c r="AA954" i="5"/>
  <c r="AA955" i="5"/>
  <c r="AA956" i="5"/>
  <c r="AA957" i="5"/>
  <c r="AA958" i="5"/>
  <c r="AA959" i="5"/>
  <c r="AA960" i="5"/>
  <c r="AA961" i="5"/>
  <c r="AA962" i="5"/>
  <c r="AA963" i="5"/>
  <c r="AA964" i="5"/>
  <c r="AA965" i="5"/>
  <c r="AA966" i="5"/>
  <c r="AA967" i="5"/>
  <c r="AA968" i="5"/>
  <c r="AA969" i="5"/>
  <c r="AA970" i="5"/>
  <c r="AA971" i="5"/>
  <c r="AA972" i="5"/>
  <c r="AA973" i="5"/>
  <c r="AA974" i="5"/>
  <c r="AA975" i="5"/>
  <c r="AA976" i="5"/>
  <c r="AA977" i="5"/>
  <c r="AA978" i="5"/>
  <c r="AA979" i="5"/>
  <c r="AA980" i="5"/>
  <c r="AA981" i="5"/>
  <c r="AA982" i="5"/>
  <c r="AA983" i="5"/>
  <c r="AA984" i="5"/>
  <c r="AA985" i="5"/>
  <c r="AA986" i="5"/>
  <c r="AA987" i="5"/>
  <c r="AA988" i="5"/>
  <c r="AA989" i="5"/>
  <c r="AA990" i="5"/>
  <c r="AA991" i="5"/>
  <c r="AA992" i="5"/>
  <c r="AA993" i="5"/>
  <c r="AA994" i="5"/>
  <c r="AA995" i="5"/>
  <c r="AA996" i="5"/>
  <c r="AA997" i="5"/>
  <c r="AA998" i="5"/>
  <c r="AA999" i="5"/>
  <c r="AA1000" i="5"/>
  <c r="AA1001" i="5"/>
  <c r="AA1002" i="5"/>
  <c r="AA1003" i="5"/>
  <c r="AA1004" i="5"/>
  <c r="AA1005" i="5"/>
  <c r="AA1006" i="5"/>
  <c r="AA1007" i="5"/>
  <c r="AA1008" i="5"/>
  <c r="AA1009" i="5"/>
  <c r="AA1010" i="5"/>
  <c r="AA1011" i="5"/>
  <c r="AA1012" i="5"/>
  <c r="AA1013" i="5"/>
  <c r="AA1014" i="5"/>
  <c r="AA1015" i="5"/>
  <c r="AA1016" i="5"/>
  <c r="AA1017" i="5"/>
  <c r="AA1018" i="5"/>
  <c r="AA1019" i="5"/>
  <c r="AA1020" i="5"/>
  <c r="AA1021" i="5"/>
  <c r="AA1022" i="5"/>
  <c r="AA1023" i="5"/>
  <c r="AA1024" i="5"/>
  <c r="AA1025" i="5"/>
  <c r="AA1026" i="5"/>
  <c r="AA1027" i="5"/>
  <c r="AA1028" i="5"/>
  <c r="AA1029" i="5"/>
  <c r="AA1030" i="5"/>
  <c r="AA1031" i="5"/>
  <c r="AA1032" i="5"/>
  <c r="AA1033" i="5"/>
  <c r="AA1034" i="5"/>
  <c r="AA1035" i="5"/>
  <c r="AA1036" i="5"/>
  <c r="AA1037" i="5"/>
  <c r="AA1038" i="5"/>
  <c r="AA1039" i="5"/>
  <c r="AA1040" i="5"/>
  <c r="AA1041" i="5"/>
  <c r="AA1042" i="5"/>
  <c r="AA1043" i="5"/>
  <c r="AA1044" i="5"/>
  <c r="AA1045" i="5"/>
  <c r="AA1046" i="5"/>
  <c r="AA1047" i="5"/>
  <c r="AA1048" i="5"/>
  <c r="AA1049" i="5"/>
  <c r="AA1050" i="5"/>
  <c r="AA1051" i="5"/>
  <c r="AA1052" i="5"/>
  <c r="AA1053" i="5"/>
  <c r="AA1054" i="5"/>
  <c r="AA1055" i="5"/>
  <c r="AA1056" i="5"/>
  <c r="AA1057" i="5"/>
  <c r="AA1058" i="5"/>
  <c r="AA1059" i="5"/>
  <c r="AA1060" i="5"/>
  <c r="AA1061" i="5"/>
  <c r="AA1062" i="5"/>
  <c r="AA1063" i="5"/>
  <c r="AA1064" i="5"/>
  <c r="AA1065" i="5"/>
  <c r="AA1066" i="5"/>
  <c r="AA1067" i="5"/>
  <c r="AA1068" i="5"/>
  <c r="AA1069" i="5"/>
  <c r="AA1070" i="5"/>
  <c r="AA1071" i="5"/>
  <c r="AA1072" i="5"/>
  <c r="AA1073" i="5"/>
  <c r="AA1074" i="5"/>
  <c r="AA1075" i="5"/>
  <c r="AA1076" i="5"/>
  <c r="AA1077" i="5"/>
  <c r="AA1078" i="5"/>
  <c r="AA1079" i="5"/>
  <c r="AA1080" i="5"/>
  <c r="AA1081" i="5"/>
  <c r="AA1082" i="5"/>
  <c r="AA1083" i="5"/>
  <c r="AA1084" i="5"/>
  <c r="AA1085" i="5"/>
  <c r="AA1086" i="5"/>
  <c r="AA1087" i="5"/>
  <c r="AA1088" i="5"/>
  <c r="AA1089" i="5"/>
  <c r="AA1090" i="5"/>
  <c r="AA1091" i="5"/>
  <c r="AA1092" i="5"/>
  <c r="AA1093" i="5"/>
  <c r="AA1094" i="5"/>
  <c r="AA1095" i="5"/>
  <c r="AA1096" i="5"/>
  <c r="AA1097" i="5"/>
  <c r="AA1098" i="5"/>
  <c r="AA1099" i="5"/>
  <c r="AA1100" i="5"/>
  <c r="AA1101" i="5"/>
  <c r="AA1102" i="5"/>
  <c r="AA1103" i="5"/>
  <c r="AA1104" i="5"/>
  <c r="AA1105" i="5"/>
  <c r="AA1106" i="5"/>
  <c r="AA1107" i="5"/>
  <c r="AA1108" i="5"/>
  <c r="AA1109" i="5"/>
  <c r="AA1110" i="5"/>
  <c r="AA1111" i="5"/>
  <c r="AA1112" i="5"/>
  <c r="AA1113" i="5"/>
  <c r="AA1114" i="5"/>
  <c r="AA1115" i="5"/>
  <c r="AA1116" i="5"/>
  <c r="AA1117" i="5"/>
  <c r="AA1118" i="5"/>
  <c r="AA1119" i="5"/>
  <c r="AA1120" i="5"/>
  <c r="AA1121" i="5"/>
  <c r="AA1122" i="5"/>
  <c r="AA1123" i="5"/>
  <c r="AA1124" i="5"/>
  <c r="AA1125" i="5"/>
  <c r="AA1126" i="5"/>
  <c r="AA1127" i="5"/>
  <c r="AA1128" i="5"/>
  <c r="AA1129" i="5"/>
  <c r="AA1130" i="5"/>
  <c r="AA1131" i="5"/>
  <c r="AA1132" i="5"/>
  <c r="AA1133" i="5"/>
  <c r="AA1134" i="5"/>
  <c r="AA1135" i="5"/>
  <c r="AA1136" i="5"/>
  <c r="AA1137" i="5"/>
  <c r="AA1138" i="5"/>
  <c r="AA1139" i="5"/>
  <c r="AA1140" i="5"/>
  <c r="AA1141" i="5"/>
  <c r="AA1142" i="5"/>
  <c r="AA1143" i="5"/>
  <c r="AA1144" i="5"/>
  <c r="AA1145" i="5"/>
  <c r="AA1146" i="5"/>
  <c r="AA1147" i="5"/>
  <c r="AA1148" i="5"/>
  <c r="AA1149" i="5"/>
  <c r="AA1150" i="5"/>
  <c r="AA1151" i="5"/>
  <c r="AA1152" i="5"/>
  <c r="AA1153" i="5"/>
  <c r="AA1154" i="5"/>
  <c r="AA1155" i="5"/>
  <c r="AA1156" i="5"/>
  <c r="AA1157" i="5"/>
  <c r="AA1158" i="5"/>
  <c r="AA1159" i="5"/>
  <c r="AA1160" i="5"/>
  <c r="AA1161" i="5"/>
  <c r="AA1162" i="5"/>
  <c r="AA1163" i="5"/>
  <c r="AA1164" i="5"/>
  <c r="AA1165" i="5"/>
  <c r="AA1166" i="5"/>
  <c r="AA1167" i="5"/>
  <c r="AA1168" i="5"/>
  <c r="AA1169" i="5"/>
  <c r="AA1170" i="5"/>
  <c r="AA1171" i="5"/>
  <c r="AA1172" i="5"/>
  <c r="AA1173" i="5"/>
  <c r="AA1174" i="5"/>
  <c r="AA1175" i="5"/>
  <c r="AA1176" i="5"/>
  <c r="AA1177" i="5"/>
  <c r="AA1178" i="5"/>
  <c r="AA1179" i="5"/>
  <c r="AA1180" i="5"/>
  <c r="AA1181" i="5"/>
  <c r="AA1182" i="5"/>
  <c r="AA1183" i="5"/>
  <c r="AA1184" i="5"/>
  <c r="AA1185" i="5"/>
  <c r="AA1186" i="5"/>
  <c r="AA1187" i="5"/>
  <c r="AA1188" i="5"/>
  <c r="AA1189" i="5"/>
  <c r="AA1190" i="5"/>
  <c r="AA1191" i="5"/>
  <c r="AA1192" i="5"/>
  <c r="AA1193" i="5"/>
  <c r="AA1194" i="5"/>
  <c r="AA1195" i="5"/>
  <c r="AA1196" i="5"/>
  <c r="AA1197" i="5"/>
  <c r="AA1198" i="5"/>
  <c r="AA1199" i="5"/>
  <c r="AA1200" i="5"/>
  <c r="AA1201" i="5"/>
  <c r="AA1202" i="5"/>
  <c r="AA1203" i="5"/>
  <c r="AA1204" i="5"/>
  <c r="AA1205" i="5"/>
  <c r="AA1206" i="5"/>
  <c r="AA1207" i="5"/>
  <c r="AA1208" i="5"/>
  <c r="AA1209" i="5"/>
  <c r="AA1210" i="5"/>
  <c r="AA1211" i="5"/>
  <c r="AA1212" i="5"/>
  <c r="AA1213" i="5"/>
  <c r="AA1214" i="5"/>
  <c r="AA1215" i="5"/>
  <c r="AA1216" i="5"/>
  <c r="AA1217" i="5"/>
  <c r="AA1218" i="5"/>
  <c r="AA1219" i="5"/>
  <c r="AA1220" i="5"/>
  <c r="AA1221" i="5"/>
  <c r="AA1222" i="5"/>
  <c r="AA1223" i="5"/>
  <c r="AA1224" i="5"/>
  <c r="AA1225" i="5"/>
  <c r="AA1226" i="5"/>
  <c r="AA1227" i="5"/>
  <c r="AA1228" i="5"/>
  <c r="AA1229" i="5"/>
  <c r="AA1230" i="5"/>
  <c r="AA1231" i="5"/>
  <c r="AA1232" i="5"/>
  <c r="AA1233" i="5"/>
  <c r="AA1234" i="5"/>
  <c r="AA1235" i="5"/>
  <c r="AA1236" i="5"/>
  <c r="AA1237" i="5"/>
  <c r="AA1238" i="5"/>
  <c r="AA1239" i="5"/>
  <c r="AA1240" i="5"/>
  <c r="AA1241" i="5"/>
  <c r="AA1242" i="5"/>
  <c r="AA1243" i="5"/>
  <c r="AA1244" i="5"/>
  <c r="AA1245" i="5"/>
  <c r="AA1246" i="5"/>
  <c r="AA1247" i="5"/>
  <c r="AA1248" i="5"/>
  <c r="AA1249" i="5"/>
  <c r="AA1250" i="5"/>
  <c r="AA1251" i="5"/>
  <c r="AA1252" i="5"/>
  <c r="AA1253" i="5"/>
  <c r="AA1254" i="5"/>
  <c r="AA1255" i="5"/>
  <c r="AA1256" i="5"/>
  <c r="AA1257" i="5"/>
  <c r="AA1258" i="5"/>
  <c r="AA1259" i="5"/>
  <c r="AA1260" i="5"/>
  <c r="AA1261" i="5"/>
  <c r="AA1262" i="5"/>
  <c r="AA1263" i="5"/>
  <c r="AA1264" i="5"/>
  <c r="AA1265" i="5"/>
  <c r="AA1266" i="5"/>
  <c r="AA1267" i="5"/>
  <c r="AA1268" i="5"/>
  <c r="AA1269" i="5"/>
  <c r="AA1270" i="5"/>
  <c r="AA1271" i="5"/>
  <c r="AA1272" i="5"/>
  <c r="AA1273" i="5"/>
  <c r="AA1274" i="5"/>
  <c r="AA1275" i="5"/>
  <c r="AA1276" i="5"/>
  <c r="AA1277" i="5"/>
  <c r="AA1278" i="5"/>
  <c r="AA1279" i="5"/>
  <c r="AA1280" i="5"/>
  <c r="AA1281" i="5"/>
  <c r="AA1282" i="5"/>
  <c r="AA1283" i="5"/>
  <c r="AA1284" i="5"/>
  <c r="AA1285" i="5"/>
  <c r="AA1286" i="5"/>
  <c r="AA1287" i="5"/>
  <c r="AA1288" i="5"/>
  <c r="AA1289" i="5"/>
  <c r="AA1290" i="5"/>
  <c r="AA1291" i="5"/>
  <c r="AA1292" i="5"/>
  <c r="AA1293" i="5"/>
  <c r="AA1294" i="5"/>
  <c r="AA1295" i="5"/>
  <c r="AA1296" i="5"/>
  <c r="AA1297" i="5"/>
  <c r="AA1298" i="5"/>
  <c r="AA1299" i="5"/>
  <c r="AA1300" i="5"/>
  <c r="AA1301" i="5"/>
  <c r="AA1302" i="5"/>
  <c r="AA1303" i="5"/>
  <c r="AA1304" i="5"/>
  <c r="AA1305" i="5"/>
  <c r="AA1306" i="5"/>
  <c r="AA1307" i="5"/>
  <c r="AA1308" i="5"/>
  <c r="AA1309" i="5"/>
  <c r="AA1310" i="5"/>
  <c r="AA1311" i="5"/>
  <c r="AA1312" i="5"/>
  <c r="AA1313" i="5"/>
  <c r="AA1314" i="5"/>
  <c r="AA1315" i="5"/>
  <c r="AA1316" i="5"/>
  <c r="AA1317" i="5"/>
  <c r="AA1318" i="5"/>
  <c r="AA1319" i="5"/>
  <c r="AA1320" i="5"/>
  <c r="AA1321" i="5"/>
  <c r="AA1322" i="5"/>
  <c r="AA1323" i="5"/>
  <c r="AA1324" i="5"/>
  <c r="AA1325" i="5"/>
  <c r="AA1326" i="5"/>
  <c r="AA1327" i="5"/>
  <c r="AA1328" i="5"/>
  <c r="AA1329" i="5"/>
  <c r="AA1330" i="5"/>
  <c r="AA1331" i="5"/>
  <c r="AA1332" i="5"/>
  <c r="AA1333" i="5"/>
  <c r="AA1334" i="5"/>
  <c r="AA1335" i="5"/>
  <c r="AA1336" i="5"/>
  <c r="AA1337" i="5"/>
  <c r="AA1338" i="5"/>
  <c r="AA1339" i="5"/>
  <c r="AA1340" i="5"/>
  <c r="AA1341" i="5"/>
  <c r="AA1342" i="5"/>
  <c r="AA1343" i="5"/>
  <c r="AA1344" i="5"/>
  <c r="AA1345" i="5"/>
  <c r="AA1346" i="5"/>
  <c r="AA1347" i="5"/>
  <c r="AA1348" i="5"/>
  <c r="AA1349" i="5"/>
  <c r="AA1350" i="5"/>
  <c r="AA1351" i="5"/>
  <c r="AA1352" i="5"/>
  <c r="AA1353" i="5"/>
  <c r="AA1354" i="5"/>
  <c r="AA1355" i="5"/>
  <c r="AA1356" i="5"/>
  <c r="AA1357" i="5"/>
  <c r="AA1358" i="5"/>
  <c r="AA1359" i="5"/>
  <c r="AA1360" i="5"/>
  <c r="AA1361" i="5"/>
  <c r="AA1362" i="5"/>
  <c r="AA1363" i="5"/>
  <c r="AA1364" i="5"/>
  <c r="AA1365" i="5"/>
  <c r="AA1366" i="5"/>
  <c r="AA1367" i="5"/>
  <c r="AA1368" i="5"/>
  <c r="AA1369" i="5"/>
  <c r="AA1370" i="5"/>
  <c r="AA1371" i="5"/>
  <c r="AA1372" i="5"/>
  <c r="AA1373" i="5"/>
  <c r="AA1374" i="5"/>
  <c r="AA1375" i="5"/>
  <c r="AA1376" i="5"/>
  <c r="AA1377" i="5"/>
  <c r="AA1378" i="5"/>
  <c r="AA1379" i="5"/>
  <c r="AA1380" i="5"/>
  <c r="AA1381" i="5"/>
  <c r="AA1382" i="5"/>
  <c r="AA1383" i="5"/>
  <c r="AA1384" i="5"/>
  <c r="AA1385" i="5"/>
  <c r="AA1386" i="5"/>
  <c r="AA1387" i="5"/>
  <c r="AA1388" i="5"/>
  <c r="AA1389" i="5"/>
  <c r="AA1390" i="5"/>
  <c r="AA1391" i="5"/>
  <c r="AA1392" i="5"/>
  <c r="AA1393" i="5"/>
  <c r="AA1394" i="5"/>
  <c r="AA1395" i="5"/>
  <c r="AA1396" i="5"/>
  <c r="AA1397" i="5"/>
  <c r="AA1398" i="5"/>
  <c r="AA1399" i="5"/>
  <c r="AA1400" i="5"/>
  <c r="AA1401" i="5"/>
  <c r="AA1402" i="5"/>
  <c r="AA1403" i="5"/>
  <c r="AA1404" i="5"/>
  <c r="AA1405" i="5"/>
  <c r="AA1406" i="5"/>
  <c r="AA1407" i="5"/>
  <c r="AA1408" i="5"/>
  <c r="AA1409" i="5"/>
  <c r="AA1410" i="5"/>
  <c r="AA1411" i="5"/>
  <c r="AA1412" i="5"/>
  <c r="AA1413" i="5"/>
  <c r="AA1414" i="5"/>
  <c r="AA1415" i="5"/>
  <c r="AA1416" i="5"/>
  <c r="AA1417" i="5"/>
  <c r="AA1418" i="5"/>
  <c r="AA1419" i="5"/>
  <c r="AA1420" i="5"/>
  <c r="AA1421" i="5"/>
  <c r="AA1422" i="5"/>
  <c r="AA1423" i="5"/>
  <c r="AA1424" i="5"/>
  <c r="AA1425" i="5"/>
  <c r="AA1426" i="5"/>
  <c r="AA1427" i="5"/>
  <c r="AA1428" i="5"/>
  <c r="AA1429" i="5"/>
  <c r="AA1430" i="5"/>
  <c r="AA1431" i="5"/>
  <c r="AA1432" i="5"/>
  <c r="AA1433" i="5"/>
  <c r="AA1434" i="5"/>
  <c r="AA1435" i="5"/>
  <c r="AA1436" i="5"/>
  <c r="AA1437" i="5"/>
  <c r="AA1438" i="5"/>
  <c r="AA1439" i="5"/>
  <c r="AA1440" i="5"/>
  <c r="AA1441" i="5"/>
  <c r="AA1442" i="5"/>
  <c r="AA1443" i="5"/>
  <c r="AA1444" i="5"/>
  <c r="AA1445" i="5"/>
  <c r="AA1446" i="5"/>
  <c r="AA1447" i="5"/>
  <c r="AA1448" i="5"/>
  <c r="AA1449" i="5"/>
  <c r="AA1450" i="5"/>
  <c r="AA1451" i="5"/>
  <c r="AA1452" i="5"/>
  <c r="AA1453" i="5"/>
  <c r="AA1454" i="5"/>
  <c r="AA1455" i="5"/>
  <c r="AA1456" i="5"/>
  <c r="AA1457" i="5"/>
  <c r="AA1458" i="5"/>
  <c r="AA1459" i="5"/>
  <c r="AA1460" i="5"/>
  <c r="AA1461" i="5"/>
  <c r="AA1462" i="5"/>
  <c r="AA1463" i="5"/>
  <c r="AA1464" i="5"/>
  <c r="AA1465" i="5"/>
  <c r="AA1466" i="5"/>
  <c r="AA1467" i="5"/>
  <c r="AA1468" i="5"/>
  <c r="AA1469" i="5"/>
  <c r="AA1470" i="5"/>
  <c r="AA1471" i="5"/>
  <c r="AA1472" i="5"/>
  <c r="AA1473" i="5"/>
  <c r="AA1474" i="5"/>
  <c r="AA1475" i="5"/>
  <c r="AA1476" i="5"/>
  <c r="AA1477" i="5"/>
  <c r="AA1478" i="5"/>
  <c r="AA1479" i="5"/>
  <c r="AA1480" i="5"/>
  <c r="AA1481" i="5"/>
  <c r="AA1482" i="5"/>
  <c r="AA1483" i="5"/>
  <c r="AA1484" i="5"/>
  <c r="AA1485" i="5"/>
  <c r="AA1486" i="5"/>
  <c r="AA1487" i="5"/>
  <c r="AA1488" i="5"/>
  <c r="AA1489" i="5"/>
  <c r="AA1490" i="5"/>
  <c r="AA1491" i="5"/>
  <c r="AA1492" i="5"/>
  <c r="AA1493" i="5"/>
  <c r="AA1494" i="5"/>
  <c r="AA1495" i="5"/>
  <c r="AA1496" i="5"/>
  <c r="AA1497" i="5"/>
  <c r="AA1498" i="5"/>
  <c r="AA1499" i="5"/>
  <c r="AA1500" i="5"/>
  <c r="AA1501" i="5"/>
  <c r="AA1502" i="5"/>
  <c r="AA1503" i="5"/>
  <c r="AA1504" i="5"/>
  <c r="AA1505" i="5"/>
  <c r="AA1506" i="5"/>
  <c r="AA1507" i="5"/>
  <c r="AA1508" i="5"/>
  <c r="AA1509" i="5"/>
  <c r="AA1510" i="5"/>
  <c r="AA1511" i="5"/>
  <c r="AA1512" i="5"/>
  <c r="AA1513" i="5"/>
  <c r="AA1514" i="5"/>
  <c r="AA1515" i="5"/>
  <c r="AA1516" i="5"/>
  <c r="AA1517" i="5"/>
  <c r="AA1518" i="5"/>
  <c r="AA1519" i="5"/>
  <c r="AA1520" i="5"/>
  <c r="AA1521" i="5"/>
  <c r="AA1522" i="5"/>
  <c r="AA1523" i="5"/>
  <c r="AA1524" i="5"/>
  <c r="AA1525" i="5"/>
  <c r="AA1526" i="5"/>
  <c r="AA1527" i="5"/>
  <c r="AA1528" i="5"/>
  <c r="AA1529" i="5"/>
  <c r="AA1530" i="5"/>
  <c r="AA1531" i="5"/>
  <c r="AA1532" i="5"/>
  <c r="AA1533" i="5"/>
  <c r="AA1534" i="5"/>
  <c r="AA1535" i="5"/>
  <c r="AA1536" i="5"/>
  <c r="AA1537" i="5"/>
  <c r="AA1538" i="5"/>
  <c r="AA1539" i="5"/>
  <c r="AA1540" i="5"/>
  <c r="AA1541" i="5"/>
  <c r="AA1542" i="5"/>
  <c r="AA1543" i="5"/>
  <c r="AA1544" i="5"/>
  <c r="AA1545" i="5"/>
  <c r="AA1546" i="5"/>
  <c r="AA1547" i="5"/>
  <c r="AA1548" i="5"/>
  <c r="AA1549" i="5"/>
  <c r="AA1550" i="5"/>
  <c r="AA1551" i="5"/>
  <c r="AA1552" i="5"/>
  <c r="AA1553" i="5"/>
  <c r="AA1554" i="5"/>
  <c r="AA1555" i="5"/>
  <c r="AA1556" i="5"/>
  <c r="AA1557" i="5"/>
  <c r="AA1558" i="5"/>
  <c r="AA1559" i="5"/>
  <c r="AA1560" i="5"/>
  <c r="AA1561" i="5"/>
  <c r="AA1562" i="5"/>
  <c r="AA1563" i="5"/>
  <c r="AA1564" i="5"/>
  <c r="AA1565" i="5"/>
  <c r="AA1566" i="5"/>
  <c r="AA1567" i="5"/>
  <c r="AA1568" i="5"/>
  <c r="AA1569" i="5"/>
  <c r="AA1570" i="5"/>
  <c r="AA1571" i="5"/>
  <c r="AA1572" i="5"/>
  <c r="AA1573" i="5"/>
  <c r="AA1574" i="5"/>
  <c r="AA1575" i="5"/>
  <c r="AA1576" i="5"/>
  <c r="AA1577" i="5"/>
  <c r="AA1578" i="5"/>
  <c r="AA1579" i="5"/>
  <c r="AA1580" i="5"/>
  <c r="AA1581" i="5"/>
  <c r="AA1582" i="5"/>
  <c r="AA1583" i="5"/>
  <c r="AA1584" i="5"/>
  <c r="AA1585" i="5"/>
  <c r="AA1586" i="5"/>
  <c r="AA1587" i="5"/>
  <c r="AA1588" i="5"/>
  <c r="AA1589" i="5"/>
  <c r="AA1590" i="5"/>
  <c r="AA1591" i="5"/>
  <c r="AA1592" i="5"/>
  <c r="AA1593" i="5"/>
  <c r="AA1594" i="5"/>
  <c r="AA1595" i="5"/>
  <c r="AA1596" i="5"/>
  <c r="AA1597" i="5"/>
  <c r="AA1598" i="5"/>
  <c r="AA1599" i="5"/>
  <c r="AA1600" i="5"/>
  <c r="AA1601" i="5"/>
  <c r="AA1602" i="5"/>
  <c r="AA1603" i="5"/>
  <c r="AA1604" i="5"/>
  <c r="AA1605" i="5"/>
  <c r="AA1606" i="5"/>
  <c r="AA1607" i="5"/>
  <c r="AA1608" i="5"/>
  <c r="AA1609" i="5"/>
  <c r="AA1610" i="5"/>
  <c r="AA1611" i="5"/>
  <c r="AA1612" i="5"/>
  <c r="AA1613" i="5"/>
  <c r="AA1614" i="5"/>
  <c r="AA1615" i="5"/>
  <c r="AA1616" i="5"/>
  <c r="AA1617" i="5"/>
  <c r="AA1618" i="5"/>
  <c r="AA1619" i="5"/>
  <c r="AA1620" i="5"/>
  <c r="AA1621" i="5"/>
  <c r="AA1622" i="5"/>
  <c r="AA1623" i="5"/>
  <c r="AA1624" i="5"/>
  <c r="AA1625" i="5"/>
  <c r="AA1626" i="5"/>
  <c r="AA1627" i="5"/>
  <c r="AA1628" i="5"/>
  <c r="AA1629" i="5"/>
  <c r="AA1630" i="5"/>
  <c r="AA1631" i="5"/>
  <c r="AA1632" i="5"/>
  <c r="AA1633" i="5"/>
  <c r="AA1634" i="5"/>
  <c r="AA1635" i="5"/>
  <c r="AA1636" i="5"/>
  <c r="AA1637" i="5"/>
  <c r="AA1638" i="5"/>
  <c r="AA1639" i="5"/>
  <c r="AA1640" i="5"/>
  <c r="AA1641" i="5"/>
  <c r="AA1642" i="5"/>
  <c r="AA1643" i="5"/>
  <c r="AA1644" i="5"/>
  <c r="AA1645" i="5"/>
  <c r="AA1646" i="5"/>
  <c r="AA1647" i="5"/>
  <c r="AA1648" i="5"/>
  <c r="AA1649" i="5"/>
  <c r="AA1650" i="5"/>
  <c r="AA1651" i="5"/>
  <c r="AA1652" i="5"/>
  <c r="AA1653" i="5"/>
  <c r="AA1654" i="5"/>
  <c r="AA1655" i="5"/>
  <c r="AA1656" i="5"/>
  <c r="AA1657" i="5"/>
  <c r="AA1658" i="5"/>
  <c r="AA1659" i="5"/>
  <c r="AA1660" i="5"/>
  <c r="AA1661" i="5"/>
  <c r="AA1662" i="5"/>
  <c r="AA1663" i="5"/>
  <c r="AA1664" i="5"/>
  <c r="AA1665" i="5"/>
  <c r="AA1666" i="5"/>
  <c r="AA1667" i="5"/>
  <c r="AA1668" i="5"/>
  <c r="AA1669" i="5"/>
  <c r="AA1670" i="5"/>
  <c r="AA1671" i="5"/>
  <c r="AA1672" i="5"/>
  <c r="AA1673" i="5"/>
  <c r="AA1674" i="5"/>
  <c r="AA1675" i="5"/>
  <c r="AA1676" i="5"/>
  <c r="AA1677" i="5"/>
  <c r="AA1678" i="5"/>
  <c r="AA1679" i="5"/>
  <c r="AA1680" i="5"/>
  <c r="AA1681" i="5"/>
  <c r="AA1682" i="5"/>
  <c r="AA1683" i="5"/>
  <c r="AA1684" i="5"/>
  <c r="AA1685" i="5"/>
  <c r="AA1686" i="5"/>
  <c r="AA1687" i="5"/>
  <c r="AA1688" i="5"/>
  <c r="AA1689" i="5"/>
  <c r="AA1690" i="5"/>
  <c r="AA1691" i="5"/>
  <c r="AA1692" i="5"/>
  <c r="AA1693" i="5"/>
  <c r="AA1694" i="5"/>
  <c r="AA1695" i="5"/>
  <c r="AA1696" i="5"/>
  <c r="AA1697" i="5"/>
  <c r="AA1698" i="5"/>
  <c r="AA1699" i="5"/>
  <c r="AA1700" i="5"/>
  <c r="AA1701" i="5"/>
  <c r="AA1702" i="5"/>
  <c r="AA1703" i="5"/>
  <c r="AA1704" i="5"/>
  <c r="AA1705" i="5"/>
  <c r="AA1706" i="5"/>
  <c r="AA1707" i="5"/>
  <c r="AA1708" i="5"/>
  <c r="AA1709" i="5"/>
  <c r="AA1710" i="5"/>
  <c r="AA1711" i="5"/>
  <c r="AA1712" i="5"/>
  <c r="AA1713" i="5"/>
  <c r="AA1714" i="5"/>
  <c r="AA1715" i="5"/>
  <c r="AA1716" i="5"/>
  <c r="AA1717" i="5"/>
  <c r="AA1718" i="5"/>
  <c r="AA1719" i="5"/>
  <c r="AA1720" i="5"/>
  <c r="AA1721" i="5"/>
  <c r="AA1722" i="5"/>
  <c r="AA1723" i="5"/>
  <c r="AA1724" i="5"/>
  <c r="AA1725" i="5"/>
  <c r="AA1726" i="5"/>
  <c r="AA1727" i="5"/>
  <c r="AA1728" i="5"/>
  <c r="AA1729" i="5"/>
  <c r="AA1730" i="5"/>
  <c r="AA1731" i="5"/>
  <c r="AA1732" i="5"/>
  <c r="AA1733" i="5"/>
  <c r="AA1734" i="5"/>
  <c r="AA1735" i="5"/>
  <c r="AA1736" i="5"/>
  <c r="AA1737" i="5"/>
  <c r="AA1738" i="5"/>
  <c r="AA1739" i="5"/>
  <c r="AA1740" i="5"/>
  <c r="AA1741" i="5"/>
  <c r="AA1742" i="5"/>
  <c r="AA1743" i="5"/>
  <c r="AA1744" i="5"/>
  <c r="AA1745" i="5"/>
  <c r="AA1746" i="5"/>
  <c r="AA1747" i="5"/>
  <c r="AA1748" i="5"/>
  <c r="AA1749" i="5"/>
  <c r="AA1750" i="5"/>
  <c r="AA1751" i="5"/>
  <c r="AA1752" i="5"/>
  <c r="AA1753" i="5"/>
  <c r="AA1754" i="5"/>
  <c r="AA1755" i="5"/>
  <c r="AA1756" i="5"/>
  <c r="AA1757" i="5"/>
  <c r="AA1758" i="5"/>
  <c r="AA1759" i="5"/>
  <c r="AA1760" i="5"/>
  <c r="AA1761" i="5"/>
  <c r="AA1762" i="5"/>
  <c r="AA1763" i="5"/>
  <c r="AA1764" i="5"/>
  <c r="AA1765" i="5"/>
  <c r="AA1766" i="5"/>
  <c r="AA1767" i="5"/>
  <c r="AA1768" i="5"/>
  <c r="AA1769" i="5"/>
  <c r="AA1770" i="5"/>
  <c r="AA1771" i="5"/>
  <c r="AA1772" i="5"/>
  <c r="AA1773" i="5"/>
  <c r="AA1774" i="5"/>
  <c r="AA1775" i="5"/>
  <c r="AA1776" i="5"/>
  <c r="C19" i="169" s="1"/>
  <c r="AA1777" i="5"/>
  <c r="AA1778" i="5"/>
  <c r="AA1779" i="5"/>
  <c r="AA1780" i="5"/>
  <c r="AA1781" i="5"/>
  <c r="AA1782" i="5"/>
  <c r="AA1783" i="5"/>
  <c r="AA1784" i="5"/>
  <c r="AA1785" i="5"/>
  <c r="AA1786" i="5"/>
  <c r="AA1787" i="5"/>
  <c r="AA1788" i="5"/>
  <c r="AA1789" i="5"/>
  <c r="AA1790" i="5"/>
  <c r="AA1791" i="5"/>
  <c r="AA1792" i="5"/>
  <c r="AA1793" i="5"/>
  <c r="AA1794" i="5"/>
  <c r="AA1795" i="5"/>
  <c r="AA1796" i="5"/>
  <c r="AA1797" i="5"/>
  <c r="AA1798" i="5"/>
  <c r="AA1799" i="5"/>
  <c r="AA1800" i="5"/>
  <c r="AA1801" i="5"/>
  <c r="AA1802" i="5"/>
  <c r="AA1803" i="5"/>
  <c r="AA1804" i="5"/>
  <c r="AA1805" i="5"/>
  <c r="AA1806" i="5"/>
  <c r="AA1807" i="5"/>
  <c r="AA1808" i="5"/>
  <c r="AA1809" i="5"/>
  <c r="AA1810" i="5"/>
  <c r="AA1811" i="5"/>
  <c r="AA1812" i="5"/>
  <c r="AA1813" i="5"/>
  <c r="AA1814" i="5"/>
  <c r="AA1815" i="5"/>
  <c r="AA1816" i="5"/>
  <c r="AA1817" i="5"/>
  <c r="AA1818" i="5"/>
  <c r="AA1819" i="5"/>
  <c r="AA1820" i="5"/>
  <c r="AA1821" i="5"/>
  <c r="AA1822" i="5"/>
  <c r="AA1823" i="5"/>
  <c r="AA1824" i="5"/>
  <c r="AA1825" i="5"/>
  <c r="AA1826" i="5"/>
  <c r="AA1827" i="5"/>
  <c r="AA1828" i="5"/>
  <c r="AA1829" i="5"/>
  <c r="AA1835" i="5"/>
  <c r="AA1836" i="5"/>
  <c r="AA1837" i="5"/>
  <c r="AA1838" i="5"/>
  <c r="AA1839" i="5"/>
  <c r="AA1840" i="5"/>
  <c r="AA1841" i="5"/>
  <c r="AA1842" i="5"/>
  <c r="AA1843" i="5"/>
  <c r="AA1844" i="5"/>
  <c r="AA1845" i="5"/>
  <c r="AA1846" i="5"/>
  <c r="AA1847" i="5"/>
  <c r="AA1830" i="5"/>
  <c r="AA1831" i="5"/>
  <c r="AA1832" i="5"/>
  <c r="AA1833" i="5"/>
  <c r="AA1834" i="5"/>
  <c r="B3" i="169"/>
  <c r="B4" i="169"/>
  <c r="B5" i="169"/>
  <c r="B6" i="169"/>
  <c r="B7" i="169"/>
  <c r="B8" i="169"/>
  <c r="B9" i="169"/>
  <c r="B10" i="169"/>
  <c r="B11" i="169"/>
  <c r="B12" i="169"/>
  <c r="B13" i="169"/>
  <c r="B14" i="169"/>
  <c r="B15" i="169"/>
  <c r="B16" i="169"/>
  <c r="B17" i="169"/>
  <c r="B18" i="169"/>
  <c r="B19" i="169"/>
  <c r="B20" i="169"/>
  <c r="D20" i="169" s="1"/>
  <c r="E20" i="169" s="1"/>
  <c r="F20" i="169" s="1"/>
  <c r="B21" i="169"/>
  <c r="D21" i="169" s="1"/>
  <c r="E21" i="169" s="1"/>
  <c r="F21" i="169" s="1"/>
  <c r="B22" i="169"/>
  <c r="D22" i="169" s="1"/>
  <c r="E22" i="169" s="1"/>
  <c r="F22" i="169" s="1"/>
  <c r="B23" i="169"/>
  <c r="D23" i="169" s="1"/>
  <c r="E23" i="169" s="1"/>
  <c r="F23" i="169" s="1"/>
  <c r="B24" i="169"/>
  <c r="D24" i="169" s="1"/>
  <c r="E24" i="169" s="1"/>
  <c r="F24" i="169" s="1"/>
  <c r="B25" i="169"/>
  <c r="D25" i="169" s="1"/>
  <c r="E25" i="169" s="1"/>
  <c r="F25" i="169" s="1"/>
  <c r="B26" i="169"/>
  <c r="D26" i="169" s="1"/>
  <c r="E26" i="169" s="1"/>
  <c r="F26" i="169" s="1"/>
  <c r="B2" i="169"/>
  <c r="R1847" i="5"/>
  <c r="R1846" i="5"/>
  <c r="R1845" i="5"/>
  <c r="R1844" i="5"/>
  <c r="R1843" i="5"/>
  <c r="R1842" i="5"/>
  <c r="R1841" i="5"/>
  <c r="R1840" i="5"/>
  <c r="R1839" i="5"/>
  <c r="R1838" i="5"/>
  <c r="R1837" i="5"/>
  <c r="R1836" i="5"/>
  <c r="R1835" i="5"/>
  <c r="R1834" i="5"/>
  <c r="R1833" i="5"/>
  <c r="J1847" i="5"/>
  <c r="J1846" i="5"/>
  <c r="J1845" i="5"/>
  <c r="J1844" i="5"/>
  <c r="J1843" i="5"/>
  <c r="J1842" i="5"/>
  <c r="J1841" i="5"/>
  <c r="J1840" i="5"/>
  <c r="J1839" i="5"/>
  <c r="J1838" i="5"/>
  <c r="J1837" i="5"/>
  <c r="J1836" i="5"/>
  <c r="J1835" i="5"/>
  <c r="J1834" i="5"/>
  <c r="J1833" i="5"/>
  <c r="C34" i="169" l="1"/>
  <c r="D34" i="169" s="1"/>
  <c r="E34" i="169" s="1"/>
  <c r="F34" i="169" s="1"/>
  <c r="C32" i="169"/>
  <c r="D19" i="169"/>
  <c r="E19" i="169" s="1"/>
  <c r="F19" i="169" s="1"/>
  <c r="D12" i="169"/>
  <c r="E12" i="169" s="1"/>
  <c r="F12" i="169" s="1"/>
  <c r="D16" i="169"/>
  <c r="E16" i="169" s="1"/>
  <c r="F16" i="169" s="1"/>
  <c r="D15" i="169"/>
  <c r="E15" i="169" s="1"/>
  <c r="F15" i="169" s="1"/>
  <c r="D11" i="169"/>
  <c r="E11" i="169" s="1"/>
  <c r="F11" i="169" s="1"/>
  <c r="D18" i="169"/>
  <c r="E18" i="169" s="1"/>
  <c r="F18" i="169" s="1"/>
  <c r="D14" i="169"/>
  <c r="E14" i="169" s="1"/>
  <c r="F14" i="169" s="1"/>
  <c r="D10" i="169"/>
  <c r="E10" i="169" s="1"/>
  <c r="F10" i="169" s="1"/>
  <c r="D17" i="169"/>
  <c r="E17" i="169" s="1"/>
  <c r="F17" i="169" s="1"/>
  <c r="D13" i="169"/>
  <c r="E13" i="169" s="1"/>
  <c r="F13" i="169" s="1"/>
  <c r="D9" i="169"/>
  <c r="E9" i="169" s="1"/>
  <c r="F9" i="169" s="1"/>
  <c r="D8" i="169"/>
  <c r="E8" i="169" s="1"/>
  <c r="F8" i="169" s="1"/>
  <c r="C7" i="169"/>
  <c r="C6" i="169"/>
  <c r="T17" i="153"/>
  <c r="U17" i="153"/>
  <c r="C5" i="169"/>
  <c r="C4" i="169"/>
  <c r="C3" i="169"/>
  <c r="J85" i="150"/>
  <c r="J81" i="150"/>
  <c r="J77" i="150"/>
  <c r="J80" i="150"/>
  <c r="J75" i="150"/>
  <c r="J86" i="150"/>
  <c r="J82" i="150"/>
  <c r="J76" i="150"/>
  <c r="J87" i="150"/>
  <c r="J83" i="150"/>
  <c r="J78" i="150"/>
  <c r="J84" i="150"/>
  <c r="J79" i="150"/>
  <c r="J74" i="150"/>
  <c r="U16" i="153"/>
  <c r="U10" i="153"/>
  <c r="U4" i="153"/>
  <c r="U13" i="153"/>
  <c r="U18" i="153"/>
  <c r="U7" i="153"/>
  <c r="T10" i="153"/>
  <c r="T4" i="153"/>
  <c r="T13" i="153"/>
  <c r="T7" i="153"/>
  <c r="T16" i="153"/>
  <c r="T18" i="153"/>
  <c r="C2" i="169"/>
  <c r="B35" i="149"/>
  <c r="D32" i="169" l="1"/>
  <c r="E32" i="169" s="1"/>
  <c r="F32" i="169" s="1"/>
  <c r="U19" i="153"/>
  <c r="F16" i="149"/>
  <c r="F20" i="149"/>
  <c r="D2" i="169"/>
  <c r="E2" i="169" s="1"/>
  <c r="F2" i="169" s="1"/>
  <c r="D3" i="169"/>
  <c r="E3" i="169" s="1"/>
  <c r="F3" i="169" s="1"/>
  <c r="D4" i="169"/>
  <c r="E4" i="169" s="1"/>
  <c r="F4" i="169" s="1"/>
  <c r="D5" i="169"/>
  <c r="E5" i="169" s="1"/>
  <c r="F5" i="169" s="1"/>
  <c r="D6" i="169"/>
  <c r="D7" i="169"/>
  <c r="T19" i="153"/>
  <c r="F18" i="149"/>
  <c r="F17" i="149"/>
  <c r="F19" i="149"/>
  <c r="F15" i="149"/>
  <c r="B49" i="149"/>
  <c r="E6" i="169" l="1"/>
  <c r="F6" i="169" s="1"/>
  <c r="E7" i="169"/>
  <c r="F7" i="169" s="1"/>
  <c r="F46" i="149"/>
  <c r="W3" i="3" l="1"/>
  <c r="V3" i="3" l="1"/>
  <c r="D34" i="149"/>
  <c r="R1636" i="5"/>
  <c r="F35" i="149"/>
  <c r="F30" i="149"/>
  <c r="G27" i="149"/>
  <c r="H27" i="149" s="1"/>
  <c r="D24" i="3"/>
  <c r="E43" i="149" l="1"/>
  <c r="D23" i="149"/>
  <c r="H3" i="149"/>
  <c r="B23" i="149"/>
  <c r="C43" i="149" l="1"/>
  <c r="G43" i="149" s="1"/>
  <c r="I43" i="149" s="1"/>
  <c r="G34" i="149"/>
  <c r="H34" i="149" s="1"/>
  <c r="G33" i="149"/>
  <c r="K40" i="3"/>
  <c r="F43" i="149"/>
  <c r="G29" i="149"/>
  <c r="H29" i="149" s="1"/>
  <c r="G28" i="149"/>
  <c r="D22" i="149"/>
  <c r="E39" i="149" s="1"/>
  <c r="F39" i="149" s="1"/>
  <c r="C40" i="149"/>
  <c r="H28" i="149" l="1"/>
  <c r="H30" i="149" s="1"/>
  <c r="G30" i="149"/>
  <c r="H33" i="149"/>
  <c r="D43" i="149"/>
  <c r="H43" i="149"/>
  <c r="D40" i="149"/>
  <c r="E27" i="149"/>
  <c r="E29" i="149" s="1"/>
  <c r="C39" i="149" s="1"/>
  <c r="I180" i="3"/>
  <c r="I181" i="3" s="1"/>
  <c r="I182" i="3" s="1"/>
  <c r="C50" i="149"/>
  <c r="D39" i="149" l="1"/>
  <c r="E30" i="149"/>
  <c r="F25" i="149"/>
  <c r="H25" i="149" s="1"/>
  <c r="D24" i="149"/>
  <c r="D25" i="149"/>
  <c r="E40" i="149"/>
  <c r="G39" i="149" l="1"/>
  <c r="F40" i="149"/>
  <c r="G40" i="149"/>
  <c r="G17" i="149"/>
  <c r="H17" i="149" s="1"/>
  <c r="G18" i="149"/>
  <c r="H18" i="149" s="1"/>
  <c r="G19" i="149"/>
  <c r="H19" i="149" s="1"/>
  <c r="G21" i="149"/>
  <c r="H21" i="149" s="1"/>
  <c r="B21" i="149"/>
  <c r="B19" i="149"/>
  <c r="B17" i="149"/>
  <c r="F12" i="149" s="1"/>
  <c r="J3" i="149"/>
  <c r="J4" i="149"/>
  <c r="J5" i="149"/>
  <c r="J6" i="149"/>
  <c r="J7" i="149"/>
  <c r="J8" i="149"/>
  <c r="J9" i="149"/>
  <c r="J10" i="149"/>
  <c r="J11" i="149"/>
  <c r="J2" i="149"/>
  <c r="L12" i="149"/>
  <c r="L14" i="149" s="1"/>
  <c r="E7" i="3"/>
  <c r="H7" i="3" s="1"/>
  <c r="H5" i="149"/>
  <c r="A7" i="3"/>
  <c r="G16" i="149" l="1"/>
  <c r="H16" i="149" s="1"/>
  <c r="F14" i="149"/>
  <c r="G14" i="149" s="1"/>
  <c r="H14" i="149" s="1"/>
  <c r="F13" i="149"/>
  <c r="G13" i="149" s="1"/>
  <c r="H13" i="149" s="1"/>
  <c r="H40" i="149"/>
  <c r="I40" i="149"/>
  <c r="H39" i="149"/>
  <c r="I39" i="149"/>
  <c r="G15" i="149"/>
  <c r="H15" i="149" s="1"/>
  <c r="G20" i="149"/>
  <c r="H20" i="149" s="1"/>
  <c r="G12" i="149"/>
  <c r="E41" i="149"/>
  <c r="F41" i="149" s="1"/>
  <c r="I7" i="3"/>
  <c r="F7" i="3"/>
  <c r="G7" i="3"/>
  <c r="D6" i="152"/>
  <c r="C6" i="152"/>
  <c r="B6" i="152"/>
  <c r="V15" i="153"/>
  <c r="S15" i="153"/>
  <c r="Q15" i="153"/>
  <c r="P15" i="153"/>
  <c r="O15" i="153"/>
  <c r="M15" i="153"/>
  <c r="L15" i="153"/>
  <c r="K15" i="153"/>
  <c r="J15" i="153"/>
  <c r="I15" i="153"/>
  <c r="G15" i="153"/>
  <c r="F15" i="153"/>
  <c r="E15" i="153"/>
  <c r="D15" i="153"/>
  <c r="C15" i="153"/>
  <c r="V14" i="153"/>
  <c r="S14" i="153"/>
  <c r="Q14" i="153"/>
  <c r="P14" i="153"/>
  <c r="O14" i="153"/>
  <c r="M14" i="153"/>
  <c r="L14" i="153"/>
  <c r="K14" i="153"/>
  <c r="J14" i="153"/>
  <c r="I14" i="153"/>
  <c r="G14" i="153"/>
  <c r="F14" i="153"/>
  <c r="E14" i="153"/>
  <c r="D14" i="153"/>
  <c r="C14" i="153"/>
  <c r="B73" i="151"/>
  <c r="C73" i="151"/>
  <c r="D73" i="151"/>
  <c r="E73" i="151"/>
  <c r="F73" i="151"/>
  <c r="G73" i="151"/>
  <c r="H73" i="151"/>
  <c r="I73" i="151"/>
  <c r="F22" i="149" l="1"/>
  <c r="W14" i="153"/>
  <c r="W15" i="153"/>
  <c r="R15" i="153"/>
  <c r="R14" i="153"/>
  <c r="F24" i="149"/>
  <c r="H24" i="149" s="1"/>
  <c r="G32" i="149"/>
  <c r="F23" i="149"/>
  <c r="H12" i="149"/>
  <c r="H14" i="153"/>
  <c r="F16" i="153"/>
  <c r="K16" i="153"/>
  <c r="P16" i="153"/>
  <c r="C16" i="153"/>
  <c r="G16" i="153"/>
  <c r="L16" i="153"/>
  <c r="Q16" i="153"/>
  <c r="D16" i="153"/>
  <c r="N15" i="153"/>
  <c r="M16" i="153"/>
  <c r="S16" i="153"/>
  <c r="N14" i="153"/>
  <c r="E16" i="153"/>
  <c r="J16" i="153"/>
  <c r="O16" i="153"/>
  <c r="V16" i="153"/>
  <c r="I16" i="153"/>
  <c r="H15" i="153"/>
  <c r="J73" i="151"/>
  <c r="J1627" i="5"/>
  <c r="R1627" i="5"/>
  <c r="J1628" i="5"/>
  <c r="R1628" i="5"/>
  <c r="J1629" i="5"/>
  <c r="R1629" i="5"/>
  <c r="J1630" i="5"/>
  <c r="R1630" i="5"/>
  <c r="J1631" i="5"/>
  <c r="R1631" i="5"/>
  <c r="J1632" i="5"/>
  <c r="R1632" i="5"/>
  <c r="J1633" i="5"/>
  <c r="R1633" i="5"/>
  <c r="J1634" i="5"/>
  <c r="R1634" i="5"/>
  <c r="J1635" i="5"/>
  <c r="R1635" i="5"/>
  <c r="J1636" i="5"/>
  <c r="J1637" i="5"/>
  <c r="R1637" i="5"/>
  <c r="J1638" i="5"/>
  <c r="R1638" i="5"/>
  <c r="J1639" i="5"/>
  <c r="R1639" i="5"/>
  <c r="J1640" i="5"/>
  <c r="R1640" i="5"/>
  <c r="J1641" i="5"/>
  <c r="R1641" i="5"/>
  <c r="J1642" i="5"/>
  <c r="R1642" i="5"/>
  <c r="J1643" i="5"/>
  <c r="R1643" i="5"/>
  <c r="J1644" i="5"/>
  <c r="R1644" i="5"/>
  <c r="J1645" i="5"/>
  <c r="R1645" i="5"/>
  <c r="J1646" i="5"/>
  <c r="R1646" i="5"/>
  <c r="J1647" i="5"/>
  <c r="R1647" i="5"/>
  <c r="J1648" i="5"/>
  <c r="R1648" i="5"/>
  <c r="J1649" i="5"/>
  <c r="R1649" i="5"/>
  <c r="J1650" i="5"/>
  <c r="R1650" i="5"/>
  <c r="J1651" i="5"/>
  <c r="R1651" i="5"/>
  <c r="J1652" i="5"/>
  <c r="R1652" i="5"/>
  <c r="J1653" i="5"/>
  <c r="R1653" i="5"/>
  <c r="J1654" i="5"/>
  <c r="R1654" i="5"/>
  <c r="J1655" i="5"/>
  <c r="R1655" i="5"/>
  <c r="J1656" i="5"/>
  <c r="R1656" i="5"/>
  <c r="J1657" i="5"/>
  <c r="R1657" i="5"/>
  <c r="J1658" i="5"/>
  <c r="R1658" i="5"/>
  <c r="J1659" i="5"/>
  <c r="R1659" i="5"/>
  <c r="J1660" i="5"/>
  <c r="R1660" i="5"/>
  <c r="J1661" i="5"/>
  <c r="R1661" i="5"/>
  <c r="J1662" i="5"/>
  <c r="R1662" i="5"/>
  <c r="J1663" i="5"/>
  <c r="R1663" i="5"/>
  <c r="J1664" i="5"/>
  <c r="R1664" i="5"/>
  <c r="J1665" i="5"/>
  <c r="R1665" i="5"/>
  <c r="J1666" i="5"/>
  <c r="R1666" i="5"/>
  <c r="J1667" i="5"/>
  <c r="R1667" i="5"/>
  <c r="J1668" i="5"/>
  <c r="R1668" i="5"/>
  <c r="J1669" i="5"/>
  <c r="R1669" i="5"/>
  <c r="J1670" i="5"/>
  <c r="R1670" i="5"/>
  <c r="J1671" i="5"/>
  <c r="R1671" i="5"/>
  <c r="J1672" i="5"/>
  <c r="R1672" i="5"/>
  <c r="J1673" i="5"/>
  <c r="R1673" i="5"/>
  <c r="J1674" i="5"/>
  <c r="R1674" i="5"/>
  <c r="J1675" i="5"/>
  <c r="R1675" i="5"/>
  <c r="J1676" i="5"/>
  <c r="R1676" i="5"/>
  <c r="J1677" i="5"/>
  <c r="R1677" i="5"/>
  <c r="J1678" i="5"/>
  <c r="R1678" i="5"/>
  <c r="J1679" i="5"/>
  <c r="R1679" i="5"/>
  <c r="J1680" i="5"/>
  <c r="R1680" i="5"/>
  <c r="J1681" i="5"/>
  <c r="R1681" i="5"/>
  <c r="J1682" i="5"/>
  <c r="R1682" i="5"/>
  <c r="J1683" i="5"/>
  <c r="R1683" i="5"/>
  <c r="J1684" i="5"/>
  <c r="R1684" i="5"/>
  <c r="J1685" i="5"/>
  <c r="R1685" i="5"/>
  <c r="J1686" i="5"/>
  <c r="R1686" i="5"/>
  <c r="J1687" i="5"/>
  <c r="R1687" i="5"/>
  <c r="J1688" i="5"/>
  <c r="R1688" i="5"/>
  <c r="J1689" i="5"/>
  <c r="R1689" i="5"/>
  <c r="J1690" i="5"/>
  <c r="R1690" i="5"/>
  <c r="J1691" i="5"/>
  <c r="R1691" i="5"/>
  <c r="J1692" i="5"/>
  <c r="R1692" i="5"/>
  <c r="J1693" i="5"/>
  <c r="R1693" i="5"/>
  <c r="J1694" i="5"/>
  <c r="R1694" i="5"/>
  <c r="J1695" i="5"/>
  <c r="R1695" i="5"/>
  <c r="J1696" i="5"/>
  <c r="R1696" i="5"/>
  <c r="J1697" i="5"/>
  <c r="R1697" i="5"/>
  <c r="J1698" i="5"/>
  <c r="R1698" i="5"/>
  <c r="J1699" i="5"/>
  <c r="R1699" i="5"/>
  <c r="J1700" i="5"/>
  <c r="R1700" i="5"/>
  <c r="J1701" i="5"/>
  <c r="R1701" i="5"/>
  <c r="J1702" i="5"/>
  <c r="R1702" i="5"/>
  <c r="J1703" i="5"/>
  <c r="R1703" i="5"/>
  <c r="J1704" i="5"/>
  <c r="R1704" i="5"/>
  <c r="J1705" i="5"/>
  <c r="R1705" i="5"/>
  <c r="J1706" i="5"/>
  <c r="R1706" i="5"/>
  <c r="J1707" i="5"/>
  <c r="R1707" i="5"/>
  <c r="J1708" i="5"/>
  <c r="R1708" i="5"/>
  <c r="J1709" i="5"/>
  <c r="R1709" i="5"/>
  <c r="J1710" i="5"/>
  <c r="R1710" i="5"/>
  <c r="J1711" i="5"/>
  <c r="R1711" i="5"/>
  <c r="J1712" i="5"/>
  <c r="R1712" i="5"/>
  <c r="J1713" i="5"/>
  <c r="R1713" i="5"/>
  <c r="J1714" i="5"/>
  <c r="R1714" i="5"/>
  <c r="J1715" i="5"/>
  <c r="R1715" i="5"/>
  <c r="J1716" i="5"/>
  <c r="R1716" i="5"/>
  <c r="J1717" i="5"/>
  <c r="R1717" i="5"/>
  <c r="J1718" i="5"/>
  <c r="R1718" i="5"/>
  <c r="J1719" i="5"/>
  <c r="R1719" i="5"/>
  <c r="J1720" i="5"/>
  <c r="R1720" i="5"/>
  <c r="J1721" i="5"/>
  <c r="R1721" i="5"/>
  <c r="J1722" i="5"/>
  <c r="R1722" i="5"/>
  <c r="J1723" i="5"/>
  <c r="R1723" i="5"/>
  <c r="J1724" i="5"/>
  <c r="R1724" i="5"/>
  <c r="J1725" i="5"/>
  <c r="R1725" i="5"/>
  <c r="J1726" i="5"/>
  <c r="R1726" i="5"/>
  <c r="J1727" i="5"/>
  <c r="R1727" i="5"/>
  <c r="J1728" i="5"/>
  <c r="R1728" i="5"/>
  <c r="J1729" i="5"/>
  <c r="R1729" i="5"/>
  <c r="J1730" i="5"/>
  <c r="R1730" i="5"/>
  <c r="J1731" i="5"/>
  <c r="R1731" i="5"/>
  <c r="J1732" i="5"/>
  <c r="R1732" i="5"/>
  <c r="J1733" i="5"/>
  <c r="R1733" i="5"/>
  <c r="J1734" i="5"/>
  <c r="R1734" i="5"/>
  <c r="J1735" i="5"/>
  <c r="R1735" i="5"/>
  <c r="J1736" i="5"/>
  <c r="R1736" i="5"/>
  <c r="J1737" i="5"/>
  <c r="R1737" i="5"/>
  <c r="J1738" i="5"/>
  <c r="R1738" i="5"/>
  <c r="J1739" i="5"/>
  <c r="R1739" i="5"/>
  <c r="J1740" i="5"/>
  <c r="R1740" i="5"/>
  <c r="J1741" i="5"/>
  <c r="R1741" i="5"/>
  <c r="J1742" i="5"/>
  <c r="R1742" i="5"/>
  <c r="J1743" i="5"/>
  <c r="R1743" i="5"/>
  <c r="J1744" i="5"/>
  <c r="R1744" i="5"/>
  <c r="J1745" i="5"/>
  <c r="R1745" i="5"/>
  <c r="J1746" i="5"/>
  <c r="R1746" i="5"/>
  <c r="J1747" i="5"/>
  <c r="R1747" i="5"/>
  <c r="J1748" i="5"/>
  <c r="R1748" i="5"/>
  <c r="J1749" i="5"/>
  <c r="R1749" i="5"/>
  <c r="J1750" i="5"/>
  <c r="R1750" i="5"/>
  <c r="J1751" i="5"/>
  <c r="R1751" i="5"/>
  <c r="J1752" i="5"/>
  <c r="R1752" i="5"/>
  <c r="J1753" i="5"/>
  <c r="R1753" i="5"/>
  <c r="J1754" i="5"/>
  <c r="R1754" i="5"/>
  <c r="J1755" i="5"/>
  <c r="R1755" i="5"/>
  <c r="J1756" i="5"/>
  <c r="R1756" i="5"/>
  <c r="J1757" i="5"/>
  <c r="R1757" i="5"/>
  <c r="J1758" i="5"/>
  <c r="R1758" i="5"/>
  <c r="J1759" i="5"/>
  <c r="R1759" i="5"/>
  <c r="J1760" i="5"/>
  <c r="R1760" i="5"/>
  <c r="J1761" i="5"/>
  <c r="R1761" i="5"/>
  <c r="J1762" i="5"/>
  <c r="R1762" i="5"/>
  <c r="J1763" i="5"/>
  <c r="R1763" i="5"/>
  <c r="J1764" i="5"/>
  <c r="R1764" i="5"/>
  <c r="J1765" i="5"/>
  <c r="R1765" i="5"/>
  <c r="J1766" i="5"/>
  <c r="R1766" i="5"/>
  <c r="J1767" i="5"/>
  <c r="R1767" i="5"/>
  <c r="J1768" i="5"/>
  <c r="R1768" i="5"/>
  <c r="J1769" i="5"/>
  <c r="R1769" i="5"/>
  <c r="J1770" i="5"/>
  <c r="R1770" i="5"/>
  <c r="J1771" i="5"/>
  <c r="R1771" i="5"/>
  <c r="J1772" i="5"/>
  <c r="R1772" i="5"/>
  <c r="J1773" i="5"/>
  <c r="R1773" i="5"/>
  <c r="J1774" i="5"/>
  <c r="R1774" i="5"/>
  <c r="J1775" i="5"/>
  <c r="R1775" i="5"/>
  <c r="J1776" i="5"/>
  <c r="R1776" i="5"/>
  <c r="J1777" i="5"/>
  <c r="R1777" i="5"/>
  <c r="J1778" i="5"/>
  <c r="R1778" i="5"/>
  <c r="J1779" i="5"/>
  <c r="R1779" i="5"/>
  <c r="J1780" i="5"/>
  <c r="R1780" i="5"/>
  <c r="J1781" i="5"/>
  <c r="R1781" i="5"/>
  <c r="J1782" i="5"/>
  <c r="R1782" i="5"/>
  <c r="J1783" i="5"/>
  <c r="R1783" i="5"/>
  <c r="J1784" i="5"/>
  <c r="R1784" i="5"/>
  <c r="J1785" i="5"/>
  <c r="R1785" i="5"/>
  <c r="J1786" i="5"/>
  <c r="R1786" i="5"/>
  <c r="J1787" i="5"/>
  <c r="R1787" i="5"/>
  <c r="J1788" i="5"/>
  <c r="R1788" i="5"/>
  <c r="J1789" i="5"/>
  <c r="R1789" i="5"/>
  <c r="J1790" i="5"/>
  <c r="R1790" i="5"/>
  <c r="J1791" i="5"/>
  <c r="R1791" i="5"/>
  <c r="J1792" i="5"/>
  <c r="R1792" i="5"/>
  <c r="J1793" i="5"/>
  <c r="R1793" i="5"/>
  <c r="J1794" i="5"/>
  <c r="R1794" i="5"/>
  <c r="J1795" i="5"/>
  <c r="R1795" i="5"/>
  <c r="J1796" i="5"/>
  <c r="R1796" i="5"/>
  <c r="J1797" i="5"/>
  <c r="R1797" i="5"/>
  <c r="J1798" i="5"/>
  <c r="R1798" i="5"/>
  <c r="J1799" i="5"/>
  <c r="R1799" i="5"/>
  <c r="J1800" i="5"/>
  <c r="R1800" i="5"/>
  <c r="J1801" i="5"/>
  <c r="R1801" i="5"/>
  <c r="J1802" i="5"/>
  <c r="R1802" i="5"/>
  <c r="J1803" i="5"/>
  <c r="R1803" i="5"/>
  <c r="J1804" i="5"/>
  <c r="R1804" i="5"/>
  <c r="J1805" i="5"/>
  <c r="R1805" i="5"/>
  <c r="J1806" i="5"/>
  <c r="R1806" i="5"/>
  <c r="J1807" i="5"/>
  <c r="R1807" i="5"/>
  <c r="J1808" i="5"/>
  <c r="R1808" i="5"/>
  <c r="J1809" i="5"/>
  <c r="R1809" i="5"/>
  <c r="J1810" i="5"/>
  <c r="R1810" i="5"/>
  <c r="J1811" i="5"/>
  <c r="R1811" i="5"/>
  <c r="J1812" i="5"/>
  <c r="R1812" i="5"/>
  <c r="J1813" i="5"/>
  <c r="R1813" i="5"/>
  <c r="J1814" i="5"/>
  <c r="R1814" i="5"/>
  <c r="J1815" i="5"/>
  <c r="R1815" i="5"/>
  <c r="J1816" i="5"/>
  <c r="R1816" i="5"/>
  <c r="J1817" i="5"/>
  <c r="R1817" i="5"/>
  <c r="J1818" i="5"/>
  <c r="R1818" i="5"/>
  <c r="J1819" i="5"/>
  <c r="R1819" i="5"/>
  <c r="J1820" i="5"/>
  <c r="R1820" i="5"/>
  <c r="J1821" i="5"/>
  <c r="R1821" i="5"/>
  <c r="J1822" i="5"/>
  <c r="R1822" i="5"/>
  <c r="J1823" i="5"/>
  <c r="R1823" i="5"/>
  <c r="J1824" i="5"/>
  <c r="R1824" i="5"/>
  <c r="J1825" i="5"/>
  <c r="R1825" i="5"/>
  <c r="J1826" i="5"/>
  <c r="R1826" i="5"/>
  <c r="J1827" i="5"/>
  <c r="R1827" i="5"/>
  <c r="J1828" i="5"/>
  <c r="R1828" i="5"/>
  <c r="J1829" i="5"/>
  <c r="R1829" i="5"/>
  <c r="J1830" i="5"/>
  <c r="R1830" i="5"/>
  <c r="J1831" i="5"/>
  <c r="R1831" i="5"/>
  <c r="J1832" i="5"/>
  <c r="R1832" i="5"/>
  <c r="B15" i="153" l="1"/>
  <c r="B14" i="153"/>
  <c r="F26" i="149"/>
  <c r="C41" i="149" s="1"/>
  <c r="H23" i="149"/>
  <c r="R16" i="153"/>
  <c r="H22" i="149"/>
  <c r="C42" i="149"/>
  <c r="D42" i="149" s="1"/>
  <c r="G35" i="149"/>
  <c r="H32" i="149"/>
  <c r="N16" i="153"/>
  <c r="W16" i="153"/>
  <c r="H16" i="153"/>
  <c r="V2" i="153"/>
  <c r="V3" i="153"/>
  <c r="V5" i="153"/>
  <c r="V6" i="153"/>
  <c r="V8" i="153"/>
  <c r="V9" i="153"/>
  <c r="V11" i="153"/>
  <c r="V12" i="153"/>
  <c r="S2" i="153"/>
  <c r="S3" i="153"/>
  <c r="S5" i="153"/>
  <c r="S6" i="153"/>
  <c r="S8" i="153"/>
  <c r="S9" i="153"/>
  <c r="S11" i="153"/>
  <c r="S12" i="153"/>
  <c r="W6" i="153" l="1"/>
  <c r="W5" i="153"/>
  <c r="W11" i="153"/>
  <c r="B16" i="153"/>
  <c r="V18" i="153"/>
  <c r="V17" i="153"/>
  <c r="W9" i="153"/>
  <c r="W8" i="153"/>
  <c r="W12" i="153"/>
  <c r="S4" i="153"/>
  <c r="S18" i="153"/>
  <c r="W3" i="153"/>
  <c r="W2" i="153"/>
  <c r="S17" i="153"/>
  <c r="W17" i="153" s="1"/>
  <c r="H35" i="149"/>
  <c r="E42" i="149" s="1"/>
  <c r="H26" i="149"/>
  <c r="V13" i="153"/>
  <c r="V7" i="153"/>
  <c r="V10" i="153"/>
  <c r="V4" i="153"/>
  <c r="S13" i="153"/>
  <c r="S7" i="153"/>
  <c r="S10" i="153"/>
  <c r="Q11" i="153"/>
  <c r="P11" i="153"/>
  <c r="O11" i="153"/>
  <c r="M11" i="153"/>
  <c r="L11" i="153"/>
  <c r="K11" i="153"/>
  <c r="J11" i="153"/>
  <c r="I11" i="153"/>
  <c r="G11" i="153"/>
  <c r="F11" i="153"/>
  <c r="E11" i="153"/>
  <c r="D11" i="153"/>
  <c r="C11" i="153"/>
  <c r="Q8" i="153"/>
  <c r="P8" i="153"/>
  <c r="O8" i="153"/>
  <c r="M8" i="153"/>
  <c r="L8" i="153"/>
  <c r="K8" i="153"/>
  <c r="J8" i="153"/>
  <c r="I8" i="153"/>
  <c r="G8" i="153"/>
  <c r="F8" i="153"/>
  <c r="E8" i="153"/>
  <c r="D8" i="153"/>
  <c r="C8" i="153"/>
  <c r="Q5" i="153"/>
  <c r="P5" i="153"/>
  <c r="O5" i="153"/>
  <c r="M5" i="153"/>
  <c r="L5" i="153"/>
  <c r="K5" i="153"/>
  <c r="J5" i="153"/>
  <c r="I5" i="153"/>
  <c r="G5" i="153"/>
  <c r="F5" i="153"/>
  <c r="E5" i="153"/>
  <c r="D5" i="153"/>
  <c r="C5" i="153"/>
  <c r="D2" i="153"/>
  <c r="E2" i="153"/>
  <c r="F2" i="153"/>
  <c r="G2" i="153"/>
  <c r="I2" i="153"/>
  <c r="J2" i="153"/>
  <c r="J17" i="153" s="1"/>
  <c r="K2" i="153"/>
  <c r="L2" i="153"/>
  <c r="M2" i="153"/>
  <c r="O2" i="153"/>
  <c r="P2" i="153"/>
  <c r="Q2" i="153"/>
  <c r="C2" i="153"/>
  <c r="C3" i="153"/>
  <c r="D12" i="153"/>
  <c r="D13" i="153" s="1"/>
  <c r="E12" i="153"/>
  <c r="E13" i="153" s="1"/>
  <c r="F12" i="153"/>
  <c r="F13" i="153" s="1"/>
  <c r="G12" i="153"/>
  <c r="G13" i="153" s="1"/>
  <c r="I12" i="153"/>
  <c r="J12" i="153"/>
  <c r="J13" i="153" s="1"/>
  <c r="K12" i="153"/>
  <c r="K13" i="153" s="1"/>
  <c r="L12" i="153"/>
  <c r="L13" i="153" s="1"/>
  <c r="M12" i="153"/>
  <c r="M13" i="153" s="1"/>
  <c r="O12" i="153"/>
  <c r="P12" i="153"/>
  <c r="P13" i="153" s="1"/>
  <c r="Q12" i="153"/>
  <c r="Q13" i="153" s="1"/>
  <c r="C12" i="153"/>
  <c r="D9" i="153"/>
  <c r="D10" i="153" s="1"/>
  <c r="E9" i="153"/>
  <c r="E10" i="153" s="1"/>
  <c r="F9" i="153"/>
  <c r="F10" i="153" s="1"/>
  <c r="G9" i="153"/>
  <c r="G10" i="153" s="1"/>
  <c r="I9" i="153"/>
  <c r="J9" i="153"/>
  <c r="J10" i="153" s="1"/>
  <c r="K9" i="153"/>
  <c r="K10" i="153" s="1"/>
  <c r="L9" i="153"/>
  <c r="L10" i="153" s="1"/>
  <c r="M9" i="153"/>
  <c r="M10" i="153" s="1"/>
  <c r="O9" i="153"/>
  <c r="P9" i="153"/>
  <c r="P10" i="153" s="1"/>
  <c r="Q9" i="153"/>
  <c r="Q10" i="153" s="1"/>
  <c r="C9" i="153"/>
  <c r="D6" i="153"/>
  <c r="E6" i="153"/>
  <c r="E7" i="153" s="1"/>
  <c r="F6" i="153"/>
  <c r="G6" i="153"/>
  <c r="I6" i="153"/>
  <c r="J6" i="153"/>
  <c r="J7" i="153" s="1"/>
  <c r="K6" i="153"/>
  <c r="K7" i="153" s="1"/>
  <c r="L6" i="153"/>
  <c r="L7" i="153" s="1"/>
  <c r="M6" i="153"/>
  <c r="O6" i="153"/>
  <c r="P6" i="153"/>
  <c r="Q6" i="153"/>
  <c r="Q7" i="153" s="1"/>
  <c r="C6" i="153"/>
  <c r="D3" i="153"/>
  <c r="E3" i="153"/>
  <c r="F3" i="153"/>
  <c r="G3" i="153"/>
  <c r="I3" i="153"/>
  <c r="J3" i="153"/>
  <c r="K3" i="153"/>
  <c r="L3" i="153"/>
  <c r="M3" i="153"/>
  <c r="O3" i="153"/>
  <c r="P3" i="153"/>
  <c r="Q3" i="153"/>
  <c r="G7" i="153" l="1"/>
  <c r="Q17" i="153"/>
  <c r="L17" i="153"/>
  <c r="P17" i="153"/>
  <c r="G17" i="153"/>
  <c r="M7" i="153"/>
  <c r="E17" i="153"/>
  <c r="F7" i="153"/>
  <c r="K17" i="153"/>
  <c r="C17" i="153"/>
  <c r="D7" i="153"/>
  <c r="M17" i="153"/>
  <c r="K18" i="153"/>
  <c r="F18" i="153"/>
  <c r="F17" i="153"/>
  <c r="I17" i="153"/>
  <c r="Q18" i="153"/>
  <c r="L18" i="153"/>
  <c r="G18" i="153"/>
  <c r="P18" i="153"/>
  <c r="W18" i="153"/>
  <c r="W19" i="153" s="1"/>
  <c r="M18" i="153"/>
  <c r="I18" i="153"/>
  <c r="D18" i="153"/>
  <c r="W4" i="153"/>
  <c r="J18" i="153"/>
  <c r="J19" i="153" s="1"/>
  <c r="D17" i="153"/>
  <c r="O18" i="153"/>
  <c r="R3" i="153"/>
  <c r="E4" i="153"/>
  <c r="E18" i="153"/>
  <c r="R6" i="153"/>
  <c r="C18" i="153"/>
  <c r="R2" i="153"/>
  <c r="O17" i="153"/>
  <c r="R5" i="153"/>
  <c r="R9" i="153"/>
  <c r="R8" i="153"/>
  <c r="R12" i="153"/>
  <c r="R11" i="153"/>
  <c r="F42" i="149"/>
  <c r="G42" i="149"/>
  <c r="D41" i="149"/>
  <c r="G41" i="149"/>
  <c r="P7" i="153"/>
  <c r="N8" i="153"/>
  <c r="H11" i="153"/>
  <c r="O13" i="153"/>
  <c r="V19" i="153"/>
  <c r="N5" i="153"/>
  <c r="O7" i="153"/>
  <c r="O10" i="153"/>
  <c r="S19" i="153"/>
  <c r="I4" i="153"/>
  <c r="N3" i="153"/>
  <c r="D4" i="153"/>
  <c r="H3" i="153"/>
  <c r="C7" i="153"/>
  <c r="H6" i="153"/>
  <c r="I7" i="153"/>
  <c r="N6" i="153"/>
  <c r="H2" i="153"/>
  <c r="N2" i="153"/>
  <c r="N11" i="153"/>
  <c r="C10" i="153"/>
  <c r="H9" i="153"/>
  <c r="I10" i="153"/>
  <c r="N9" i="153"/>
  <c r="H5" i="153"/>
  <c r="C13" i="153"/>
  <c r="H12" i="153"/>
  <c r="I13" i="153"/>
  <c r="N12" i="153"/>
  <c r="H8" i="153"/>
  <c r="J4" i="153"/>
  <c r="M4" i="153"/>
  <c r="O4" i="153"/>
  <c r="C4" i="153"/>
  <c r="Q4" i="153"/>
  <c r="L4" i="153"/>
  <c r="G4" i="153"/>
  <c r="P4" i="153"/>
  <c r="K4" i="153"/>
  <c r="F4" i="153"/>
  <c r="Q45" i="3"/>
  <c r="P45" i="3"/>
  <c r="O45" i="3"/>
  <c r="O44" i="3"/>
  <c r="P44" i="3" s="1"/>
  <c r="K170" i="3"/>
  <c r="K144" i="3"/>
  <c r="K118" i="3"/>
  <c r="K92" i="3"/>
  <c r="K66" i="3"/>
  <c r="B3" i="152"/>
  <c r="C3" i="152"/>
  <c r="D3" i="152"/>
  <c r="B4" i="152"/>
  <c r="C4" i="152"/>
  <c r="D4" i="152"/>
  <c r="B5" i="152"/>
  <c r="C5" i="152"/>
  <c r="D5" i="152"/>
  <c r="C2" i="152"/>
  <c r="D2" i="152"/>
  <c r="B2" i="152"/>
  <c r="Q19" i="153" l="1"/>
  <c r="L19" i="153"/>
  <c r="R17" i="153"/>
  <c r="B8" i="153"/>
  <c r="B12" i="153"/>
  <c r="B6" i="153"/>
  <c r="B9" i="153"/>
  <c r="B5" i="153"/>
  <c r="B11" i="153"/>
  <c r="B2" i="153"/>
  <c r="B3" i="153"/>
  <c r="E19" i="153"/>
  <c r="G19" i="153"/>
  <c r="H17" i="153"/>
  <c r="M19" i="153"/>
  <c r="R18" i="153"/>
  <c r="R7" i="153"/>
  <c r="R13" i="153"/>
  <c r="R10" i="153"/>
  <c r="R4" i="153"/>
  <c r="H41" i="149"/>
  <c r="I41" i="149"/>
  <c r="H42" i="149"/>
  <c r="I42" i="149"/>
  <c r="C7" i="152"/>
  <c r="B7" i="152"/>
  <c r="D7" i="152"/>
  <c r="P19" i="153"/>
  <c r="W7" i="153"/>
  <c r="N17" i="153"/>
  <c r="K19" i="153"/>
  <c r="F19" i="153"/>
  <c r="H13" i="153"/>
  <c r="W10" i="153"/>
  <c r="W13" i="153"/>
  <c r="O19" i="153"/>
  <c r="I19" i="153"/>
  <c r="N18" i="153"/>
  <c r="N13" i="153"/>
  <c r="H7" i="153"/>
  <c r="N10" i="153"/>
  <c r="H4" i="153"/>
  <c r="N4" i="153"/>
  <c r="C19" i="153"/>
  <c r="N7" i="153"/>
  <c r="H18" i="153"/>
  <c r="H10" i="153"/>
  <c r="D19" i="153"/>
  <c r="E242" i="3"/>
  <c r="E241" i="3"/>
  <c r="R19" i="153" l="1"/>
  <c r="B17" i="153"/>
  <c r="B18" i="153"/>
  <c r="B7" i="153"/>
  <c r="B4" i="153"/>
  <c r="H19" i="153"/>
  <c r="B10" i="153"/>
  <c r="B13" i="153"/>
  <c r="N19" i="153"/>
  <c r="E7" i="152"/>
  <c r="E8" i="152" s="1"/>
  <c r="Y20" i="3"/>
  <c r="B19" i="153" l="1"/>
  <c r="D8" i="152"/>
  <c r="B8" i="152"/>
  <c r="C8" i="152"/>
  <c r="G242" i="3"/>
  <c r="G241" i="3"/>
  <c r="G240" i="3"/>
  <c r="L18" i="3"/>
  <c r="L17" i="3" s="1"/>
  <c r="A3" i="3" l="1"/>
  <c r="J1571" i="5" l="1"/>
  <c r="F2" i="3"/>
  <c r="H3" i="150" l="1"/>
  <c r="H4" i="150"/>
  <c r="H5" i="150"/>
  <c r="H6" i="150"/>
  <c r="H7" i="150"/>
  <c r="H8" i="150"/>
  <c r="H9" i="150"/>
  <c r="H10" i="150"/>
  <c r="H11" i="150"/>
  <c r="H12" i="150"/>
  <c r="H13" i="150"/>
  <c r="H14" i="150"/>
  <c r="H15" i="150"/>
  <c r="H16" i="150"/>
  <c r="H17" i="150"/>
  <c r="H18" i="150"/>
  <c r="H19" i="150"/>
  <c r="H20" i="150"/>
  <c r="H21" i="150"/>
  <c r="H22" i="150"/>
  <c r="H23" i="150"/>
  <c r="H24" i="150"/>
  <c r="H25" i="150"/>
  <c r="H26" i="150"/>
  <c r="H27" i="150"/>
  <c r="H28" i="150"/>
  <c r="H29" i="150"/>
  <c r="H30" i="150"/>
  <c r="H31" i="150"/>
  <c r="H32" i="150"/>
  <c r="H33" i="150"/>
  <c r="H34" i="150"/>
  <c r="H35" i="150"/>
  <c r="H36" i="150"/>
  <c r="H37" i="150"/>
  <c r="H38" i="150"/>
  <c r="H39" i="150"/>
  <c r="H40" i="150"/>
  <c r="H41" i="150"/>
  <c r="H42" i="150"/>
  <c r="H43" i="150"/>
  <c r="H44" i="150"/>
  <c r="H45" i="150"/>
  <c r="H46" i="150"/>
  <c r="H47" i="150"/>
  <c r="H48" i="150"/>
  <c r="H49" i="150"/>
  <c r="H50" i="150"/>
  <c r="H51" i="150"/>
  <c r="H52" i="150"/>
  <c r="H53" i="150"/>
  <c r="H54" i="150"/>
  <c r="H55" i="150"/>
  <c r="H56" i="150"/>
  <c r="H57" i="150"/>
  <c r="H58" i="150"/>
  <c r="H59" i="150"/>
  <c r="H60" i="150"/>
  <c r="H61" i="150"/>
  <c r="H62" i="150"/>
  <c r="H63" i="150"/>
  <c r="H64" i="150"/>
  <c r="H65" i="150"/>
  <c r="H66" i="150"/>
  <c r="H67" i="150"/>
  <c r="H68" i="150"/>
  <c r="H69" i="150"/>
  <c r="H70" i="150"/>
  <c r="H71" i="150"/>
  <c r="H72" i="150"/>
  <c r="H73" i="150"/>
  <c r="H2" i="150"/>
  <c r="H4" i="151"/>
  <c r="H5" i="151"/>
  <c r="H6" i="151"/>
  <c r="H7" i="151"/>
  <c r="H8" i="151"/>
  <c r="H9" i="151"/>
  <c r="H10" i="151"/>
  <c r="H11" i="151"/>
  <c r="H12" i="151"/>
  <c r="H13" i="151"/>
  <c r="H14" i="151"/>
  <c r="H15" i="151"/>
  <c r="H16" i="151"/>
  <c r="H17" i="151"/>
  <c r="H18" i="151"/>
  <c r="H19" i="151"/>
  <c r="H20" i="151"/>
  <c r="H21" i="151"/>
  <c r="H22" i="151"/>
  <c r="H23" i="151"/>
  <c r="H24" i="151"/>
  <c r="H25" i="151"/>
  <c r="H26" i="151"/>
  <c r="H27" i="151"/>
  <c r="H28" i="151"/>
  <c r="H29" i="151"/>
  <c r="H30" i="151"/>
  <c r="H31" i="151"/>
  <c r="H32" i="151"/>
  <c r="H33" i="151"/>
  <c r="H34" i="151"/>
  <c r="H35" i="151"/>
  <c r="H36" i="151"/>
  <c r="H37" i="151"/>
  <c r="H38" i="151"/>
  <c r="H39" i="151"/>
  <c r="H40" i="151"/>
  <c r="H41" i="151"/>
  <c r="H42" i="151"/>
  <c r="H43" i="151"/>
  <c r="H44" i="151"/>
  <c r="H45" i="151"/>
  <c r="H46" i="151"/>
  <c r="H47" i="151"/>
  <c r="H48" i="151"/>
  <c r="H49" i="151"/>
  <c r="H50" i="151"/>
  <c r="H51" i="151"/>
  <c r="H52" i="151"/>
  <c r="H53" i="151"/>
  <c r="H54" i="151"/>
  <c r="H55" i="151"/>
  <c r="H56" i="151"/>
  <c r="H57" i="151"/>
  <c r="H58" i="151"/>
  <c r="H59" i="151"/>
  <c r="H60" i="151"/>
  <c r="H61" i="151"/>
  <c r="H62" i="151"/>
  <c r="H63" i="151"/>
  <c r="H64" i="151"/>
  <c r="H65" i="151"/>
  <c r="H66" i="151"/>
  <c r="H67" i="151"/>
  <c r="H68" i="151"/>
  <c r="H69" i="151"/>
  <c r="H70" i="151"/>
  <c r="H71" i="151"/>
  <c r="H72" i="151"/>
  <c r="H3" i="151"/>
  <c r="H2" i="151"/>
  <c r="R1624" i="5"/>
  <c r="R1625" i="5"/>
  <c r="R1626" i="5"/>
  <c r="J1624" i="5"/>
  <c r="J1625" i="5"/>
  <c r="J1626" i="5"/>
  <c r="C51" i="149" l="1"/>
  <c r="C4" i="3"/>
  <c r="D4" i="3" l="1"/>
  <c r="AE3" i="1"/>
  <c r="P189" i="3" l="1"/>
  <c r="Q189" i="3" s="1"/>
  <c r="AE2" i="1" l="1"/>
  <c r="B48" i="151" l="1"/>
  <c r="C48" i="151"/>
  <c r="D48" i="151"/>
  <c r="E48" i="151"/>
  <c r="F48" i="151"/>
  <c r="G48" i="151"/>
  <c r="I48" i="151"/>
  <c r="B49" i="151"/>
  <c r="C49" i="151"/>
  <c r="D49" i="151"/>
  <c r="E49" i="151"/>
  <c r="F49" i="151"/>
  <c r="G49" i="151"/>
  <c r="I49" i="151"/>
  <c r="B50" i="151"/>
  <c r="C50" i="151"/>
  <c r="D50" i="151"/>
  <c r="E50" i="151"/>
  <c r="F50" i="151"/>
  <c r="G50" i="151"/>
  <c r="I50" i="151"/>
  <c r="B51" i="151"/>
  <c r="C51" i="151"/>
  <c r="D51" i="151"/>
  <c r="E51" i="151"/>
  <c r="F51" i="151"/>
  <c r="G51" i="151"/>
  <c r="I51" i="151"/>
  <c r="B52" i="151"/>
  <c r="C52" i="151"/>
  <c r="D52" i="151"/>
  <c r="E52" i="151"/>
  <c r="F52" i="151"/>
  <c r="G52" i="151"/>
  <c r="I52" i="151"/>
  <c r="B53" i="151"/>
  <c r="C53" i="151"/>
  <c r="D53" i="151"/>
  <c r="E53" i="151"/>
  <c r="F53" i="151"/>
  <c r="G53" i="151"/>
  <c r="I53" i="151"/>
  <c r="B54" i="151"/>
  <c r="C54" i="151"/>
  <c r="D54" i="151"/>
  <c r="E54" i="151"/>
  <c r="F54" i="151"/>
  <c r="G54" i="151"/>
  <c r="I54" i="151"/>
  <c r="B55" i="151"/>
  <c r="C55" i="151"/>
  <c r="D55" i="151"/>
  <c r="E55" i="151"/>
  <c r="F55" i="151"/>
  <c r="G55" i="151"/>
  <c r="I55" i="151"/>
  <c r="B56" i="151"/>
  <c r="C56" i="151"/>
  <c r="D56" i="151"/>
  <c r="E56" i="151"/>
  <c r="F56" i="151"/>
  <c r="G56" i="151"/>
  <c r="I56" i="151"/>
  <c r="B57" i="151"/>
  <c r="C57" i="151"/>
  <c r="D57" i="151"/>
  <c r="E57" i="151"/>
  <c r="F57" i="151"/>
  <c r="G57" i="151"/>
  <c r="I57" i="151"/>
  <c r="B58" i="151"/>
  <c r="C58" i="151"/>
  <c r="D58" i="151"/>
  <c r="E58" i="151"/>
  <c r="F58" i="151"/>
  <c r="G58" i="151"/>
  <c r="I58" i="151"/>
  <c r="B59" i="151"/>
  <c r="C59" i="151"/>
  <c r="D59" i="151"/>
  <c r="E59" i="151"/>
  <c r="F59" i="151"/>
  <c r="G59" i="151"/>
  <c r="I59" i="151"/>
  <c r="B60" i="151"/>
  <c r="C60" i="151"/>
  <c r="D60" i="151"/>
  <c r="E60" i="151"/>
  <c r="F60" i="151"/>
  <c r="G60" i="151"/>
  <c r="I60" i="151"/>
  <c r="B61" i="151"/>
  <c r="C61" i="151"/>
  <c r="D61" i="151"/>
  <c r="E61" i="151"/>
  <c r="F61" i="151"/>
  <c r="G61" i="151"/>
  <c r="I61" i="151"/>
  <c r="B62" i="151"/>
  <c r="C62" i="151"/>
  <c r="D62" i="151"/>
  <c r="E62" i="151"/>
  <c r="F62" i="151"/>
  <c r="G62" i="151"/>
  <c r="I62" i="151"/>
  <c r="B63" i="151"/>
  <c r="C63" i="151"/>
  <c r="D63" i="151"/>
  <c r="E63" i="151"/>
  <c r="F63" i="151"/>
  <c r="G63" i="151"/>
  <c r="I63" i="151"/>
  <c r="B64" i="151"/>
  <c r="C64" i="151"/>
  <c r="D64" i="151"/>
  <c r="E64" i="151"/>
  <c r="F64" i="151"/>
  <c r="G64" i="151"/>
  <c r="I64" i="151"/>
  <c r="B65" i="151"/>
  <c r="C65" i="151"/>
  <c r="D65" i="151"/>
  <c r="E65" i="151"/>
  <c r="F65" i="151"/>
  <c r="G65" i="151"/>
  <c r="I65" i="151"/>
  <c r="B66" i="151"/>
  <c r="C66" i="151"/>
  <c r="D66" i="151"/>
  <c r="E66" i="151"/>
  <c r="F66" i="151"/>
  <c r="G66" i="151"/>
  <c r="I66" i="151"/>
  <c r="B67" i="151"/>
  <c r="C67" i="151"/>
  <c r="D67" i="151"/>
  <c r="E67" i="151"/>
  <c r="F67" i="151"/>
  <c r="G67" i="151"/>
  <c r="I67" i="151"/>
  <c r="B68" i="151"/>
  <c r="C68" i="151"/>
  <c r="D68" i="151"/>
  <c r="E68" i="151"/>
  <c r="F68" i="151"/>
  <c r="G68" i="151"/>
  <c r="I68" i="151"/>
  <c r="B69" i="151"/>
  <c r="C69" i="151"/>
  <c r="D69" i="151"/>
  <c r="E69" i="151"/>
  <c r="F69" i="151"/>
  <c r="G69" i="151"/>
  <c r="I69" i="151"/>
  <c r="B70" i="151"/>
  <c r="C70" i="151"/>
  <c r="D70" i="151"/>
  <c r="E70" i="151"/>
  <c r="F70" i="151"/>
  <c r="G70" i="151"/>
  <c r="I70" i="151"/>
  <c r="B71" i="151"/>
  <c r="C71" i="151"/>
  <c r="D71" i="151"/>
  <c r="E71" i="151"/>
  <c r="F71" i="151"/>
  <c r="G71" i="151"/>
  <c r="I71" i="151"/>
  <c r="B72" i="151"/>
  <c r="C72" i="151"/>
  <c r="D72" i="151"/>
  <c r="E72" i="151"/>
  <c r="F72" i="151"/>
  <c r="G72" i="151"/>
  <c r="I72" i="151"/>
  <c r="J49" i="151" l="1"/>
  <c r="J48" i="151"/>
  <c r="J70" i="151"/>
  <c r="J66" i="151"/>
  <c r="J62" i="151"/>
  <c r="J58" i="151"/>
  <c r="J55" i="151"/>
  <c r="J51" i="151"/>
  <c r="J67" i="151"/>
  <c r="J63" i="151"/>
  <c r="J59" i="151"/>
  <c r="J56" i="151"/>
  <c r="J52" i="151"/>
  <c r="J71" i="151"/>
  <c r="J68" i="151"/>
  <c r="J64" i="151"/>
  <c r="J60" i="151"/>
  <c r="J53" i="151"/>
  <c r="J72" i="151"/>
  <c r="J69" i="151"/>
  <c r="J65" i="151"/>
  <c r="J61" i="151"/>
  <c r="J57" i="151"/>
  <c r="J54" i="151"/>
  <c r="J50" i="151"/>
  <c r="B56" i="150"/>
  <c r="C56" i="150"/>
  <c r="D56" i="150"/>
  <c r="E56" i="150"/>
  <c r="F56" i="150"/>
  <c r="G56" i="150"/>
  <c r="I56" i="150"/>
  <c r="B57" i="150"/>
  <c r="C57" i="150"/>
  <c r="D57" i="150"/>
  <c r="E57" i="150"/>
  <c r="F57" i="150"/>
  <c r="G57" i="150"/>
  <c r="I57" i="150"/>
  <c r="B58" i="150"/>
  <c r="C58" i="150"/>
  <c r="D58" i="150"/>
  <c r="E58" i="150"/>
  <c r="F58" i="150"/>
  <c r="G58" i="150"/>
  <c r="I58" i="150"/>
  <c r="B59" i="150"/>
  <c r="C59" i="150"/>
  <c r="D59" i="150"/>
  <c r="E59" i="150"/>
  <c r="F59" i="150"/>
  <c r="G59" i="150"/>
  <c r="I59" i="150"/>
  <c r="B60" i="150"/>
  <c r="C60" i="150"/>
  <c r="D60" i="150"/>
  <c r="E60" i="150"/>
  <c r="F60" i="150"/>
  <c r="G60" i="150"/>
  <c r="I60" i="150"/>
  <c r="B61" i="150"/>
  <c r="C61" i="150"/>
  <c r="D61" i="150"/>
  <c r="E61" i="150"/>
  <c r="F61" i="150"/>
  <c r="G61" i="150"/>
  <c r="I61" i="150"/>
  <c r="B62" i="150"/>
  <c r="C62" i="150"/>
  <c r="D62" i="150"/>
  <c r="E62" i="150"/>
  <c r="F62" i="150"/>
  <c r="G62" i="150"/>
  <c r="I62" i="150"/>
  <c r="B63" i="150"/>
  <c r="C63" i="150"/>
  <c r="D63" i="150"/>
  <c r="E63" i="150"/>
  <c r="F63" i="150"/>
  <c r="G63" i="150"/>
  <c r="I63" i="150"/>
  <c r="B64" i="150"/>
  <c r="C64" i="150"/>
  <c r="D64" i="150"/>
  <c r="E64" i="150"/>
  <c r="F64" i="150"/>
  <c r="G64" i="150"/>
  <c r="I64" i="150"/>
  <c r="B65" i="150"/>
  <c r="C65" i="150"/>
  <c r="D65" i="150"/>
  <c r="E65" i="150"/>
  <c r="F65" i="150"/>
  <c r="G65" i="150"/>
  <c r="I65" i="150"/>
  <c r="B66" i="150"/>
  <c r="C66" i="150"/>
  <c r="D66" i="150"/>
  <c r="E66" i="150"/>
  <c r="F66" i="150"/>
  <c r="G66" i="150"/>
  <c r="I66" i="150"/>
  <c r="B67" i="150"/>
  <c r="C67" i="150"/>
  <c r="D67" i="150"/>
  <c r="E67" i="150"/>
  <c r="F67" i="150"/>
  <c r="G67" i="150"/>
  <c r="I67" i="150"/>
  <c r="B68" i="150"/>
  <c r="C68" i="150"/>
  <c r="D68" i="150"/>
  <c r="E68" i="150"/>
  <c r="F68" i="150"/>
  <c r="G68" i="150"/>
  <c r="I68" i="150"/>
  <c r="B69" i="150"/>
  <c r="C69" i="150"/>
  <c r="D69" i="150"/>
  <c r="E69" i="150"/>
  <c r="F69" i="150"/>
  <c r="G69" i="150"/>
  <c r="I69" i="150"/>
  <c r="B70" i="150"/>
  <c r="C70" i="150"/>
  <c r="D70" i="150"/>
  <c r="E70" i="150"/>
  <c r="F70" i="150"/>
  <c r="G70" i="150"/>
  <c r="I70" i="150"/>
  <c r="B71" i="150"/>
  <c r="C71" i="150"/>
  <c r="D71" i="150"/>
  <c r="E71" i="150"/>
  <c r="F71" i="150"/>
  <c r="G71" i="150"/>
  <c r="I71" i="150"/>
  <c r="B72" i="150"/>
  <c r="C72" i="150"/>
  <c r="D72" i="150"/>
  <c r="E72" i="150"/>
  <c r="F72" i="150"/>
  <c r="G72" i="150"/>
  <c r="I72" i="150"/>
  <c r="B73" i="150"/>
  <c r="C73" i="150"/>
  <c r="D73" i="150"/>
  <c r="E73" i="150"/>
  <c r="F73" i="150"/>
  <c r="G73" i="150"/>
  <c r="I73" i="150"/>
  <c r="J71" i="150" l="1"/>
  <c r="J68" i="150"/>
  <c r="J64" i="150"/>
  <c r="J60" i="150"/>
  <c r="J72" i="150"/>
  <c r="J69" i="150"/>
  <c r="J65" i="150"/>
  <c r="J61" i="150"/>
  <c r="J57" i="150"/>
  <c r="J73" i="150"/>
  <c r="J70" i="150"/>
  <c r="J66" i="150"/>
  <c r="J62" i="150"/>
  <c r="J58" i="150"/>
  <c r="J56" i="150"/>
  <c r="J67" i="150"/>
  <c r="J63" i="150"/>
  <c r="J59" i="150"/>
  <c r="R1623" i="5"/>
  <c r="J1087" i="5"/>
  <c r="J1088" i="5"/>
  <c r="J1089" i="5"/>
  <c r="J1090" i="5"/>
  <c r="J1091" i="5"/>
  <c r="J1092" i="5"/>
  <c r="J1093" i="5"/>
  <c r="J1094" i="5"/>
  <c r="J1095" i="5"/>
  <c r="J1096" i="5"/>
  <c r="J1097" i="5"/>
  <c r="J1098" i="5"/>
  <c r="J1099" i="5"/>
  <c r="J1100" i="5"/>
  <c r="J1101" i="5"/>
  <c r="J1102" i="5"/>
  <c r="J1103" i="5"/>
  <c r="J1104" i="5"/>
  <c r="J1105" i="5"/>
  <c r="J1106" i="5"/>
  <c r="J1107" i="5"/>
  <c r="J1108" i="5"/>
  <c r="J1109" i="5"/>
  <c r="J1110" i="5"/>
  <c r="J1111" i="5"/>
  <c r="J1112" i="5"/>
  <c r="J1113" i="5"/>
  <c r="J1114" i="5"/>
  <c r="J1115" i="5"/>
  <c r="J1116" i="5"/>
  <c r="J1117" i="5"/>
  <c r="J1118" i="5"/>
  <c r="J1119" i="5"/>
  <c r="J1120" i="5"/>
  <c r="J1121" i="5"/>
  <c r="J1122" i="5"/>
  <c r="J1123" i="5"/>
  <c r="J1124" i="5"/>
  <c r="J1125" i="5"/>
  <c r="J1126" i="5"/>
  <c r="J1127" i="5"/>
  <c r="J1128" i="5"/>
  <c r="J1129" i="5"/>
  <c r="J1130" i="5"/>
  <c r="J1131" i="5"/>
  <c r="J1132" i="5"/>
  <c r="J1133" i="5"/>
  <c r="J1134" i="5"/>
  <c r="J1135" i="5"/>
  <c r="J1136" i="5"/>
  <c r="J1137" i="5"/>
  <c r="J1138" i="5"/>
  <c r="J1139" i="5"/>
  <c r="J1140" i="5"/>
  <c r="J1141" i="5"/>
  <c r="J1142" i="5"/>
  <c r="J1143" i="5"/>
  <c r="J1144" i="5"/>
  <c r="J1145" i="5"/>
  <c r="J1146" i="5"/>
  <c r="J1147" i="5"/>
  <c r="J1148" i="5"/>
  <c r="J1149" i="5"/>
  <c r="J1150" i="5"/>
  <c r="J1151" i="5"/>
  <c r="J1152" i="5"/>
  <c r="J1153" i="5"/>
  <c r="J1154" i="5"/>
  <c r="J1155" i="5"/>
  <c r="J1156" i="5"/>
  <c r="J1157" i="5"/>
  <c r="J1158" i="5"/>
  <c r="J1159" i="5"/>
  <c r="J1160" i="5"/>
  <c r="J1161" i="5"/>
  <c r="J1162" i="5"/>
  <c r="J1163" i="5"/>
  <c r="J1164" i="5"/>
  <c r="J1165" i="5"/>
  <c r="J1166" i="5"/>
  <c r="J1167" i="5"/>
  <c r="J1168" i="5"/>
  <c r="J1169" i="5"/>
  <c r="J1170" i="5"/>
  <c r="J1171" i="5"/>
  <c r="J1172" i="5"/>
  <c r="J1173" i="5"/>
  <c r="J1174" i="5"/>
  <c r="J1175" i="5"/>
  <c r="J1176" i="5"/>
  <c r="J1177" i="5"/>
  <c r="J1178" i="5"/>
  <c r="J1179" i="5"/>
  <c r="J1180" i="5"/>
  <c r="J1181" i="5"/>
  <c r="J1182" i="5"/>
  <c r="J1183" i="5"/>
  <c r="J1184" i="5"/>
  <c r="J1185" i="5"/>
  <c r="J1186" i="5"/>
  <c r="J1187" i="5"/>
  <c r="J1188" i="5"/>
  <c r="J1189" i="5"/>
  <c r="J1190" i="5"/>
  <c r="J1191" i="5"/>
  <c r="J1192" i="5"/>
  <c r="J1193" i="5"/>
  <c r="J1194" i="5"/>
  <c r="J1195" i="5"/>
  <c r="J1196" i="5"/>
  <c r="J1197" i="5"/>
  <c r="J1198" i="5"/>
  <c r="J1199" i="5"/>
  <c r="J1200" i="5"/>
  <c r="J1201" i="5"/>
  <c r="J1202" i="5"/>
  <c r="J1203" i="5"/>
  <c r="J1204" i="5"/>
  <c r="J1205" i="5"/>
  <c r="J1206" i="5"/>
  <c r="J1207" i="5"/>
  <c r="J1208" i="5"/>
  <c r="J1209" i="5"/>
  <c r="J1210" i="5"/>
  <c r="J1211" i="5"/>
  <c r="J1212" i="5"/>
  <c r="J1213" i="5"/>
  <c r="J1214" i="5"/>
  <c r="J1215" i="5"/>
  <c r="J1216" i="5"/>
  <c r="J1217" i="5"/>
  <c r="J1218" i="5"/>
  <c r="J1219" i="5"/>
  <c r="J1220" i="5"/>
  <c r="J1221" i="5"/>
  <c r="J1222" i="5"/>
  <c r="J1223" i="5"/>
  <c r="J1224" i="5"/>
  <c r="J1225" i="5"/>
  <c r="J1226" i="5"/>
  <c r="J1227" i="5"/>
  <c r="J1228" i="5"/>
  <c r="J1229" i="5"/>
  <c r="J1230" i="5"/>
  <c r="J1231" i="5"/>
  <c r="J1232" i="5"/>
  <c r="J1233" i="5"/>
  <c r="J1234" i="5"/>
  <c r="J1235" i="5"/>
  <c r="J1236" i="5"/>
  <c r="J1237" i="5"/>
  <c r="J1238" i="5"/>
  <c r="J1239" i="5"/>
  <c r="J1240" i="5"/>
  <c r="J1241" i="5"/>
  <c r="J1242" i="5"/>
  <c r="J1243" i="5"/>
  <c r="J1244" i="5"/>
  <c r="J1245" i="5"/>
  <c r="J1246" i="5"/>
  <c r="J1247" i="5"/>
  <c r="J1248" i="5"/>
  <c r="J1249" i="5"/>
  <c r="J1250" i="5"/>
  <c r="J1251" i="5"/>
  <c r="J1252" i="5"/>
  <c r="J1253" i="5"/>
  <c r="J1254" i="5"/>
  <c r="J1255" i="5"/>
  <c r="J1256" i="5"/>
  <c r="J1257" i="5"/>
  <c r="J1258" i="5"/>
  <c r="J1259" i="5"/>
  <c r="J1260" i="5"/>
  <c r="J1261" i="5"/>
  <c r="J1262" i="5"/>
  <c r="J1263" i="5"/>
  <c r="J1264" i="5"/>
  <c r="J1265" i="5"/>
  <c r="J1266" i="5"/>
  <c r="J1267" i="5"/>
  <c r="J1268" i="5"/>
  <c r="J1269" i="5"/>
  <c r="J1270" i="5"/>
  <c r="J1271" i="5"/>
  <c r="J1272" i="5"/>
  <c r="J1273" i="5"/>
  <c r="J1274" i="5"/>
  <c r="J1275" i="5"/>
  <c r="J1276" i="5"/>
  <c r="J1277" i="5"/>
  <c r="J1278" i="5"/>
  <c r="J1279" i="5"/>
  <c r="J1280" i="5"/>
  <c r="J1281" i="5"/>
  <c r="J1282" i="5"/>
  <c r="J1283" i="5"/>
  <c r="J1284" i="5"/>
  <c r="J1285" i="5"/>
  <c r="J1286" i="5"/>
  <c r="J1287" i="5"/>
  <c r="J1288" i="5"/>
  <c r="J1289" i="5"/>
  <c r="J1290" i="5"/>
  <c r="J1291" i="5"/>
  <c r="J1292" i="5"/>
  <c r="J1293" i="5"/>
  <c r="J1294" i="5"/>
  <c r="J1295" i="5"/>
  <c r="J1296" i="5"/>
  <c r="J1297" i="5"/>
  <c r="J1298" i="5"/>
  <c r="J1299" i="5"/>
  <c r="J1300" i="5"/>
  <c r="J1301" i="5"/>
  <c r="J1302" i="5"/>
  <c r="J1303" i="5"/>
  <c r="J1304" i="5"/>
  <c r="J1305" i="5"/>
  <c r="J1306" i="5"/>
  <c r="J1307" i="5"/>
  <c r="J1308" i="5"/>
  <c r="J1309" i="5"/>
  <c r="J1310" i="5"/>
  <c r="J1311" i="5"/>
  <c r="J1312" i="5"/>
  <c r="J1313" i="5"/>
  <c r="J1314" i="5"/>
  <c r="J1315" i="5"/>
  <c r="J1316" i="5"/>
  <c r="J1317" i="5"/>
  <c r="J1318" i="5"/>
  <c r="J1319" i="5"/>
  <c r="J1320" i="5"/>
  <c r="J1321" i="5"/>
  <c r="J1322" i="5"/>
  <c r="J1323" i="5"/>
  <c r="J1324" i="5"/>
  <c r="J1325" i="5"/>
  <c r="J1326" i="5"/>
  <c r="J1327" i="5"/>
  <c r="J1328" i="5"/>
  <c r="J1329" i="5"/>
  <c r="J1330" i="5"/>
  <c r="J1331" i="5"/>
  <c r="J1332" i="5"/>
  <c r="J1333" i="5"/>
  <c r="J1334" i="5"/>
  <c r="J1335" i="5"/>
  <c r="J1336" i="5"/>
  <c r="J1337" i="5"/>
  <c r="J1338" i="5"/>
  <c r="J1339" i="5"/>
  <c r="J1340" i="5"/>
  <c r="J1341" i="5"/>
  <c r="J1342" i="5"/>
  <c r="J1343" i="5"/>
  <c r="J1344" i="5"/>
  <c r="J1345" i="5"/>
  <c r="J1346" i="5"/>
  <c r="J1347" i="5"/>
  <c r="J1348" i="5"/>
  <c r="J1349" i="5"/>
  <c r="J1350" i="5"/>
  <c r="J1351" i="5"/>
  <c r="J1352" i="5"/>
  <c r="J1353" i="5"/>
  <c r="J1354" i="5"/>
  <c r="J1355" i="5"/>
  <c r="J1356" i="5"/>
  <c r="J1357" i="5"/>
  <c r="J1358" i="5"/>
  <c r="J1359" i="5"/>
  <c r="J1360" i="5"/>
  <c r="J1361" i="5"/>
  <c r="J1362" i="5"/>
  <c r="J1363" i="5"/>
  <c r="J1364" i="5"/>
  <c r="J1365" i="5"/>
  <c r="J1366" i="5"/>
  <c r="J1367" i="5"/>
  <c r="J1368" i="5"/>
  <c r="J1369" i="5"/>
  <c r="J1370" i="5"/>
  <c r="J1371" i="5"/>
  <c r="J1372" i="5"/>
  <c r="J1373" i="5"/>
  <c r="J1374" i="5"/>
  <c r="J1375" i="5"/>
  <c r="J1376" i="5"/>
  <c r="J1377" i="5"/>
  <c r="J1378" i="5"/>
  <c r="J1379" i="5"/>
  <c r="J1380" i="5"/>
  <c r="J1381" i="5"/>
  <c r="J1382" i="5"/>
  <c r="J1383" i="5"/>
  <c r="J1384" i="5"/>
  <c r="J1385" i="5"/>
  <c r="J1386" i="5"/>
  <c r="J1387" i="5"/>
  <c r="J1388" i="5"/>
  <c r="J1389" i="5"/>
  <c r="J1390" i="5"/>
  <c r="J1391" i="5"/>
  <c r="J1392" i="5"/>
  <c r="J1393" i="5"/>
  <c r="J1394" i="5"/>
  <c r="J1395" i="5"/>
  <c r="J1396" i="5"/>
  <c r="J1397" i="5"/>
  <c r="J1398" i="5"/>
  <c r="J1399" i="5"/>
  <c r="J1400" i="5"/>
  <c r="J1401" i="5"/>
  <c r="J1402" i="5"/>
  <c r="J1403" i="5"/>
  <c r="J1404" i="5"/>
  <c r="J1405" i="5"/>
  <c r="J1406" i="5"/>
  <c r="J1407" i="5"/>
  <c r="J1408" i="5"/>
  <c r="J1409" i="5"/>
  <c r="J1410" i="5"/>
  <c r="J1411" i="5"/>
  <c r="J1412" i="5"/>
  <c r="J1413" i="5"/>
  <c r="J1414" i="5"/>
  <c r="J1415" i="5"/>
  <c r="J1416" i="5"/>
  <c r="J1417" i="5"/>
  <c r="J1418" i="5"/>
  <c r="J1419" i="5"/>
  <c r="J1420" i="5"/>
  <c r="J1421" i="5"/>
  <c r="J1422" i="5"/>
  <c r="J1423" i="5"/>
  <c r="J1424" i="5"/>
  <c r="J1425" i="5"/>
  <c r="J1426" i="5"/>
  <c r="J1427" i="5"/>
  <c r="J1428" i="5"/>
  <c r="J1429" i="5"/>
  <c r="J1430" i="5"/>
  <c r="J1431" i="5"/>
  <c r="J1432" i="5"/>
  <c r="J1433" i="5"/>
  <c r="J1434" i="5"/>
  <c r="J1435" i="5"/>
  <c r="J1436" i="5"/>
  <c r="J1437" i="5"/>
  <c r="J1438" i="5"/>
  <c r="J1439" i="5"/>
  <c r="J1440" i="5"/>
  <c r="J1441" i="5"/>
  <c r="J1442" i="5"/>
  <c r="J1443" i="5"/>
  <c r="J1444" i="5"/>
  <c r="J1445" i="5"/>
  <c r="J1446" i="5"/>
  <c r="J1447" i="5"/>
  <c r="J1448" i="5"/>
  <c r="J1449" i="5"/>
  <c r="J1450" i="5"/>
  <c r="J1451" i="5"/>
  <c r="J1452" i="5"/>
  <c r="J1453" i="5"/>
  <c r="J1454" i="5"/>
  <c r="J1455" i="5"/>
  <c r="J1456" i="5"/>
  <c r="J1457" i="5"/>
  <c r="J1458" i="5"/>
  <c r="J1459" i="5"/>
  <c r="J1460" i="5"/>
  <c r="J1461" i="5"/>
  <c r="J1462" i="5"/>
  <c r="J1463" i="5"/>
  <c r="J1464" i="5"/>
  <c r="J1465" i="5"/>
  <c r="J1466" i="5"/>
  <c r="J1467" i="5"/>
  <c r="J1468" i="5"/>
  <c r="J1469" i="5"/>
  <c r="J1470" i="5"/>
  <c r="J1471" i="5"/>
  <c r="J1472" i="5"/>
  <c r="J1473" i="5"/>
  <c r="J1474" i="5"/>
  <c r="J1475" i="5"/>
  <c r="J1476" i="5"/>
  <c r="J1477" i="5"/>
  <c r="J1478" i="5"/>
  <c r="J1479" i="5"/>
  <c r="J1480" i="5"/>
  <c r="J1481" i="5"/>
  <c r="J1482" i="5"/>
  <c r="J1483" i="5"/>
  <c r="J1484" i="5"/>
  <c r="J1485" i="5"/>
  <c r="J1486" i="5"/>
  <c r="J1487" i="5"/>
  <c r="J1488" i="5"/>
  <c r="J1489" i="5"/>
  <c r="J1490" i="5"/>
  <c r="J1491" i="5"/>
  <c r="J1492" i="5"/>
  <c r="J1493" i="5"/>
  <c r="J1494" i="5"/>
  <c r="J1495" i="5"/>
  <c r="J1496" i="5"/>
  <c r="J1497" i="5"/>
  <c r="J1498" i="5"/>
  <c r="J1499" i="5"/>
  <c r="J1500" i="5"/>
  <c r="J1501" i="5"/>
  <c r="J1502" i="5"/>
  <c r="J1503" i="5"/>
  <c r="J1504" i="5"/>
  <c r="J1505" i="5"/>
  <c r="J1506" i="5"/>
  <c r="J1507" i="5"/>
  <c r="J1508" i="5"/>
  <c r="J1509" i="5"/>
  <c r="J1510" i="5"/>
  <c r="J1511" i="5"/>
  <c r="J1512" i="5"/>
  <c r="J1513" i="5"/>
  <c r="J1514" i="5"/>
  <c r="J1515" i="5"/>
  <c r="J1516" i="5"/>
  <c r="J1517" i="5"/>
  <c r="J1518" i="5"/>
  <c r="J1519" i="5"/>
  <c r="J1520" i="5"/>
  <c r="J1521" i="5"/>
  <c r="J1522" i="5"/>
  <c r="J1523" i="5"/>
  <c r="J1524" i="5"/>
  <c r="J1525" i="5"/>
  <c r="J1526" i="5"/>
  <c r="J1527" i="5"/>
  <c r="J1528" i="5"/>
  <c r="J1529" i="5"/>
  <c r="J1530" i="5"/>
  <c r="J1531" i="5"/>
  <c r="J1532" i="5"/>
  <c r="J1533" i="5"/>
  <c r="J1534" i="5"/>
  <c r="J1535" i="5"/>
  <c r="J1536" i="5"/>
  <c r="J1537" i="5"/>
  <c r="J1538" i="5"/>
  <c r="J1539" i="5"/>
  <c r="J1540" i="5"/>
  <c r="J1541" i="5"/>
  <c r="J1542" i="5"/>
  <c r="J1543" i="5"/>
  <c r="J1544" i="5"/>
  <c r="J1545" i="5"/>
  <c r="J1546" i="5"/>
  <c r="J1547" i="5"/>
  <c r="J1548" i="5"/>
  <c r="J1549" i="5"/>
  <c r="J1550" i="5"/>
  <c r="J1551" i="5"/>
  <c r="J1552" i="5"/>
  <c r="J1553" i="5"/>
  <c r="J1554" i="5"/>
  <c r="J1555" i="5"/>
  <c r="J1556" i="5"/>
  <c r="J1557" i="5"/>
  <c r="J1558" i="5"/>
  <c r="J1559" i="5"/>
  <c r="J1560" i="5"/>
  <c r="J1561" i="5"/>
  <c r="J1562" i="5"/>
  <c r="J1563" i="5"/>
  <c r="J1564" i="5"/>
  <c r="J1565" i="5"/>
  <c r="J1566" i="5"/>
  <c r="J1567" i="5"/>
  <c r="J1568" i="5"/>
  <c r="J1569" i="5"/>
  <c r="J1570" i="5"/>
  <c r="J1572" i="5"/>
  <c r="J1573" i="5"/>
  <c r="J1574" i="5"/>
  <c r="J1575" i="5"/>
  <c r="J1576" i="5"/>
  <c r="J1577" i="5"/>
  <c r="J1578" i="5"/>
  <c r="J1579" i="5"/>
  <c r="J1580" i="5"/>
  <c r="J1581" i="5"/>
  <c r="J1582" i="5"/>
  <c r="J1583" i="5"/>
  <c r="J1584" i="5"/>
  <c r="J1585" i="5"/>
  <c r="J1586" i="5"/>
  <c r="J1587" i="5"/>
  <c r="J1588" i="5"/>
  <c r="J1589" i="5"/>
  <c r="J1590" i="5"/>
  <c r="J1591" i="5"/>
  <c r="J1592" i="5"/>
  <c r="J1593" i="5"/>
  <c r="J1594" i="5"/>
  <c r="J1595" i="5"/>
  <c r="J1596" i="5"/>
  <c r="J1597" i="5"/>
  <c r="J1598" i="5"/>
  <c r="J1599" i="5"/>
  <c r="J1600" i="5"/>
  <c r="J1601" i="5"/>
  <c r="J1602" i="5"/>
  <c r="J1603" i="5"/>
  <c r="J1604" i="5"/>
  <c r="J1605" i="5"/>
  <c r="J1606" i="5"/>
  <c r="J1607" i="5"/>
  <c r="J1608" i="5"/>
  <c r="J1609" i="5"/>
  <c r="J1610" i="5"/>
  <c r="J1611" i="5"/>
  <c r="J1612" i="5"/>
  <c r="J1613" i="5"/>
  <c r="J1614" i="5"/>
  <c r="J1615" i="5"/>
  <c r="J1616" i="5"/>
  <c r="J1617" i="5"/>
  <c r="J1618" i="5"/>
  <c r="J1619" i="5"/>
  <c r="J1620" i="5"/>
  <c r="J1621" i="5"/>
  <c r="J1622" i="5"/>
  <c r="J1623" i="5"/>
  <c r="R1087" i="5"/>
  <c r="R1088" i="5"/>
  <c r="R1089" i="5"/>
  <c r="R1090" i="5"/>
  <c r="R1091" i="5"/>
  <c r="R1092" i="5"/>
  <c r="R1093" i="5"/>
  <c r="R1094" i="5"/>
  <c r="R1095" i="5"/>
  <c r="R1096" i="5"/>
  <c r="R1097" i="5"/>
  <c r="R1098" i="5"/>
  <c r="R1099" i="5"/>
  <c r="R1100" i="5"/>
  <c r="R1101" i="5"/>
  <c r="R1102" i="5"/>
  <c r="R1103" i="5"/>
  <c r="R1104" i="5"/>
  <c r="R1105" i="5"/>
  <c r="R1106" i="5"/>
  <c r="R1107" i="5"/>
  <c r="R1108" i="5"/>
  <c r="R1109" i="5"/>
  <c r="R1110" i="5"/>
  <c r="R1111" i="5"/>
  <c r="R1112" i="5"/>
  <c r="R1113" i="5"/>
  <c r="R1114" i="5"/>
  <c r="R1115" i="5"/>
  <c r="R1116" i="5"/>
  <c r="R1117" i="5"/>
  <c r="R1118" i="5"/>
  <c r="R1119" i="5"/>
  <c r="R1120" i="5"/>
  <c r="R1121" i="5"/>
  <c r="R1122" i="5"/>
  <c r="R1123" i="5"/>
  <c r="R1124" i="5"/>
  <c r="R1125" i="5"/>
  <c r="R1126" i="5"/>
  <c r="R1127" i="5"/>
  <c r="R1128" i="5"/>
  <c r="R1129" i="5"/>
  <c r="R1130" i="5"/>
  <c r="R1131" i="5"/>
  <c r="R1132" i="5"/>
  <c r="R1133" i="5"/>
  <c r="R1134" i="5"/>
  <c r="R1135" i="5"/>
  <c r="R1136" i="5"/>
  <c r="R1137" i="5"/>
  <c r="R1138" i="5"/>
  <c r="R1139" i="5"/>
  <c r="R1140" i="5"/>
  <c r="R1141" i="5"/>
  <c r="R1142" i="5"/>
  <c r="R1143" i="5"/>
  <c r="R1144" i="5"/>
  <c r="R1145" i="5"/>
  <c r="R1146" i="5"/>
  <c r="R1147" i="5"/>
  <c r="R1148" i="5"/>
  <c r="R1149" i="5"/>
  <c r="R1150" i="5"/>
  <c r="R1151" i="5"/>
  <c r="R1152" i="5"/>
  <c r="R1153" i="5"/>
  <c r="R1154" i="5"/>
  <c r="R1155" i="5"/>
  <c r="R1156" i="5"/>
  <c r="R1157" i="5"/>
  <c r="R1158" i="5"/>
  <c r="R1159" i="5"/>
  <c r="R1160" i="5"/>
  <c r="R1161" i="5"/>
  <c r="R1162" i="5"/>
  <c r="R1163" i="5"/>
  <c r="R1164" i="5"/>
  <c r="R1165" i="5"/>
  <c r="R1166" i="5"/>
  <c r="R1167" i="5"/>
  <c r="R1168" i="5"/>
  <c r="R1169" i="5"/>
  <c r="R1170" i="5"/>
  <c r="R1171" i="5"/>
  <c r="R1172" i="5"/>
  <c r="R1173" i="5"/>
  <c r="R1174" i="5"/>
  <c r="R1175" i="5"/>
  <c r="R1176" i="5"/>
  <c r="R1177" i="5"/>
  <c r="R1178" i="5"/>
  <c r="R1179" i="5"/>
  <c r="R1180" i="5"/>
  <c r="R1181" i="5"/>
  <c r="R1182" i="5"/>
  <c r="R1183" i="5"/>
  <c r="R1184" i="5"/>
  <c r="R1185" i="5"/>
  <c r="R1186" i="5"/>
  <c r="R1187" i="5"/>
  <c r="R1188" i="5"/>
  <c r="R1189" i="5"/>
  <c r="R1190" i="5"/>
  <c r="R1191" i="5"/>
  <c r="R1192" i="5"/>
  <c r="R1193" i="5"/>
  <c r="R1194" i="5"/>
  <c r="R1195" i="5"/>
  <c r="R1196" i="5"/>
  <c r="R1197" i="5"/>
  <c r="R1198" i="5"/>
  <c r="R1199" i="5"/>
  <c r="R1200" i="5"/>
  <c r="R1201" i="5"/>
  <c r="R1202" i="5"/>
  <c r="R1203" i="5"/>
  <c r="R1204" i="5"/>
  <c r="R1205" i="5"/>
  <c r="R1206" i="5"/>
  <c r="R1207" i="5"/>
  <c r="R1208" i="5"/>
  <c r="R1209" i="5"/>
  <c r="R1210" i="5"/>
  <c r="R1211" i="5"/>
  <c r="R1212" i="5"/>
  <c r="R1213" i="5"/>
  <c r="R1214" i="5"/>
  <c r="R1215" i="5"/>
  <c r="R1216" i="5"/>
  <c r="R1217" i="5"/>
  <c r="R1218" i="5"/>
  <c r="R1219" i="5"/>
  <c r="R1220" i="5"/>
  <c r="R1221" i="5"/>
  <c r="R1222" i="5"/>
  <c r="R1223" i="5"/>
  <c r="R1224" i="5"/>
  <c r="R1225" i="5"/>
  <c r="R1226" i="5"/>
  <c r="R1227" i="5"/>
  <c r="R1228" i="5"/>
  <c r="R1229" i="5"/>
  <c r="R1230" i="5"/>
  <c r="R1231" i="5"/>
  <c r="R1232" i="5"/>
  <c r="R1233" i="5"/>
  <c r="R1234" i="5"/>
  <c r="R1235" i="5"/>
  <c r="R1236" i="5"/>
  <c r="R1237" i="5"/>
  <c r="R1238" i="5"/>
  <c r="R1239" i="5"/>
  <c r="R1240" i="5"/>
  <c r="R1241" i="5"/>
  <c r="R1242" i="5"/>
  <c r="R1243" i="5"/>
  <c r="R1244" i="5"/>
  <c r="R1245" i="5"/>
  <c r="R1246" i="5"/>
  <c r="R1247" i="5"/>
  <c r="R1248" i="5"/>
  <c r="R1249" i="5"/>
  <c r="R1250" i="5"/>
  <c r="R1251" i="5"/>
  <c r="R1252" i="5"/>
  <c r="R1253" i="5"/>
  <c r="R1254" i="5"/>
  <c r="R1255" i="5"/>
  <c r="R1256" i="5"/>
  <c r="R1257" i="5"/>
  <c r="R1258" i="5"/>
  <c r="R1259" i="5"/>
  <c r="R1260" i="5"/>
  <c r="R1261" i="5"/>
  <c r="R1262" i="5"/>
  <c r="R1263" i="5"/>
  <c r="R1264" i="5"/>
  <c r="R1265" i="5"/>
  <c r="R1266" i="5"/>
  <c r="R1267" i="5"/>
  <c r="R1268" i="5"/>
  <c r="R1269" i="5"/>
  <c r="R1270" i="5"/>
  <c r="R1271" i="5"/>
  <c r="R1272" i="5"/>
  <c r="R1273" i="5"/>
  <c r="R1274" i="5"/>
  <c r="R1275" i="5"/>
  <c r="R1276" i="5"/>
  <c r="R1277" i="5"/>
  <c r="R1278" i="5"/>
  <c r="R1279" i="5"/>
  <c r="R1280" i="5"/>
  <c r="R1281" i="5"/>
  <c r="R1282" i="5"/>
  <c r="R1283" i="5"/>
  <c r="R1284" i="5"/>
  <c r="R1285" i="5"/>
  <c r="R1286" i="5"/>
  <c r="R1287" i="5"/>
  <c r="R1288" i="5"/>
  <c r="R1289" i="5"/>
  <c r="R1290" i="5"/>
  <c r="R1291" i="5"/>
  <c r="R1292" i="5"/>
  <c r="R1293" i="5"/>
  <c r="R1294" i="5"/>
  <c r="R1295" i="5"/>
  <c r="R1296" i="5"/>
  <c r="R1297" i="5"/>
  <c r="R1298" i="5"/>
  <c r="R1299" i="5"/>
  <c r="R1300" i="5"/>
  <c r="R1301" i="5"/>
  <c r="R1302" i="5"/>
  <c r="R1303" i="5"/>
  <c r="R1304" i="5"/>
  <c r="R1305" i="5"/>
  <c r="R1306" i="5"/>
  <c r="R1307" i="5"/>
  <c r="R1308" i="5"/>
  <c r="R1309" i="5"/>
  <c r="R1310" i="5"/>
  <c r="R1311" i="5"/>
  <c r="R1312" i="5"/>
  <c r="R1313" i="5"/>
  <c r="R1314" i="5"/>
  <c r="R1315" i="5"/>
  <c r="R1316" i="5"/>
  <c r="R1317" i="5"/>
  <c r="R1318" i="5"/>
  <c r="R1319" i="5"/>
  <c r="R1320" i="5"/>
  <c r="R1321" i="5"/>
  <c r="R1322" i="5"/>
  <c r="R1323" i="5"/>
  <c r="R1324" i="5"/>
  <c r="R1325" i="5"/>
  <c r="R1326" i="5"/>
  <c r="R1327" i="5"/>
  <c r="R1328" i="5"/>
  <c r="R1329" i="5"/>
  <c r="R1330" i="5"/>
  <c r="R1331" i="5"/>
  <c r="R1332" i="5"/>
  <c r="R1333" i="5"/>
  <c r="R1334" i="5"/>
  <c r="R1335" i="5"/>
  <c r="R1336" i="5"/>
  <c r="R1337" i="5"/>
  <c r="R1338" i="5"/>
  <c r="R1339" i="5"/>
  <c r="R1340" i="5"/>
  <c r="R1341" i="5"/>
  <c r="R1342" i="5"/>
  <c r="R1343" i="5"/>
  <c r="R1344" i="5"/>
  <c r="R1345" i="5"/>
  <c r="R1346" i="5"/>
  <c r="R1347" i="5"/>
  <c r="R1348" i="5"/>
  <c r="R1349" i="5"/>
  <c r="R1350" i="5"/>
  <c r="R1351" i="5"/>
  <c r="R1352" i="5"/>
  <c r="R1353" i="5"/>
  <c r="R1354" i="5"/>
  <c r="R1355" i="5"/>
  <c r="R1356" i="5"/>
  <c r="R1357" i="5"/>
  <c r="R1358" i="5"/>
  <c r="R1359" i="5"/>
  <c r="R1360" i="5"/>
  <c r="R1361" i="5"/>
  <c r="R1362" i="5"/>
  <c r="R1363" i="5"/>
  <c r="R1364" i="5"/>
  <c r="R1365" i="5"/>
  <c r="R1366" i="5"/>
  <c r="R1367" i="5"/>
  <c r="R1368" i="5"/>
  <c r="R1369" i="5"/>
  <c r="R1370" i="5"/>
  <c r="R1371" i="5"/>
  <c r="R1372" i="5"/>
  <c r="R1373" i="5"/>
  <c r="R1374" i="5"/>
  <c r="R1375" i="5"/>
  <c r="R1376" i="5"/>
  <c r="R1377" i="5"/>
  <c r="R1378" i="5"/>
  <c r="R1379" i="5"/>
  <c r="R1380" i="5"/>
  <c r="R1381" i="5"/>
  <c r="R1382" i="5"/>
  <c r="R1383" i="5"/>
  <c r="R1384" i="5"/>
  <c r="R1385" i="5"/>
  <c r="R1386" i="5"/>
  <c r="R1387" i="5"/>
  <c r="R1388" i="5"/>
  <c r="R1389" i="5"/>
  <c r="R1390" i="5"/>
  <c r="R1391" i="5"/>
  <c r="R1392" i="5"/>
  <c r="R1393" i="5"/>
  <c r="R1394" i="5"/>
  <c r="R1395" i="5"/>
  <c r="R1396" i="5"/>
  <c r="R1397" i="5"/>
  <c r="R1398" i="5"/>
  <c r="R1399" i="5"/>
  <c r="R1400" i="5"/>
  <c r="R1401" i="5"/>
  <c r="R1402" i="5"/>
  <c r="R1403" i="5"/>
  <c r="R1404" i="5"/>
  <c r="R1405" i="5"/>
  <c r="R1406" i="5"/>
  <c r="R1407" i="5"/>
  <c r="R1408" i="5"/>
  <c r="R1409" i="5"/>
  <c r="R1410" i="5"/>
  <c r="R1411" i="5"/>
  <c r="R1412" i="5"/>
  <c r="R1413" i="5"/>
  <c r="R1414" i="5"/>
  <c r="R1415" i="5"/>
  <c r="R1416" i="5"/>
  <c r="R1417" i="5"/>
  <c r="R1418" i="5"/>
  <c r="R1419" i="5"/>
  <c r="R1420" i="5"/>
  <c r="R1421" i="5"/>
  <c r="R1422" i="5"/>
  <c r="R1423" i="5"/>
  <c r="R1424" i="5"/>
  <c r="R1425" i="5"/>
  <c r="R1426" i="5"/>
  <c r="R1427" i="5"/>
  <c r="R1428" i="5"/>
  <c r="R1429" i="5"/>
  <c r="R1430" i="5"/>
  <c r="R1431" i="5"/>
  <c r="R1432" i="5"/>
  <c r="R1433" i="5"/>
  <c r="R1434" i="5"/>
  <c r="R1435" i="5"/>
  <c r="R1436" i="5"/>
  <c r="R1437" i="5"/>
  <c r="R1438" i="5"/>
  <c r="R1439" i="5"/>
  <c r="R1440" i="5"/>
  <c r="R1441" i="5"/>
  <c r="R1442" i="5"/>
  <c r="R1443" i="5"/>
  <c r="R1444" i="5"/>
  <c r="R1445" i="5"/>
  <c r="R1446" i="5"/>
  <c r="R1447" i="5"/>
  <c r="R1448" i="5"/>
  <c r="R1449" i="5"/>
  <c r="R1450" i="5"/>
  <c r="R1451" i="5"/>
  <c r="R1452" i="5"/>
  <c r="R1453" i="5"/>
  <c r="R1454" i="5"/>
  <c r="R1455" i="5"/>
  <c r="R1456" i="5"/>
  <c r="R1457" i="5"/>
  <c r="R1458" i="5"/>
  <c r="R1459" i="5"/>
  <c r="R1460" i="5"/>
  <c r="R1461" i="5"/>
  <c r="R1462" i="5"/>
  <c r="R1463" i="5"/>
  <c r="R1464" i="5"/>
  <c r="R1465" i="5"/>
  <c r="R1466" i="5"/>
  <c r="R1467" i="5"/>
  <c r="R1468" i="5"/>
  <c r="R1469" i="5"/>
  <c r="R1470" i="5"/>
  <c r="R1471" i="5"/>
  <c r="R1472" i="5"/>
  <c r="R1473" i="5"/>
  <c r="R1474" i="5"/>
  <c r="R1475" i="5"/>
  <c r="R1476" i="5"/>
  <c r="R1477" i="5"/>
  <c r="R1478" i="5"/>
  <c r="R1479" i="5"/>
  <c r="R1480" i="5"/>
  <c r="R1481" i="5"/>
  <c r="R1482" i="5"/>
  <c r="R1483" i="5"/>
  <c r="R1484" i="5"/>
  <c r="R1485" i="5"/>
  <c r="R1486" i="5"/>
  <c r="R1487" i="5"/>
  <c r="R1488" i="5"/>
  <c r="R1489" i="5"/>
  <c r="R1490" i="5"/>
  <c r="R1491" i="5"/>
  <c r="R1492" i="5"/>
  <c r="R1493" i="5"/>
  <c r="R1494" i="5"/>
  <c r="R1495" i="5"/>
  <c r="R1496" i="5"/>
  <c r="R1497" i="5"/>
  <c r="R1498" i="5"/>
  <c r="R1499" i="5"/>
  <c r="R1500" i="5"/>
  <c r="R1501" i="5"/>
  <c r="R1502" i="5"/>
  <c r="R1503" i="5"/>
  <c r="R1504" i="5"/>
  <c r="R1505" i="5"/>
  <c r="R1506" i="5"/>
  <c r="R1507" i="5"/>
  <c r="R1508" i="5"/>
  <c r="R1509" i="5"/>
  <c r="R1510" i="5"/>
  <c r="R1511" i="5"/>
  <c r="R1512" i="5"/>
  <c r="R1513" i="5"/>
  <c r="R1514" i="5"/>
  <c r="R1515" i="5"/>
  <c r="R1516" i="5"/>
  <c r="R1517" i="5"/>
  <c r="R1518" i="5"/>
  <c r="R1519" i="5"/>
  <c r="R1520" i="5"/>
  <c r="R1521" i="5"/>
  <c r="R1522" i="5"/>
  <c r="R1523" i="5"/>
  <c r="R1524" i="5"/>
  <c r="R1525" i="5"/>
  <c r="R1526" i="5"/>
  <c r="R1527" i="5"/>
  <c r="R1528" i="5"/>
  <c r="R1529" i="5"/>
  <c r="R1530" i="5"/>
  <c r="R1531" i="5"/>
  <c r="R1532" i="5"/>
  <c r="R1533" i="5"/>
  <c r="R1534" i="5"/>
  <c r="R1535" i="5"/>
  <c r="R1536" i="5"/>
  <c r="R1537" i="5"/>
  <c r="R1538" i="5"/>
  <c r="R1539" i="5"/>
  <c r="R1540" i="5"/>
  <c r="R1541" i="5"/>
  <c r="R1542" i="5"/>
  <c r="R1543" i="5"/>
  <c r="R1544" i="5"/>
  <c r="R1545" i="5"/>
  <c r="R1546" i="5"/>
  <c r="R1547" i="5"/>
  <c r="R1548" i="5"/>
  <c r="R1549" i="5"/>
  <c r="R1550" i="5"/>
  <c r="R1551" i="5"/>
  <c r="R1552" i="5"/>
  <c r="R1553" i="5"/>
  <c r="R1554" i="5"/>
  <c r="R1555" i="5"/>
  <c r="R1556" i="5"/>
  <c r="R1557" i="5"/>
  <c r="R1558" i="5"/>
  <c r="R1559" i="5"/>
  <c r="R1560" i="5"/>
  <c r="R1561" i="5"/>
  <c r="R1562" i="5"/>
  <c r="R1563" i="5"/>
  <c r="R1564" i="5"/>
  <c r="R1565" i="5"/>
  <c r="R1566" i="5"/>
  <c r="R1567" i="5"/>
  <c r="R1568" i="5"/>
  <c r="R1569" i="5"/>
  <c r="R1570" i="5"/>
  <c r="R1571" i="5"/>
  <c r="R1572" i="5"/>
  <c r="R1573" i="5"/>
  <c r="R1574" i="5"/>
  <c r="R1575" i="5"/>
  <c r="R1576" i="5"/>
  <c r="R1577" i="5"/>
  <c r="R1578" i="5"/>
  <c r="R1579" i="5"/>
  <c r="R1580" i="5"/>
  <c r="R1581" i="5"/>
  <c r="R1582" i="5"/>
  <c r="R1583" i="5"/>
  <c r="R1584" i="5"/>
  <c r="R1585" i="5"/>
  <c r="R1586" i="5"/>
  <c r="R1587" i="5"/>
  <c r="R1588" i="5"/>
  <c r="R1589" i="5"/>
  <c r="R1590" i="5"/>
  <c r="R1591" i="5"/>
  <c r="R1592" i="5"/>
  <c r="R1593" i="5"/>
  <c r="R1594" i="5"/>
  <c r="R1595" i="5"/>
  <c r="R1596" i="5"/>
  <c r="R1597" i="5"/>
  <c r="R1598" i="5"/>
  <c r="R1599" i="5"/>
  <c r="R1600" i="5"/>
  <c r="R1601" i="5"/>
  <c r="R1602" i="5"/>
  <c r="R1603" i="5"/>
  <c r="R1604" i="5"/>
  <c r="R1605" i="5"/>
  <c r="R1606" i="5"/>
  <c r="R1607" i="5"/>
  <c r="R1608" i="5"/>
  <c r="R1609" i="5"/>
  <c r="R1610" i="5"/>
  <c r="R1611" i="5"/>
  <c r="R1612" i="5"/>
  <c r="R1613" i="5"/>
  <c r="R1614" i="5"/>
  <c r="R1615" i="5"/>
  <c r="R1616" i="5"/>
  <c r="R1617" i="5"/>
  <c r="R1618" i="5"/>
  <c r="R1619" i="5"/>
  <c r="R1620" i="5"/>
  <c r="R1621" i="5"/>
  <c r="R1622" i="5"/>
  <c r="R1076" i="5"/>
  <c r="R1077" i="5"/>
  <c r="R1078" i="5"/>
  <c r="R1079" i="5"/>
  <c r="R1080" i="5"/>
  <c r="R1081" i="5"/>
  <c r="R1082" i="5"/>
  <c r="R1083" i="5"/>
  <c r="R1084" i="5"/>
  <c r="R1085" i="5"/>
  <c r="R1086" i="5"/>
  <c r="J1076" i="5"/>
  <c r="J1077" i="5"/>
  <c r="J1078" i="5"/>
  <c r="J1079" i="5"/>
  <c r="J1080" i="5"/>
  <c r="J1081" i="5"/>
  <c r="J1082" i="5"/>
  <c r="J1083" i="5"/>
  <c r="J1084" i="5"/>
  <c r="J1085" i="5"/>
  <c r="J1086" i="5"/>
  <c r="I47" i="151" l="1"/>
  <c r="I46" i="151"/>
  <c r="I45" i="151"/>
  <c r="I44" i="151"/>
  <c r="I43" i="151"/>
  <c r="I42" i="151"/>
  <c r="I41" i="151"/>
  <c r="I40" i="151"/>
  <c r="I39" i="151"/>
  <c r="I38" i="151"/>
  <c r="I37" i="151"/>
  <c r="I36" i="151"/>
  <c r="I35" i="151"/>
  <c r="I34" i="151"/>
  <c r="I33" i="151"/>
  <c r="I32" i="151"/>
  <c r="I31" i="151"/>
  <c r="I30" i="151"/>
  <c r="I29" i="151"/>
  <c r="I28" i="151"/>
  <c r="I27" i="151"/>
  <c r="I26" i="151"/>
  <c r="I25" i="151"/>
  <c r="I24" i="151"/>
  <c r="I23" i="151"/>
  <c r="I22" i="151"/>
  <c r="I21" i="151"/>
  <c r="I20" i="151"/>
  <c r="I19" i="151"/>
  <c r="I18" i="151"/>
  <c r="I17" i="151"/>
  <c r="I16" i="151"/>
  <c r="I15" i="151"/>
  <c r="I14" i="151"/>
  <c r="I13" i="151"/>
  <c r="I12" i="151"/>
  <c r="I11" i="151"/>
  <c r="I10" i="151"/>
  <c r="I9" i="151"/>
  <c r="I8" i="151"/>
  <c r="I7" i="151"/>
  <c r="I6" i="151"/>
  <c r="I5" i="151"/>
  <c r="I4" i="151"/>
  <c r="I3" i="151"/>
  <c r="I2" i="151"/>
  <c r="I55" i="150"/>
  <c r="I54" i="150"/>
  <c r="I53" i="150"/>
  <c r="I52" i="150"/>
  <c r="I51" i="150"/>
  <c r="I50" i="150"/>
  <c r="I49" i="150"/>
  <c r="I48" i="150"/>
  <c r="I47" i="150"/>
  <c r="I46" i="150"/>
  <c r="I45" i="150"/>
  <c r="I44" i="150"/>
  <c r="I43" i="150"/>
  <c r="I42" i="150"/>
  <c r="I41" i="150"/>
  <c r="I40" i="150"/>
  <c r="I39" i="150"/>
  <c r="I38" i="150"/>
  <c r="I37" i="150"/>
  <c r="I36" i="150"/>
  <c r="I35" i="150"/>
  <c r="I34" i="150"/>
  <c r="I33" i="150"/>
  <c r="I32" i="150"/>
  <c r="I31" i="150"/>
  <c r="I30" i="150"/>
  <c r="I29" i="150"/>
  <c r="I28" i="150"/>
  <c r="I27" i="150"/>
  <c r="I26" i="150"/>
  <c r="I25" i="150"/>
  <c r="I24" i="150"/>
  <c r="I23" i="150"/>
  <c r="I22" i="150"/>
  <c r="I21" i="150"/>
  <c r="I20" i="150"/>
  <c r="I19" i="150"/>
  <c r="I18" i="150"/>
  <c r="I17" i="150"/>
  <c r="I16" i="150"/>
  <c r="I15" i="150"/>
  <c r="I14" i="150"/>
  <c r="I13" i="150"/>
  <c r="I12" i="150"/>
  <c r="I11" i="150"/>
  <c r="I10" i="150"/>
  <c r="I9" i="150"/>
  <c r="I8" i="150"/>
  <c r="I7" i="150"/>
  <c r="I6" i="150"/>
  <c r="I5" i="150"/>
  <c r="I4" i="150"/>
  <c r="I3" i="150"/>
  <c r="I2" i="150"/>
  <c r="Q2" i="150" l="1"/>
  <c r="Q1" i="150"/>
  <c r="B36" i="150"/>
  <c r="C36" i="150"/>
  <c r="D36" i="150"/>
  <c r="E36" i="150"/>
  <c r="F36" i="150"/>
  <c r="G36" i="150"/>
  <c r="B37" i="150"/>
  <c r="C37" i="150"/>
  <c r="D37" i="150"/>
  <c r="E37" i="150"/>
  <c r="F37" i="150"/>
  <c r="G37" i="150"/>
  <c r="B38" i="150"/>
  <c r="C38" i="150"/>
  <c r="D38" i="150"/>
  <c r="E38" i="150"/>
  <c r="F38" i="150"/>
  <c r="G38" i="150"/>
  <c r="B39" i="150"/>
  <c r="C39" i="150"/>
  <c r="D39" i="150"/>
  <c r="E39" i="150"/>
  <c r="F39" i="150"/>
  <c r="G39" i="150"/>
  <c r="B40" i="150"/>
  <c r="C40" i="150"/>
  <c r="D40" i="150"/>
  <c r="E40" i="150"/>
  <c r="F40" i="150"/>
  <c r="G40" i="150"/>
  <c r="B41" i="150"/>
  <c r="C41" i="150"/>
  <c r="D41" i="150"/>
  <c r="E41" i="150"/>
  <c r="F41" i="150"/>
  <c r="G41" i="150"/>
  <c r="B42" i="150"/>
  <c r="C42" i="150"/>
  <c r="D42" i="150"/>
  <c r="E42" i="150"/>
  <c r="F42" i="150"/>
  <c r="G42" i="150"/>
  <c r="B43" i="150"/>
  <c r="C43" i="150"/>
  <c r="D43" i="150"/>
  <c r="E43" i="150"/>
  <c r="F43" i="150"/>
  <c r="G43" i="150"/>
  <c r="B44" i="150"/>
  <c r="C44" i="150"/>
  <c r="D44" i="150"/>
  <c r="E44" i="150"/>
  <c r="F44" i="150"/>
  <c r="G44" i="150"/>
  <c r="B45" i="150"/>
  <c r="C45" i="150"/>
  <c r="D45" i="150"/>
  <c r="E45" i="150"/>
  <c r="F45" i="150"/>
  <c r="G45" i="150"/>
  <c r="B46" i="150"/>
  <c r="C46" i="150"/>
  <c r="D46" i="150"/>
  <c r="E46" i="150"/>
  <c r="F46" i="150"/>
  <c r="G46" i="150"/>
  <c r="B47" i="150"/>
  <c r="C47" i="150"/>
  <c r="D47" i="150"/>
  <c r="E47" i="150"/>
  <c r="F47" i="150"/>
  <c r="G47" i="150"/>
  <c r="B48" i="150"/>
  <c r="C48" i="150"/>
  <c r="D48" i="150"/>
  <c r="E48" i="150"/>
  <c r="F48" i="150"/>
  <c r="G48" i="150"/>
  <c r="B49" i="150"/>
  <c r="C49" i="150"/>
  <c r="D49" i="150"/>
  <c r="E49" i="150"/>
  <c r="F49" i="150"/>
  <c r="G49" i="150"/>
  <c r="B50" i="150"/>
  <c r="C50" i="150"/>
  <c r="D50" i="150"/>
  <c r="E50" i="150"/>
  <c r="F50" i="150"/>
  <c r="G50" i="150"/>
  <c r="B51" i="150"/>
  <c r="C51" i="150"/>
  <c r="D51" i="150"/>
  <c r="E51" i="150"/>
  <c r="F51" i="150"/>
  <c r="G51" i="150"/>
  <c r="B52" i="150"/>
  <c r="C52" i="150"/>
  <c r="D52" i="150"/>
  <c r="E52" i="150"/>
  <c r="F52" i="150"/>
  <c r="G52" i="150"/>
  <c r="B53" i="150"/>
  <c r="C53" i="150"/>
  <c r="D53" i="150"/>
  <c r="E53" i="150"/>
  <c r="F53" i="150"/>
  <c r="G53" i="150"/>
  <c r="B54" i="150"/>
  <c r="C54" i="150"/>
  <c r="D54" i="150"/>
  <c r="E54" i="150"/>
  <c r="F54" i="150"/>
  <c r="G54" i="150"/>
  <c r="B55" i="150"/>
  <c r="C55" i="150"/>
  <c r="D55" i="150"/>
  <c r="E55" i="150"/>
  <c r="F55" i="150"/>
  <c r="G55" i="150"/>
  <c r="J55" i="150" l="1"/>
  <c r="J53" i="150"/>
  <c r="J51" i="150"/>
  <c r="J49" i="150"/>
  <c r="J46" i="150"/>
  <c r="J44" i="150"/>
  <c r="J43" i="150"/>
  <c r="J41" i="150"/>
  <c r="J39" i="150"/>
  <c r="J37" i="150"/>
  <c r="J54" i="150"/>
  <c r="J52" i="150"/>
  <c r="J50" i="150"/>
  <c r="J48" i="150"/>
  <c r="J47" i="150"/>
  <c r="J45" i="150"/>
  <c r="J42" i="150"/>
  <c r="J40" i="150"/>
  <c r="J38" i="150"/>
  <c r="J36" i="150"/>
  <c r="F2" i="150"/>
  <c r="F3" i="150"/>
  <c r="F4" i="150"/>
  <c r="F5" i="150"/>
  <c r="F6" i="150"/>
  <c r="F7" i="150"/>
  <c r="F8" i="150"/>
  <c r="F9" i="150"/>
  <c r="F10" i="150"/>
  <c r="F11" i="150"/>
  <c r="F12" i="150"/>
  <c r="F13" i="150"/>
  <c r="F14" i="150"/>
  <c r="F15" i="150"/>
  <c r="F16" i="150"/>
  <c r="F17" i="150"/>
  <c r="F18" i="150"/>
  <c r="F19" i="150"/>
  <c r="F20" i="150"/>
  <c r="F21" i="150"/>
  <c r="F22" i="150"/>
  <c r="F23" i="150"/>
  <c r="F24" i="150"/>
  <c r="F25" i="150"/>
  <c r="F26" i="150"/>
  <c r="F27" i="150"/>
  <c r="F28" i="150"/>
  <c r="F29" i="150"/>
  <c r="F30" i="150"/>
  <c r="F31" i="150"/>
  <c r="F32" i="150"/>
  <c r="F33" i="150"/>
  <c r="F34" i="150"/>
  <c r="F35" i="150"/>
  <c r="O2" i="150" l="1"/>
  <c r="O1" i="150"/>
  <c r="D38" i="151"/>
  <c r="P20" i="3" l="1"/>
  <c r="F5" i="151"/>
  <c r="B42" i="151"/>
  <c r="C42" i="151"/>
  <c r="D42" i="151"/>
  <c r="E42" i="151"/>
  <c r="F42" i="151"/>
  <c r="G42" i="151"/>
  <c r="B43" i="151"/>
  <c r="C43" i="151"/>
  <c r="D43" i="151"/>
  <c r="E43" i="151"/>
  <c r="F43" i="151"/>
  <c r="G43" i="151"/>
  <c r="B44" i="151"/>
  <c r="C44" i="151"/>
  <c r="D44" i="151"/>
  <c r="E44" i="151"/>
  <c r="F44" i="151"/>
  <c r="G44" i="151"/>
  <c r="B45" i="151"/>
  <c r="C45" i="151"/>
  <c r="D45" i="151"/>
  <c r="E45" i="151"/>
  <c r="F45" i="151"/>
  <c r="G45" i="151"/>
  <c r="B46" i="151"/>
  <c r="C46" i="151"/>
  <c r="D46" i="151"/>
  <c r="E46" i="151"/>
  <c r="F46" i="151"/>
  <c r="G46" i="151"/>
  <c r="B47" i="151"/>
  <c r="C47" i="151"/>
  <c r="D47" i="151"/>
  <c r="E47" i="151"/>
  <c r="F47" i="151"/>
  <c r="G47" i="151"/>
  <c r="B35" i="151"/>
  <c r="C35" i="151"/>
  <c r="D35" i="151"/>
  <c r="E35" i="151"/>
  <c r="F35" i="151"/>
  <c r="G35" i="151"/>
  <c r="B36" i="151"/>
  <c r="C36" i="151"/>
  <c r="D36" i="151"/>
  <c r="E36" i="151"/>
  <c r="F36" i="151"/>
  <c r="G36" i="151"/>
  <c r="B37" i="151"/>
  <c r="C37" i="151"/>
  <c r="D37" i="151"/>
  <c r="E37" i="151"/>
  <c r="F37" i="151"/>
  <c r="G37" i="151"/>
  <c r="B38" i="151"/>
  <c r="C38" i="151"/>
  <c r="E38" i="151"/>
  <c r="F38" i="151"/>
  <c r="G38" i="151"/>
  <c r="B39" i="151"/>
  <c r="C39" i="151"/>
  <c r="D39" i="151"/>
  <c r="E39" i="151"/>
  <c r="F39" i="151"/>
  <c r="G39" i="151"/>
  <c r="B40" i="151"/>
  <c r="C40" i="151"/>
  <c r="D40" i="151"/>
  <c r="E40" i="151"/>
  <c r="F40" i="151"/>
  <c r="G40" i="151"/>
  <c r="B41" i="151"/>
  <c r="C41" i="151"/>
  <c r="D41" i="151"/>
  <c r="E41" i="151"/>
  <c r="F41" i="151"/>
  <c r="G41" i="151"/>
  <c r="R1072" i="5"/>
  <c r="R1073" i="5"/>
  <c r="R1074" i="5"/>
  <c r="R1075" i="5"/>
  <c r="J1072" i="5"/>
  <c r="J1073" i="5"/>
  <c r="J1074" i="5"/>
  <c r="J1075" i="5"/>
  <c r="R715" i="5"/>
  <c r="R716" i="5"/>
  <c r="R717" i="5"/>
  <c r="R718" i="5"/>
  <c r="R719" i="5"/>
  <c r="R720" i="5"/>
  <c r="R721" i="5"/>
  <c r="R722" i="5"/>
  <c r="R723" i="5"/>
  <c r="R724" i="5"/>
  <c r="R725" i="5"/>
  <c r="R726" i="5"/>
  <c r="R727" i="5"/>
  <c r="R728" i="5"/>
  <c r="R729" i="5"/>
  <c r="R730" i="5"/>
  <c r="R731" i="5"/>
  <c r="R732" i="5"/>
  <c r="R733" i="5"/>
  <c r="R734" i="5"/>
  <c r="R735" i="5"/>
  <c r="R736" i="5"/>
  <c r="R737" i="5"/>
  <c r="R738" i="5"/>
  <c r="R739" i="5"/>
  <c r="R740" i="5"/>
  <c r="R741" i="5"/>
  <c r="R742" i="5"/>
  <c r="R743" i="5"/>
  <c r="R744" i="5"/>
  <c r="R745" i="5"/>
  <c r="R746" i="5"/>
  <c r="R747" i="5"/>
  <c r="R748" i="5"/>
  <c r="R749" i="5"/>
  <c r="R750" i="5"/>
  <c r="R751" i="5"/>
  <c r="R752" i="5"/>
  <c r="R753" i="5"/>
  <c r="R754" i="5"/>
  <c r="R755" i="5"/>
  <c r="R756" i="5"/>
  <c r="R757" i="5"/>
  <c r="R758" i="5"/>
  <c r="R759" i="5"/>
  <c r="R760" i="5"/>
  <c r="R761" i="5"/>
  <c r="R762" i="5"/>
  <c r="R763" i="5"/>
  <c r="R764" i="5"/>
  <c r="R765" i="5"/>
  <c r="R766" i="5"/>
  <c r="R767" i="5"/>
  <c r="R768" i="5"/>
  <c r="R769" i="5"/>
  <c r="R770" i="5"/>
  <c r="R771" i="5"/>
  <c r="R772" i="5"/>
  <c r="R773" i="5"/>
  <c r="R774" i="5"/>
  <c r="R775" i="5"/>
  <c r="R776" i="5"/>
  <c r="R777" i="5"/>
  <c r="R778" i="5"/>
  <c r="R779" i="5"/>
  <c r="R780" i="5"/>
  <c r="R781" i="5"/>
  <c r="R782" i="5"/>
  <c r="R783" i="5"/>
  <c r="R784" i="5"/>
  <c r="R785" i="5"/>
  <c r="R786" i="5"/>
  <c r="R787" i="5"/>
  <c r="R788" i="5"/>
  <c r="R789" i="5"/>
  <c r="R790" i="5"/>
  <c r="R791" i="5"/>
  <c r="R792" i="5"/>
  <c r="R793" i="5"/>
  <c r="R794" i="5"/>
  <c r="R795" i="5"/>
  <c r="R796" i="5"/>
  <c r="R797" i="5"/>
  <c r="R798" i="5"/>
  <c r="R799" i="5"/>
  <c r="R800" i="5"/>
  <c r="R801" i="5"/>
  <c r="R802" i="5"/>
  <c r="R803" i="5"/>
  <c r="R804" i="5"/>
  <c r="R805" i="5"/>
  <c r="R806" i="5"/>
  <c r="R807" i="5"/>
  <c r="R808" i="5"/>
  <c r="R809" i="5"/>
  <c r="R810" i="5"/>
  <c r="R811" i="5"/>
  <c r="R812" i="5"/>
  <c r="R813" i="5"/>
  <c r="R814" i="5"/>
  <c r="R815" i="5"/>
  <c r="R816" i="5"/>
  <c r="R817" i="5"/>
  <c r="R818" i="5"/>
  <c r="R819" i="5"/>
  <c r="R820" i="5"/>
  <c r="R821" i="5"/>
  <c r="R822" i="5"/>
  <c r="R823" i="5"/>
  <c r="R824" i="5"/>
  <c r="R825" i="5"/>
  <c r="R826" i="5"/>
  <c r="R827" i="5"/>
  <c r="R828" i="5"/>
  <c r="R829" i="5"/>
  <c r="R830" i="5"/>
  <c r="R831" i="5"/>
  <c r="R832" i="5"/>
  <c r="R833" i="5"/>
  <c r="R834" i="5"/>
  <c r="R835" i="5"/>
  <c r="R836" i="5"/>
  <c r="R837" i="5"/>
  <c r="R838" i="5"/>
  <c r="R839" i="5"/>
  <c r="R840" i="5"/>
  <c r="R841" i="5"/>
  <c r="R842" i="5"/>
  <c r="R843" i="5"/>
  <c r="R844" i="5"/>
  <c r="R845" i="5"/>
  <c r="R846" i="5"/>
  <c r="R847" i="5"/>
  <c r="R848" i="5"/>
  <c r="R849" i="5"/>
  <c r="R850" i="5"/>
  <c r="R851" i="5"/>
  <c r="R852" i="5"/>
  <c r="R853" i="5"/>
  <c r="R854" i="5"/>
  <c r="R855" i="5"/>
  <c r="R856" i="5"/>
  <c r="R857" i="5"/>
  <c r="R858" i="5"/>
  <c r="R859" i="5"/>
  <c r="R860" i="5"/>
  <c r="R861" i="5"/>
  <c r="R862" i="5"/>
  <c r="R863" i="5"/>
  <c r="R864" i="5"/>
  <c r="R865" i="5"/>
  <c r="R866" i="5"/>
  <c r="R867" i="5"/>
  <c r="R868" i="5"/>
  <c r="R869" i="5"/>
  <c r="R870" i="5"/>
  <c r="R871" i="5"/>
  <c r="R872" i="5"/>
  <c r="R873" i="5"/>
  <c r="R874" i="5"/>
  <c r="R875" i="5"/>
  <c r="R876" i="5"/>
  <c r="R877" i="5"/>
  <c r="R878" i="5"/>
  <c r="R879" i="5"/>
  <c r="R880" i="5"/>
  <c r="R881" i="5"/>
  <c r="R882" i="5"/>
  <c r="R883" i="5"/>
  <c r="R884" i="5"/>
  <c r="R885" i="5"/>
  <c r="R886" i="5"/>
  <c r="R887" i="5"/>
  <c r="R888" i="5"/>
  <c r="R889" i="5"/>
  <c r="R890" i="5"/>
  <c r="R891" i="5"/>
  <c r="R892" i="5"/>
  <c r="R893" i="5"/>
  <c r="R894" i="5"/>
  <c r="R895" i="5"/>
  <c r="R896" i="5"/>
  <c r="R897" i="5"/>
  <c r="R898" i="5"/>
  <c r="R899" i="5"/>
  <c r="R900" i="5"/>
  <c r="R901" i="5"/>
  <c r="R902" i="5"/>
  <c r="R903" i="5"/>
  <c r="R904" i="5"/>
  <c r="R905" i="5"/>
  <c r="R906" i="5"/>
  <c r="R907" i="5"/>
  <c r="R908" i="5"/>
  <c r="R909" i="5"/>
  <c r="R910" i="5"/>
  <c r="R911" i="5"/>
  <c r="R912" i="5"/>
  <c r="R913" i="5"/>
  <c r="R914" i="5"/>
  <c r="R915" i="5"/>
  <c r="R916" i="5"/>
  <c r="R917" i="5"/>
  <c r="R918" i="5"/>
  <c r="R919" i="5"/>
  <c r="R920" i="5"/>
  <c r="R921" i="5"/>
  <c r="R922" i="5"/>
  <c r="R923" i="5"/>
  <c r="R924" i="5"/>
  <c r="R925" i="5"/>
  <c r="R926" i="5"/>
  <c r="R927" i="5"/>
  <c r="R928" i="5"/>
  <c r="R929" i="5"/>
  <c r="R930" i="5"/>
  <c r="R931" i="5"/>
  <c r="R932" i="5"/>
  <c r="R933" i="5"/>
  <c r="R934" i="5"/>
  <c r="R935" i="5"/>
  <c r="R936" i="5"/>
  <c r="R937" i="5"/>
  <c r="R938" i="5"/>
  <c r="R939" i="5"/>
  <c r="R940" i="5"/>
  <c r="R941" i="5"/>
  <c r="R942" i="5"/>
  <c r="R943" i="5"/>
  <c r="R944" i="5"/>
  <c r="R945" i="5"/>
  <c r="R946" i="5"/>
  <c r="R947" i="5"/>
  <c r="R948" i="5"/>
  <c r="R949" i="5"/>
  <c r="R950" i="5"/>
  <c r="R951" i="5"/>
  <c r="R952" i="5"/>
  <c r="R953" i="5"/>
  <c r="R954" i="5"/>
  <c r="R955" i="5"/>
  <c r="R956" i="5"/>
  <c r="R957" i="5"/>
  <c r="R958" i="5"/>
  <c r="R959" i="5"/>
  <c r="R960" i="5"/>
  <c r="R961" i="5"/>
  <c r="R962" i="5"/>
  <c r="R963" i="5"/>
  <c r="R964" i="5"/>
  <c r="R965" i="5"/>
  <c r="R966" i="5"/>
  <c r="R967" i="5"/>
  <c r="R968" i="5"/>
  <c r="R969" i="5"/>
  <c r="R970" i="5"/>
  <c r="R971" i="5"/>
  <c r="R972" i="5"/>
  <c r="R973" i="5"/>
  <c r="R974" i="5"/>
  <c r="R975" i="5"/>
  <c r="R976" i="5"/>
  <c r="R977" i="5"/>
  <c r="R978" i="5"/>
  <c r="R979" i="5"/>
  <c r="R980" i="5"/>
  <c r="R981" i="5"/>
  <c r="R982" i="5"/>
  <c r="R983" i="5"/>
  <c r="R984" i="5"/>
  <c r="R985" i="5"/>
  <c r="R986" i="5"/>
  <c r="R987" i="5"/>
  <c r="R988" i="5"/>
  <c r="R989" i="5"/>
  <c r="R990" i="5"/>
  <c r="R991" i="5"/>
  <c r="R992" i="5"/>
  <c r="R993" i="5"/>
  <c r="R994" i="5"/>
  <c r="R995" i="5"/>
  <c r="R996" i="5"/>
  <c r="R997" i="5"/>
  <c r="R998" i="5"/>
  <c r="R999" i="5"/>
  <c r="R1000" i="5"/>
  <c r="R1001" i="5"/>
  <c r="R1002" i="5"/>
  <c r="R1003" i="5"/>
  <c r="R1004" i="5"/>
  <c r="R1005" i="5"/>
  <c r="R1006" i="5"/>
  <c r="R1007" i="5"/>
  <c r="R1008" i="5"/>
  <c r="R1009" i="5"/>
  <c r="R1010" i="5"/>
  <c r="R1011" i="5"/>
  <c r="R1012" i="5"/>
  <c r="R1013" i="5"/>
  <c r="R1014" i="5"/>
  <c r="R1015" i="5"/>
  <c r="R1016" i="5"/>
  <c r="R1017" i="5"/>
  <c r="R1018" i="5"/>
  <c r="R1019" i="5"/>
  <c r="R1020" i="5"/>
  <c r="R1021" i="5"/>
  <c r="R1022" i="5"/>
  <c r="R1023" i="5"/>
  <c r="R1024" i="5"/>
  <c r="R1025" i="5"/>
  <c r="R1026" i="5"/>
  <c r="R1027" i="5"/>
  <c r="R1028" i="5"/>
  <c r="R1029" i="5"/>
  <c r="R1030" i="5"/>
  <c r="R1031" i="5"/>
  <c r="R1032" i="5"/>
  <c r="R1033" i="5"/>
  <c r="R1034" i="5"/>
  <c r="R1035" i="5"/>
  <c r="R1036" i="5"/>
  <c r="R1037" i="5"/>
  <c r="R1038" i="5"/>
  <c r="R1039" i="5"/>
  <c r="R1040" i="5"/>
  <c r="R1041" i="5"/>
  <c r="R1042" i="5"/>
  <c r="R1043" i="5"/>
  <c r="R1044" i="5"/>
  <c r="R1045" i="5"/>
  <c r="R1046" i="5"/>
  <c r="R1047" i="5"/>
  <c r="R1048" i="5"/>
  <c r="R1049" i="5"/>
  <c r="R1050" i="5"/>
  <c r="R1051" i="5"/>
  <c r="R1052" i="5"/>
  <c r="R1053" i="5"/>
  <c r="R1054" i="5"/>
  <c r="R1055" i="5"/>
  <c r="R1056" i="5"/>
  <c r="R1057" i="5"/>
  <c r="R1058" i="5"/>
  <c r="R1059" i="5"/>
  <c r="R1060" i="5"/>
  <c r="R1061" i="5"/>
  <c r="R1062" i="5"/>
  <c r="R1063" i="5"/>
  <c r="R1064" i="5"/>
  <c r="R1065" i="5"/>
  <c r="R1066" i="5"/>
  <c r="R1067" i="5"/>
  <c r="R1068" i="5"/>
  <c r="R1069" i="5"/>
  <c r="R1070" i="5"/>
  <c r="R1071" i="5"/>
  <c r="J715" i="5"/>
  <c r="J716" i="5"/>
  <c r="J717" i="5"/>
  <c r="J718" i="5"/>
  <c r="J719" i="5"/>
  <c r="J720" i="5"/>
  <c r="J721" i="5"/>
  <c r="J722" i="5"/>
  <c r="J723" i="5"/>
  <c r="J724" i="5"/>
  <c r="J725" i="5"/>
  <c r="J726" i="5"/>
  <c r="J727" i="5"/>
  <c r="J728" i="5"/>
  <c r="J729" i="5"/>
  <c r="J730" i="5"/>
  <c r="J731" i="5"/>
  <c r="J732" i="5"/>
  <c r="J733" i="5"/>
  <c r="J734" i="5"/>
  <c r="J735" i="5"/>
  <c r="J736" i="5"/>
  <c r="J737" i="5"/>
  <c r="J738" i="5"/>
  <c r="J739" i="5"/>
  <c r="J740" i="5"/>
  <c r="J741" i="5"/>
  <c r="J742" i="5"/>
  <c r="J743" i="5"/>
  <c r="J744" i="5"/>
  <c r="J745" i="5"/>
  <c r="J746" i="5"/>
  <c r="J747" i="5"/>
  <c r="J748" i="5"/>
  <c r="J749" i="5"/>
  <c r="J750" i="5"/>
  <c r="J751" i="5"/>
  <c r="J752" i="5"/>
  <c r="J753" i="5"/>
  <c r="J754" i="5"/>
  <c r="J755" i="5"/>
  <c r="J756" i="5"/>
  <c r="J757" i="5"/>
  <c r="J758" i="5"/>
  <c r="J759" i="5"/>
  <c r="J760" i="5"/>
  <c r="J761" i="5"/>
  <c r="J762" i="5"/>
  <c r="J763" i="5"/>
  <c r="J764" i="5"/>
  <c r="J765" i="5"/>
  <c r="J766" i="5"/>
  <c r="J767" i="5"/>
  <c r="J768" i="5"/>
  <c r="J769" i="5"/>
  <c r="J770" i="5"/>
  <c r="J771" i="5"/>
  <c r="J772" i="5"/>
  <c r="J773" i="5"/>
  <c r="J774" i="5"/>
  <c r="J775" i="5"/>
  <c r="J776" i="5"/>
  <c r="J777" i="5"/>
  <c r="J778" i="5"/>
  <c r="J779" i="5"/>
  <c r="J780" i="5"/>
  <c r="J781" i="5"/>
  <c r="J782" i="5"/>
  <c r="J783" i="5"/>
  <c r="J784" i="5"/>
  <c r="J785" i="5"/>
  <c r="J786" i="5"/>
  <c r="J787" i="5"/>
  <c r="J788" i="5"/>
  <c r="J789" i="5"/>
  <c r="J790" i="5"/>
  <c r="J791" i="5"/>
  <c r="J792" i="5"/>
  <c r="J793" i="5"/>
  <c r="J794" i="5"/>
  <c r="J795" i="5"/>
  <c r="J796" i="5"/>
  <c r="J797" i="5"/>
  <c r="J798" i="5"/>
  <c r="J799" i="5"/>
  <c r="J800" i="5"/>
  <c r="J801" i="5"/>
  <c r="J802" i="5"/>
  <c r="J803" i="5"/>
  <c r="J804" i="5"/>
  <c r="J805" i="5"/>
  <c r="J806" i="5"/>
  <c r="J807" i="5"/>
  <c r="J808" i="5"/>
  <c r="J809" i="5"/>
  <c r="J810" i="5"/>
  <c r="J811" i="5"/>
  <c r="J812" i="5"/>
  <c r="J813" i="5"/>
  <c r="J814" i="5"/>
  <c r="J815" i="5"/>
  <c r="J816" i="5"/>
  <c r="J817" i="5"/>
  <c r="J818" i="5"/>
  <c r="J819" i="5"/>
  <c r="J820" i="5"/>
  <c r="J821" i="5"/>
  <c r="J822" i="5"/>
  <c r="J823" i="5"/>
  <c r="J824" i="5"/>
  <c r="J825" i="5"/>
  <c r="J826" i="5"/>
  <c r="J827" i="5"/>
  <c r="J828" i="5"/>
  <c r="J829" i="5"/>
  <c r="J830" i="5"/>
  <c r="J831" i="5"/>
  <c r="J832" i="5"/>
  <c r="J833" i="5"/>
  <c r="J834" i="5"/>
  <c r="J835" i="5"/>
  <c r="J836" i="5"/>
  <c r="J837" i="5"/>
  <c r="J838" i="5"/>
  <c r="J839" i="5"/>
  <c r="J840" i="5"/>
  <c r="J841" i="5"/>
  <c r="J842" i="5"/>
  <c r="J843" i="5"/>
  <c r="J844" i="5"/>
  <c r="J845" i="5"/>
  <c r="J846" i="5"/>
  <c r="J847" i="5"/>
  <c r="J848" i="5"/>
  <c r="J849" i="5"/>
  <c r="J850" i="5"/>
  <c r="J851" i="5"/>
  <c r="J852" i="5"/>
  <c r="J853" i="5"/>
  <c r="J854" i="5"/>
  <c r="J855" i="5"/>
  <c r="J856" i="5"/>
  <c r="J857" i="5"/>
  <c r="J858" i="5"/>
  <c r="J859" i="5"/>
  <c r="J860" i="5"/>
  <c r="J861" i="5"/>
  <c r="J862" i="5"/>
  <c r="J863" i="5"/>
  <c r="J864" i="5"/>
  <c r="J865" i="5"/>
  <c r="J866" i="5"/>
  <c r="J867" i="5"/>
  <c r="J868" i="5"/>
  <c r="J869" i="5"/>
  <c r="J870" i="5"/>
  <c r="J871" i="5"/>
  <c r="J872" i="5"/>
  <c r="J873" i="5"/>
  <c r="J874" i="5"/>
  <c r="J875" i="5"/>
  <c r="J876" i="5"/>
  <c r="J877" i="5"/>
  <c r="J878" i="5"/>
  <c r="J879" i="5"/>
  <c r="J880" i="5"/>
  <c r="J881" i="5"/>
  <c r="J882" i="5"/>
  <c r="J883" i="5"/>
  <c r="J884" i="5"/>
  <c r="J885" i="5"/>
  <c r="J886" i="5"/>
  <c r="J887" i="5"/>
  <c r="J888" i="5"/>
  <c r="J889" i="5"/>
  <c r="J890" i="5"/>
  <c r="J891" i="5"/>
  <c r="J892" i="5"/>
  <c r="J893" i="5"/>
  <c r="J894" i="5"/>
  <c r="J895" i="5"/>
  <c r="J896" i="5"/>
  <c r="J897" i="5"/>
  <c r="J898" i="5"/>
  <c r="J899" i="5"/>
  <c r="J900" i="5"/>
  <c r="J901" i="5"/>
  <c r="J902" i="5"/>
  <c r="J903" i="5"/>
  <c r="J904" i="5"/>
  <c r="J905" i="5"/>
  <c r="J906" i="5"/>
  <c r="J907" i="5"/>
  <c r="J908" i="5"/>
  <c r="J909" i="5"/>
  <c r="J910" i="5"/>
  <c r="J911" i="5"/>
  <c r="J912" i="5"/>
  <c r="J913" i="5"/>
  <c r="J914" i="5"/>
  <c r="J915" i="5"/>
  <c r="J916" i="5"/>
  <c r="J917" i="5"/>
  <c r="J918" i="5"/>
  <c r="J919" i="5"/>
  <c r="J920" i="5"/>
  <c r="J921" i="5"/>
  <c r="J922" i="5"/>
  <c r="J923" i="5"/>
  <c r="J924" i="5"/>
  <c r="J925" i="5"/>
  <c r="J926" i="5"/>
  <c r="J927" i="5"/>
  <c r="J928" i="5"/>
  <c r="J929" i="5"/>
  <c r="J930" i="5"/>
  <c r="J931" i="5"/>
  <c r="J932" i="5"/>
  <c r="J933" i="5"/>
  <c r="J934" i="5"/>
  <c r="J935" i="5"/>
  <c r="J936" i="5"/>
  <c r="J937" i="5"/>
  <c r="J938" i="5"/>
  <c r="J939" i="5"/>
  <c r="J940" i="5"/>
  <c r="J941" i="5"/>
  <c r="J942" i="5"/>
  <c r="J943" i="5"/>
  <c r="J944" i="5"/>
  <c r="J945" i="5"/>
  <c r="J946" i="5"/>
  <c r="J947" i="5"/>
  <c r="J948" i="5"/>
  <c r="J949" i="5"/>
  <c r="J950" i="5"/>
  <c r="J951" i="5"/>
  <c r="J952" i="5"/>
  <c r="J953" i="5"/>
  <c r="J954" i="5"/>
  <c r="J955" i="5"/>
  <c r="J956" i="5"/>
  <c r="J957" i="5"/>
  <c r="J958" i="5"/>
  <c r="J959" i="5"/>
  <c r="J960" i="5"/>
  <c r="J961" i="5"/>
  <c r="J962" i="5"/>
  <c r="J963" i="5"/>
  <c r="J964" i="5"/>
  <c r="J965" i="5"/>
  <c r="J966" i="5"/>
  <c r="J967" i="5"/>
  <c r="J968" i="5"/>
  <c r="J969" i="5"/>
  <c r="J970" i="5"/>
  <c r="J971" i="5"/>
  <c r="J972" i="5"/>
  <c r="J973" i="5"/>
  <c r="J974" i="5"/>
  <c r="J975" i="5"/>
  <c r="J976" i="5"/>
  <c r="J977" i="5"/>
  <c r="J978" i="5"/>
  <c r="J979" i="5"/>
  <c r="J980" i="5"/>
  <c r="J981" i="5"/>
  <c r="J982" i="5"/>
  <c r="J983" i="5"/>
  <c r="J984" i="5"/>
  <c r="J985" i="5"/>
  <c r="J986" i="5"/>
  <c r="J987" i="5"/>
  <c r="J988" i="5"/>
  <c r="J989" i="5"/>
  <c r="J990" i="5"/>
  <c r="J991" i="5"/>
  <c r="J992" i="5"/>
  <c r="J993" i="5"/>
  <c r="J994" i="5"/>
  <c r="J995" i="5"/>
  <c r="J996" i="5"/>
  <c r="J997" i="5"/>
  <c r="J998" i="5"/>
  <c r="J999" i="5"/>
  <c r="J1000" i="5"/>
  <c r="J1001" i="5"/>
  <c r="J1002" i="5"/>
  <c r="J1003" i="5"/>
  <c r="J1004" i="5"/>
  <c r="J1005" i="5"/>
  <c r="J1006" i="5"/>
  <c r="J1007" i="5"/>
  <c r="J1008" i="5"/>
  <c r="J1009" i="5"/>
  <c r="J1010" i="5"/>
  <c r="J1011" i="5"/>
  <c r="J1012" i="5"/>
  <c r="J1013" i="5"/>
  <c r="J1014" i="5"/>
  <c r="J1015" i="5"/>
  <c r="J1016" i="5"/>
  <c r="J1017" i="5"/>
  <c r="J1018" i="5"/>
  <c r="J1019" i="5"/>
  <c r="J1020" i="5"/>
  <c r="J1021" i="5"/>
  <c r="J1022" i="5"/>
  <c r="J1023" i="5"/>
  <c r="J1024" i="5"/>
  <c r="J1025" i="5"/>
  <c r="J1026" i="5"/>
  <c r="J1027" i="5"/>
  <c r="J1028" i="5"/>
  <c r="J1029" i="5"/>
  <c r="J1030" i="5"/>
  <c r="J1031" i="5"/>
  <c r="J1032" i="5"/>
  <c r="J1033" i="5"/>
  <c r="J1034" i="5"/>
  <c r="J1035" i="5"/>
  <c r="J1036" i="5"/>
  <c r="J1037" i="5"/>
  <c r="J1038" i="5"/>
  <c r="J1039" i="5"/>
  <c r="J1040" i="5"/>
  <c r="J1041" i="5"/>
  <c r="J1042" i="5"/>
  <c r="J1043" i="5"/>
  <c r="J1044" i="5"/>
  <c r="J1045" i="5"/>
  <c r="J1046" i="5"/>
  <c r="J1047" i="5"/>
  <c r="J1048" i="5"/>
  <c r="J1049" i="5"/>
  <c r="J1050" i="5"/>
  <c r="J1051" i="5"/>
  <c r="J1052" i="5"/>
  <c r="J1053" i="5"/>
  <c r="J1054" i="5"/>
  <c r="J1055" i="5"/>
  <c r="J1056" i="5"/>
  <c r="J1057" i="5"/>
  <c r="J1058" i="5"/>
  <c r="J1059" i="5"/>
  <c r="J1060" i="5"/>
  <c r="J1061" i="5"/>
  <c r="J1062" i="5"/>
  <c r="J1063" i="5"/>
  <c r="J1064" i="5"/>
  <c r="J1065" i="5"/>
  <c r="J1066" i="5"/>
  <c r="J1067" i="5"/>
  <c r="J1068" i="5"/>
  <c r="J1069" i="5"/>
  <c r="J1070" i="5"/>
  <c r="J1071" i="5"/>
  <c r="J38" i="151" l="1"/>
  <c r="J36" i="151"/>
  <c r="J46" i="151"/>
  <c r="J44" i="151"/>
  <c r="J43" i="151"/>
  <c r="J40" i="151"/>
  <c r="J37" i="151"/>
  <c r="J35" i="151"/>
  <c r="J47" i="151"/>
  <c r="J45" i="151"/>
  <c r="J42" i="151"/>
  <c r="J41" i="151"/>
  <c r="J39" i="151"/>
  <c r="B19" i="151" l="1"/>
  <c r="C19" i="151"/>
  <c r="D19" i="151"/>
  <c r="E19" i="151"/>
  <c r="F19" i="151"/>
  <c r="G19" i="151"/>
  <c r="B20" i="151"/>
  <c r="C20" i="151"/>
  <c r="D20" i="151"/>
  <c r="E20" i="151"/>
  <c r="F20" i="151"/>
  <c r="G20" i="151"/>
  <c r="B21" i="151"/>
  <c r="C21" i="151"/>
  <c r="D21" i="151"/>
  <c r="E21" i="151"/>
  <c r="F21" i="151"/>
  <c r="G21" i="151"/>
  <c r="B22" i="151"/>
  <c r="C22" i="151"/>
  <c r="D22" i="151"/>
  <c r="E22" i="151"/>
  <c r="F22" i="151"/>
  <c r="G22" i="151"/>
  <c r="B23" i="151"/>
  <c r="C23" i="151"/>
  <c r="D23" i="151"/>
  <c r="E23" i="151"/>
  <c r="F23" i="151"/>
  <c r="G23" i="151"/>
  <c r="B24" i="151"/>
  <c r="C24" i="151"/>
  <c r="D24" i="151"/>
  <c r="E24" i="151"/>
  <c r="F24" i="151"/>
  <c r="G24" i="151"/>
  <c r="B25" i="151"/>
  <c r="C25" i="151"/>
  <c r="D25" i="151"/>
  <c r="E25" i="151"/>
  <c r="F25" i="151"/>
  <c r="G25" i="151"/>
  <c r="B26" i="151"/>
  <c r="C26" i="151"/>
  <c r="D26" i="151"/>
  <c r="E26" i="151"/>
  <c r="F26" i="151"/>
  <c r="G26" i="151"/>
  <c r="B27" i="151"/>
  <c r="C27" i="151"/>
  <c r="D27" i="151"/>
  <c r="E27" i="151"/>
  <c r="F27" i="151"/>
  <c r="G27" i="151"/>
  <c r="B28" i="151"/>
  <c r="C28" i="151"/>
  <c r="D28" i="151"/>
  <c r="E28" i="151"/>
  <c r="F28" i="151"/>
  <c r="G28" i="151"/>
  <c r="B29" i="151"/>
  <c r="C29" i="151"/>
  <c r="D29" i="151"/>
  <c r="E29" i="151"/>
  <c r="F29" i="151"/>
  <c r="G29" i="151"/>
  <c r="B30" i="151"/>
  <c r="C30" i="151"/>
  <c r="D30" i="151"/>
  <c r="E30" i="151"/>
  <c r="F30" i="151"/>
  <c r="G30" i="151"/>
  <c r="B31" i="151"/>
  <c r="C31" i="151"/>
  <c r="D31" i="151"/>
  <c r="E31" i="151"/>
  <c r="F31" i="151"/>
  <c r="G31" i="151"/>
  <c r="B32" i="151"/>
  <c r="C32" i="151"/>
  <c r="D32" i="151"/>
  <c r="E32" i="151"/>
  <c r="F32" i="151"/>
  <c r="G32" i="151"/>
  <c r="B33" i="151"/>
  <c r="C33" i="151"/>
  <c r="D33" i="151"/>
  <c r="E33" i="151"/>
  <c r="F33" i="151"/>
  <c r="G33" i="151"/>
  <c r="B34" i="151"/>
  <c r="C34" i="151"/>
  <c r="D34" i="151"/>
  <c r="E34" i="151"/>
  <c r="F34" i="151"/>
  <c r="G34" i="151"/>
  <c r="B3" i="151"/>
  <c r="C3" i="151"/>
  <c r="D3" i="151"/>
  <c r="E3" i="151"/>
  <c r="F3" i="151"/>
  <c r="G3" i="151"/>
  <c r="B4" i="151"/>
  <c r="C4" i="151"/>
  <c r="D4" i="151"/>
  <c r="E4" i="151"/>
  <c r="F4" i="151"/>
  <c r="G4" i="151"/>
  <c r="B5" i="151"/>
  <c r="C5" i="151"/>
  <c r="D5" i="151"/>
  <c r="E5" i="151"/>
  <c r="G5" i="151"/>
  <c r="B6" i="151"/>
  <c r="C6" i="151"/>
  <c r="D6" i="151"/>
  <c r="E6" i="151"/>
  <c r="F6" i="151"/>
  <c r="G6" i="151"/>
  <c r="B7" i="151"/>
  <c r="C7" i="151"/>
  <c r="D7" i="151"/>
  <c r="E7" i="151"/>
  <c r="F7" i="151"/>
  <c r="G7" i="151"/>
  <c r="B8" i="151"/>
  <c r="C8" i="151"/>
  <c r="D8" i="151"/>
  <c r="E8" i="151"/>
  <c r="F8" i="151"/>
  <c r="G8" i="151"/>
  <c r="B9" i="151"/>
  <c r="C9" i="151"/>
  <c r="D9" i="151"/>
  <c r="E9" i="151"/>
  <c r="F9" i="151"/>
  <c r="G9" i="151"/>
  <c r="B10" i="151"/>
  <c r="C10" i="151"/>
  <c r="D10" i="151"/>
  <c r="E10" i="151"/>
  <c r="F10" i="151"/>
  <c r="G10" i="151"/>
  <c r="B11" i="151"/>
  <c r="C11" i="151"/>
  <c r="D11" i="151"/>
  <c r="E11" i="151"/>
  <c r="F11" i="151"/>
  <c r="G11" i="151"/>
  <c r="B12" i="151"/>
  <c r="C12" i="151"/>
  <c r="D12" i="151"/>
  <c r="E12" i="151"/>
  <c r="F12" i="151"/>
  <c r="G12" i="151"/>
  <c r="B13" i="151"/>
  <c r="C13" i="151"/>
  <c r="D13" i="151"/>
  <c r="E13" i="151"/>
  <c r="F13" i="151"/>
  <c r="G13" i="151"/>
  <c r="B14" i="151"/>
  <c r="C14" i="151"/>
  <c r="D14" i="151"/>
  <c r="E14" i="151"/>
  <c r="F14" i="151"/>
  <c r="G14" i="151"/>
  <c r="B15" i="151"/>
  <c r="C15" i="151"/>
  <c r="D15" i="151"/>
  <c r="E15" i="151"/>
  <c r="F15" i="151"/>
  <c r="G15" i="151"/>
  <c r="B16" i="151"/>
  <c r="C16" i="151"/>
  <c r="D16" i="151"/>
  <c r="E16" i="151"/>
  <c r="F16" i="151"/>
  <c r="G16" i="151"/>
  <c r="B17" i="151"/>
  <c r="C17" i="151"/>
  <c r="D17" i="151"/>
  <c r="E17" i="151"/>
  <c r="F17" i="151"/>
  <c r="G17" i="151"/>
  <c r="B18" i="151"/>
  <c r="C18" i="151"/>
  <c r="D18" i="151"/>
  <c r="E18" i="151"/>
  <c r="F18" i="151"/>
  <c r="G18" i="151"/>
  <c r="C2" i="151"/>
  <c r="D2" i="151"/>
  <c r="E2" i="151"/>
  <c r="F2" i="151"/>
  <c r="G2" i="151"/>
  <c r="B2" i="151"/>
  <c r="B18" i="150"/>
  <c r="B25" i="150"/>
  <c r="C25" i="150"/>
  <c r="D25" i="150"/>
  <c r="E25" i="150"/>
  <c r="G25" i="150"/>
  <c r="B26" i="150"/>
  <c r="C26" i="150"/>
  <c r="D26" i="150"/>
  <c r="E26" i="150"/>
  <c r="G26" i="150"/>
  <c r="B27" i="150"/>
  <c r="C27" i="150"/>
  <c r="D27" i="150"/>
  <c r="E27" i="150"/>
  <c r="G27" i="150"/>
  <c r="B28" i="150"/>
  <c r="C28" i="150"/>
  <c r="D28" i="150"/>
  <c r="E28" i="150"/>
  <c r="G28" i="150"/>
  <c r="B29" i="150"/>
  <c r="C29" i="150"/>
  <c r="D29" i="150"/>
  <c r="E29" i="150"/>
  <c r="G29" i="150"/>
  <c r="B30" i="150"/>
  <c r="C30" i="150"/>
  <c r="D30" i="150"/>
  <c r="E30" i="150"/>
  <c r="G30" i="150"/>
  <c r="B31" i="150"/>
  <c r="C31" i="150"/>
  <c r="D31" i="150"/>
  <c r="E31" i="150"/>
  <c r="G31" i="150"/>
  <c r="B32" i="150"/>
  <c r="C32" i="150"/>
  <c r="D32" i="150"/>
  <c r="E32" i="150"/>
  <c r="G32" i="150"/>
  <c r="B33" i="150"/>
  <c r="C33" i="150"/>
  <c r="D33" i="150"/>
  <c r="E33" i="150"/>
  <c r="G33" i="150"/>
  <c r="B34" i="150"/>
  <c r="C34" i="150"/>
  <c r="D34" i="150"/>
  <c r="E34" i="150"/>
  <c r="G34" i="150"/>
  <c r="B35" i="150"/>
  <c r="C35" i="150"/>
  <c r="D35" i="150"/>
  <c r="E35" i="150"/>
  <c r="G35" i="150"/>
  <c r="B9" i="150"/>
  <c r="C9" i="150"/>
  <c r="D9" i="150"/>
  <c r="E9" i="150"/>
  <c r="G9" i="150"/>
  <c r="B10" i="150"/>
  <c r="C10" i="150"/>
  <c r="D10" i="150"/>
  <c r="E10" i="150"/>
  <c r="G10" i="150"/>
  <c r="B11" i="150"/>
  <c r="C11" i="150"/>
  <c r="D11" i="150"/>
  <c r="E11" i="150"/>
  <c r="G11" i="150"/>
  <c r="B12" i="150"/>
  <c r="C12" i="150"/>
  <c r="D12" i="150"/>
  <c r="E12" i="150"/>
  <c r="G12" i="150"/>
  <c r="B13" i="150"/>
  <c r="C13" i="150"/>
  <c r="D13" i="150"/>
  <c r="E13" i="150"/>
  <c r="G13" i="150"/>
  <c r="B14" i="150"/>
  <c r="C14" i="150"/>
  <c r="D14" i="150"/>
  <c r="E14" i="150"/>
  <c r="G14" i="150"/>
  <c r="B15" i="150"/>
  <c r="C15" i="150"/>
  <c r="D15" i="150"/>
  <c r="E15" i="150"/>
  <c r="G15" i="150"/>
  <c r="B16" i="150"/>
  <c r="C16" i="150"/>
  <c r="D16" i="150"/>
  <c r="E16" i="150"/>
  <c r="G16" i="150"/>
  <c r="B17" i="150"/>
  <c r="C17" i="150"/>
  <c r="D17" i="150"/>
  <c r="E17" i="150"/>
  <c r="G17" i="150"/>
  <c r="C18" i="150"/>
  <c r="D18" i="150"/>
  <c r="E18" i="150"/>
  <c r="G18" i="150"/>
  <c r="B19" i="150"/>
  <c r="C19" i="150"/>
  <c r="D19" i="150"/>
  <c r="E19" i="150"/>
  <c r="G19" i="150"/>
  <c r="B20" i="150"/>
  <c r="C20" i="150"/>
  <c r="D20" i="150"/>
  <c r="E20" i="150"/>
  <c r="G20" i="150"/>
  <c r="B21" i="150"/>
  <c r="C21" i="150"/>
  <c r="D21" i="150"/>
  <c r="E21" i="150"/>
  <c r="G21" i="150"/>
  <c r="B22" i="150"/>
  <c r="C22" i="150"/>
  <c r="D22" i="150"/>
  <c r="E22" i="150"/>
  <c r="G22" i="150"/>
  <c r="B23" i="150"/>
  <c r="C23" i="150"/>
  <c r="D23" i="150"/>
  <c r="E23" i="150"/>
  <c r="G23" i="150"/>
  <c r="B24" i="150"/>
  <c r="C24" i="150"/>
  <c r="D24" i="150"/>
  <c r="E24" i="150"/>
  <c r="G24" i="150"/>
  <c r="C3" i="150"/>
  <c r="D3" i="150"/>
  <c r="E3" i="150"/>
  <c r="G3" i="150"/>
  <c r="C4" i="150"/>
  <c r="D4" i="150"/>
  <c r="E4" i="150"/>
  <c r="G4" i="150"/>
  <c r="C5" i="150"/>
  <c r="D5" i="150"/>
  <c r="E5" i="150"/>
  <c r="G5" i="150"/>
  <c r="C6" i="150"/>
  <c r="D6" i="150"/>
  <c r="E6" i="150"/>
  <c r="G6" i="150"/>
  <c r="C7" i="150"/>
  <c r="D7" i="150"/>
  <c r="E7" i="150"/>
  <c r="G7" i="150"/>
  <c r="C8" i="150"/>
  <c r="D8" i="150"/>
  <c r="E8" i="150"/>
  <c r="G8" i="150"/>
  <c r="B3" i="150"/>
  <c r="B4" i="150"/>
  <c r="B5" i="150"/>
  <c r="B6" i="150"/>
  <c r="B7" i="150"/>
  <c r="B8" i="150"/>
  <c r="D2" i="150"/>
  <c r="E2" i="150"/>
  <c r="G2" i="150"/>
  <c r="C2" i="150"/>
  <c r="B2" i="150"/>
  <c r="K2" i="150" l="1"/>
  <c r="L2" i="150"/>
  <c r="P2" i="150"/>
  <c r="N2" i="150"/>
  <c r="M2" i="150"/>
  <c r="J2" i="151"/>
  <c r="J17" i="151"/>
  <c r="J15" i="151"/>
  <c r="J13" i="151"/>
  <c r="J11" i="151"/>
  <c r="J9" i="151"/>
  <c r="J7" i="151"/>
  <c r="J4" i="151"/>
  <c r="J34" i="151"/>
  <c r="J32" i="151"/>
  <c r="J30" i="151"/>
  <c r="J28" i="151"/>
  <c r="J26" i="151"/>
  <c r="J24" i="151"/>
  <c r="J22" i="151"/>
  <c r="J20" i="151"/>
  <c r="J18" i="151"/>
  <c r="J16" i="151"/>
  <c r="J14" i="151"/>
  <c r="J12" i="151"/>
  <c r="J10" i="151"/>
  <c r="J8" i="151"/>
  <c r="J6" i="151"/>
  <c r="J5" i="151"/>
  <c r="J3" i="151"/>
  <c r="J33" i="151"/>
  <c r="J31" i="151"/>
  <c r="J29" i="151"/>
  <c r="J27" i="151"/>
  <c r="J25" i="151"/>
  <c r="J23" i="151"/>
  <c r="J21" i="151"/>
  <c r="J19" i="151"/>
  <c r="J4" i="150"/>
  <c r="J3" i="150"/>
  <c r="J8" i="150"/>
  <c r="J7" i="150"/>
  <c r="J6" i="150"/>
  <c r="J2" i="150"/>
  <c r="J5" i="150"/>
  <c r="J22" i="150"/>
  <c r="J17" i="150"/>
  <c r="J13" i="150"/>
  <c r="J9" i="150"/>
  <c r="J32" i="150"/>
  <c r="J28" i="150"/>
  <c r="J18" i="150"/>
  <c r="J21" i="150"/>
  <c r="J16" i="150"/>
  <c r="J12" i="150"/>
  <c r="J35" i="150"/>
  <c r="J31" i="150"/>
  <c r="J27" i="150"/>
  <c r="J24" i="150"/>
  <c r="J20" i="150"/>
  <c r="J15" i="150"/>
  <c r="J11" i="150"/>
  <c r="J34" i="150"/>
  <c r="J30" i="150"/>
  <c r="J26" i="150"/>
  <c r="J23" i="150"/>
  <c r="J19" i="150"/>
  <c r="J14" i="150"/>
  <c r="J10" i="150"/>
  <c r="J33" i="150"/>
  <c r="J29" i="150"/>
  <c r="J25" i="150"/>
  <c r="L1" i="150"/>
  <c r="K1" i="150"/>
  <c r="P1" i="150"/>
  <c r="N1" i="150"/>
  <c r="L1" i="151"/>
  <c r="K1" i="151"/>
  <c r="P1" i="151"/>
  <c r="O1" i="151"/>
  <c r="M1" i="151"/>
  <c r="N1" i="151"/>
  <c r="M1" i="150"/>
  <c r="J557" i="5"/>
  <c r="R557" i="5"/>
  <c r="R1" i="150" l="1"/>
  <c r="Q1" i="151"/>
  <c r="R408" i="5" l="1"/>
  <c r="R493" i="5" l="1"/>
  <c r="R494" i="5"/>
  <c r="R495" i="5"/>
  <c r="R496" i="5"/>
  <c r="R497" i="5"/>
  <c r="R498" i="5"/>
  <c r="R499" i="5"/>
  <c r="R500" i="5"/>
  <c r="R501" i="5"/>
  <c r="R502" i="5"/>
  <c r="R503" i="5"/>
  <c r="R504" i="5"/>
  <c r="R505" i="5"/>
  <c r="R506" i="5"/>
  <c r="R507" i="5"/>
  <c r="R508" i="5"/>
  <c r="R509" i="5"/>
  <c r="R510" i="5"/>
  <c r="R511" i="5"/>
  <c r="R512" i="5"/>
  <c r="R513" i="5"/>
  <c r="R514" i="5"/>
  <c r="R515" i="5"/>
  <c r="R516" i="5"/>
  <c r="R517" i="5"/>
  <c r="R518" i="5"/>
  <c r="R519" i="5"/>
  <c r="R520" i="5"/>
  <c r="R521" i="5"/>
  <c r="R522" i="5"/>
  <c r="R523" i="5"/>
  <c r="R524" i="5"/>
  <c r="R525" i="5"/>
  <c r="R526" i="5"/>
  <c r="R527" i="5"/>
  <c r="R528" i="5"/>
  <c r="R529" i="5"/>
  <c r="R530" i="5"/>
  <c r="R531" i="5"/>
  <c r="R532" i="5"/>
  <c r="R533" i="5"/>
  <c r="R534" i="5"/>
  <c r="R535" i="5"/>
  <c r="R536" i="5"/>
  <c r="R537" i="5"/>
  <c r="R538" i="5"/>
  <c r="R539" i="5"/>
  <c r="R540" i="5"/>
  <c r="R541" i="5"/>
  <c r="R542" i="5"/>
  <c r="R543" i="5"/>
  <c r="R544" i="5"/>
  <c r="R545" i="5"/>
  <c r="R546" i="5"/>
  <c r="R547" i="5"/>
  <c r="R548" i="5"/>
  <c r="R549" i="5"/>
  <c r="R550" i="5"/>
  <c r="R551" i="5"/>
  <c r="R552" i="5"/>
  <c r="R553" i="5"/>
  <c r="R554" i="5"/>
  <c r="R555" i="5"/>
  <c r="R556" i="5"/>
  <c r="R558" i="5"/>
  <c r="R559" i="5"/>
  <c r="R560" i="5"/>
  <c r="R561" i="5"/>
  <c r="R562" i="5"/>
  <c r="R563" i="5"/>
  <c r="R564" i="5"/>
  <c r="R565" i="5"/>
  <c r="R566" i="5"/>
  <c r="R567" i="5"/>
  <c r="R568" i="5"/>
  <c r="R569" i="5"/>
  <c r="R570" i="5"/>
  <c r="R571" i="5"/>
  <c r="R572" i="5"/>
  <c r="R573" i="5"/>
  <c r="R574" i="5"/>
  <c r="R575" i="5"/>
  <c r="R576" i="5"/>
  <c r="R577" i="5"/>
  <c r="R578" i="5"/>
  <c r="R579" i="5"/>
  <c r="R580" i="5"/>
  <c r="R581" i="5"/>
  <c r="R582" i="5"/>
  <c r="R583" i="5"/>
  <c r="R584" i="5"/>
  <c r="R585" i="5"/>
  <c r="R586" i="5"/>
  <c r="R587" i="5"/>
  <c r="R588" i="5"/>
  <c r="R589" i="5"/>
  <c r="R590" i="5"/>
  <c r="R591" i="5"/>
  <c r="R592" i="5"/>
  <c r="R593" i="5"/>
  <c r="R594" i="5"/>
  <c r="R595" i="5"/>
  <c r="R596" i="5"/>
  <c r="R597" i="5"/>
  <c r="R598" i="5"/>
  <c r="R599" i="5"/>
  <c r="R600" i="5"/>
  <c r="R601" i="5"/>
  <c r="R602" i="5"/>
  <c r="R603" i="5"/>
  <c r="R604" i="5"/>
  <c r="R605" i="5"/>
  <c r="R606" i="5"/>
  <c r="R607" i="5"/>
  <c r="R608" i="5"/>
  <c r="R609" i="5"/>
  <c r="R610" i="5"/>
  <c r="R611" i="5"/>
  <c r="R612" i="5"/>
  <c r="R613" i="5"/>
  <c r="R614" i="5"/>
  <c r="R615" i="5"/>
  <c r="R616" i="5"/>
  <c r="R617" i="5"/>
  <c r="R618" i="5"/>
  <c r="R619" i="5"/>
  <c r="R620" i="5"/>
  <c r="R621" i="5"/>
  <c r="R622" i="5"/>
  <c r="R623" i="5"/>
  <c r="R624" i="5"/>
  <c r="R625" i="5"/>
  <c r="R626" i="5"/>
  <c r="R627" i="5"/>
  <c r="R628" i="5"/>
  <c r="R629" i="5"/>
  <c r="R630" i="5"/>
  <c r="R631" i="5"/>
  <c r="R632" i="5"/>
  <c r="R633" i="5"/>
  <c r="R634" i="5"/>
  <c r="R635" i="5"/>
  <c r="R636" i="5"/>
  <c r="R637" i="5"/>
  <c r="R638" i="5"/>
  <c r="R639" i="5"/>
  <c r="R640" i="5"/>
  <c r="R641" i="5"/>
  <c r="R642" i="5"/>
  <c r="R643" i="5"/>
  <c r="R644" i="5"/>
  <c r="R645" i="5"/>
  <c r="R646" i="5"/>
  <c r="R647" i="5"/>
  <c r="R648" i="5"/>
  <c r="R649" i="5"/>
  <c r="R650" i="5"/>
  <c r="R651" i="5"/>
  <c r="R652" i="5"/>
  <c r="R653" i="5"/>
  <c r="R654" i="5"/>
  <c r="R655" i="5"/>
  <c r="R656" i="5"/>
  <c r="R657" i="5"/>
  <c r="R658" i="5"/>
  <c r="R659" i="5"/>
  <c r="R660" i="5"/>
  <c r="R661" i="5"/>
  <c r="R662" i="5"/>
  <c r="R663" i="5"/>
  <c r="R664" i="5"/>
  <c r="R665" i="5"/>
  <c r="R666" i="5"/>
  <c r="R667" i="5"/>
  <c r="R668" i="5"/>
  <c r="R669" i="5"/>
  <c r="R670" i="5"/>
  <c r="R671" i="5"/>
  <c r="R672" i="5"/>
  <c r="R673" i="5"/>
  <c r="R674" i="5"/>
  <c r="R675" i="5"/>
  <c r="R676" i="5"/>
  <c r="R677" i="5"/>
  <c r="R678" i="5"/>
  <c r="R679" i="5"/>
  <c r="R680" i="5"/>
  <c r="R681" i="5"/>
  <c r="R682" i="5"/>
  <c r="R683" i="5"/>
  <c r="R684" i="5"/>
  <c r="R685" i="5"/>
  <c r="R686" i="5"/>
  <c r="R687" i="5"/>
  <c r="R688" i="5"/>
  <c r="R689" i="5"/>
  <c r="R690" i="5"/>
  <c r="R691" i="5"/>
  <c r="R692" i="5"/>
  <c r="R693" i="5"/>
  <c r="R694" i="5"/>
  <c r="R695" i="5"/>
  <c r="R696" i="5"/>
  <c r="R697" i="5"/>
  <c r="R698" i="5"/>
  <c r="R699" i="5"/>
  <c r="R700" i="5"/>
  <c r="R701" i="5"/>
  <c r="R702" i="5"/>
  <c r="R703" i="5"/>
  <c r="R704" i="5"/>
  <c r="R705" i="5"/>
  <c r="R706" i="5"/>
  <c r="R707" i="5"/>
  <c r="R708" i="5"/>
  <c r="R709" i="5"/>
  <c r="R710" i="5"/>
  <c r="R711" i="5"/>
  <c r="R712" i="5"/>
  <c r="R713" i="5"/>
  <c r="R714" i="5"/>
  <c r="J493" i="5"/>
  <c r="J494" i="5"/>
  <c r="J495" i="5"/>
  <c r="J496" i="5"/>
  <c r="J497" i="5"/>
  <c r="J498" i="5"/>
  <c r="J499" i="5"/>
  <c r="J500" i="5"/>
  <c r="J501" i="5"/>
  <c r="J502" i="5"/>
  <c r="J503" i="5"/>
  <c r="J504" i="5"/>
  <c r="J505" i="5"/>
  <c r="J506" i="5"/>
  <c r="J507" i="5"/>
  <c r="J508" i="5"/>
  <c r="J509" i="5"/>
  <c r="J510" i="5"/>
  <c r="J511" i="5"/>
  <c r="J512" i="5"/>
  <c r="J513" i="5"/>
  <c r="J514" i="5"/>
  <c r="J515" i="5"/>
  <c r="J516" i="5"/>
  <c r="J517" i="5"/>
  <c r="J518" i="5"/>
  <c r="J519" i="5"/>
  <c r="J520" i="5"/>
  <c r="J521" i="5"/>
  <c r="J522" i="5"/>
  <c r="J523" i="5"/>
  <c r="J524" i="5"/>
  <c r="J525" i="5"/>
  <c r="J526" i="5"/>
  <c r="J527" i="5"/>
  <c r="J528" i="5"/>
  <c r="J529" i="5"/>
  <c r="J530" i="5"/>
  <c r="J531" i="5"/>
  <c r="J532" i="5"/>
  <c r="J533" i="5"/>
  <c r="J534" i="5"/>
  <c r="J535" i="5"/>
  <c r="J536" i="5"/>
  <c r="J537" i="5"/>
  <c r="J538" i="5"/>
  <c r="J539" i="5"/>
  <c r="J540" i="5"/>
  <c r="J541" i="5"/>
  <c r="J542" i="5"/>
  <c r="J543" i="5"/>
  <c r="J544" i="5"/>
  <c r="J545" i="5"/>
  <c r="J546" i="5"/>
  <c r="J547" i="5"/>
  <c r="J548" i="5"/>
  <c r="J549" i="5"/>
  <c r="J550" i="5"/>
  <c r="J551" i="5"/>
  <c r="J552" i="5"/>
  <c r="J553" i="5"/>
  <c r="J554" i="5"/>
  <c r="J555" i="5"/>
  <c r="J556" i="5"/>
  <c r="J558" i="5"/>
  <c r="J559" i="5"/>
  <c r="J560" i="5"/>
  <c r="J561" i="5"/>
  <c r="J562" i="5"/>
  <c r="J563" i="5"/>
  <c r="J564" i="5"/>
  <c r="J565" i="5"/>
  <c r="J566" i="5"/>
  <c r="J567" i="5"/>
  <c r="J568" i="5"/>
  <c r="J569" i="5"/>
  <c r="J570" i="5"/>
  <c r="J571" i="5"/>
  <c r="J572" i="5"/>
  <c r="J573" i="5"/>
  <c r="J574" i="5"/>
  <c r="J575" i="5"/>
  <c r="J576" i="5"/>
  <c r="J577" i="5"/>
  <c r="J578" i="5"/>
  <c r="J579" i="5"/>
  <c r="J580" i="5"/>
  <c r="J581" i="5"/>
  <c r="J582" i="5"/>
  <c r="J583" i="5"/>
  <c r="J584" i="5"/>
  <c r="J585" i="5"/>
  <c r="J586" i="5"/>
  <c r="J587" i="5"/>
  <c r="J588" i="5"/>
  <c r="J589" i="5"/>
  <c r="J590" i="5"/>
  <c r="J591" i="5"/>
  <c r="J592" i="5"/>
  <c r="J593" i="5"/>
  <c r="J594" i="5"/>
  <c r="J595" i="5"/>
  <c r="J596" i="5"/>
  <c r="J597" i="5"/>
  <c r="J598" i="5"/>
  <c r="J599" i="5"/>
  <c r="J600" i="5"/>
  <c r="J601" i="5"/>
  <c r="J602" i="5"/>
  <c r="J603" i="5"/>
  <c r="J604" i="5"/>
  <c r="J605" i="5"/>
  <c r="J606" i="5"/>
  <c r="J607" i="5"/>
  <c r="J608" i="5"/>
  <c r="J609" i="5"/>
  <c r="J610" i="5"/>
  <c r="J611" i="5"/>
  <c r="J612" i="5"/>
  <c r="J613" i="5"/>
  <c r="J614" i="5"/>
  <c r="J615" i="5"/>
  <c r="J616" i="5"/>
  <c r="J617" i="5"/>
  <c r="J618" i="5"/>
  <c r="J619" i="5"/>
  <c r="J620" i="5"/>
  <c r="J621" i="5"/>
  <c r="J622" i="5"/>
  <c r="J623" i="5"/>
  <c r="J624" i="5"/>
  <c r="J625" i="5"/>
  <c r="J626" i="5"/>
  <c r="J627" i="5"/>
  <c r="J628" i="5"/>
  <c r="J629" i="5"/>
  <c r="J630" i="5"/>
  <c r="J631" i="5"/>
  <c r="J632" i="5"/>
  <c r="J633" i="5"/>
  <c r="J634" i="5"/>
  <c r="J635" i="5"/>
  <c r="J636" i="5"/>
  <c r="J637" i="5"/>
  <c r="J638" i="5"/>
  <c r="J639" i="5"/>
  <c r="J640" i="5"/>
  <c r="J641" i="5"/>
  <c r="J642" i="5"/>
  <c r="J643" i="5"/>
  <c r="J644" i="5"/>
  <c r="J645" i="5"/>
  <c r="J646" i="5"/>
  <c r="J647" i="5"/>
  <c r="J648" i="5"/>
  <c r="J649" i="5"/>
  <c r="J650" i="5"/>
  <c r="J651" i="5"/>
  <c r="J652" i="5"/>
  <c r="J653" i="5"/>
  <c r="J654" i="5"/>
  <c r="J655" i="5"/>
  <c r="J656" i="5"/>
  <c r="J657" i="5"/>
  <c r="J658" i="5"/>
  <c r="J659" i="5"/>
  <c r="J660" i="5"/>
  <c r="J661" i="5"/>
  <c r="J662" i="5"/>
  <c r="J663" i="5"/>
  <c r="J664" i="5"/>
  <c r="J665" i="5"/>
  <c r="J666" i="5"/>
  <c r="J667" i="5"/>
  <c r="J668" i="5"/>
  <c r="J669" i="5"/>
  <c r="J670" i="5"/>
  <c r="J671" i="5"/>
  <c r="J672" i="5"/>
  <c r="J673" i="5"/>
  <c r="J674" i="5"/>
  <c r="J675" i="5"/>
  <c r="J676" i="5"/>
  <c r="J677" i="5"/>
  <c r="J678" i="5"/>
  <c r="J679" i="5"/>
  <c r="J680" i="5"/>
  <c r="J681" i="5"/>
  <c r="J682" i="5"/>
  <c r="J683" i="5"/>
  <c r="J684" i="5"/>
  <c r="J685" i="5"/>
  <c r="J686" i="5"/>
  <c r="J687" i="5"/>
  <c r="J688" i="5"/>
  <c r="J689" i="5"/>
  <c r="J690" i="5"/>
  <c r="J691" i="5"/>
  <c r="J692" i="5"/>
  <c r="J693" i="5"/>
  <c r="J694" i="5"/>
  <c r="J695" i="5"/>
  <c r="J696" i="5"/>
  <c r="J697" i="5"/>
  <c r="J698" i="5"/>
  <c r="J699" i="5"/>
  <c r="J700" i="5"/>
  <c r="J701" i="5"/>
  <c r="J702" i="5"/>
  <c r="J703" i="5"/>
  <c r="J704" i="5"/>
  <c r="J705" i="5"/>
  <c r="J706" i="5"/>
  <c r="J707" i="5"/>
  <c r="J708" i="5"/>
  <c r="J709" i="5"/>
  <c r="J710" i="5"/>
  <c r="J711" i="5"/>
  <c r="J712" i="5"/>
  <c r="J713" i="5"/>
  <c r="J714" i="5"/>
  <c r="AL2" i="5" l="1"/>
  <c r="AK2" i="5"/>
  <c r="AJ2" i="5"/>
  <c r="J295" i="5"/>
  <c r="AH2" i="5" l="1"/>
  <c r="AG2" i="5"/>
  <c r="AF2" i="5"/>
  <c r="AE2" i="5"/>
  <c r="AD2" i="5" l="1"/>
  <c r="J237" i="5"/>
  <c r="R237" i="5"/>
  <c r="A24" i="3" l="1"/>
  <c r="C17" i="3" s="1"/>
  <c r="K39" i="3" l="1"/>
  <c r="R44" i="3"/>
  <c r="Q44" i="3" s="1"/>
  <c r="R35" i="3"/>
  <c r="K35" i="3"/>
  <c r="L35" i="3" s="1"/>
  <c r="K65" i="3" l="1"/>
  <c r="K91" i="3" l="1"/>
  <c r="K117" i="3" s="1"/>
  <c r="K143" i="3" s="1"/>
  <c r="K169" i="3" s="1"/>
  <c r="S44" i="3" s="1"/>
  <c r="T44" i="3" s="1"/>
  <c r="N44" i="3" l="1"/>
  <c r="R3" i="5"/>
  <c r="R4" i="5"/>
  <c r="R5" i="5"/>
  <c r="R6" i="5"/>
  <c r="R7" i="5"/>
  <c r="R8" i="5"/>
  <c r="D50" i="3"/>
  <c r="R9" i="5" l="1"/>
  <c r="R10" i="5"/>
  <c r="R11" i="5"/>
  <c r="R12" i="5"/>
  <c r="R13" i="5"/>
  <c r="R14" i="5"/>
  <c r="R15" i="5"/>
  <c r="R16" i="5"/>
  <c r="R17" i="5"/>
  <c r="R18" i="5"/>
  <c r="R19" i="5"/>
  <c r="R20" i="5"/>
  <c r="R21" i="5"/>
  <c r="R22" i="5"/>
  <c r="R23" i="5"/>
  <c r="R24" i="5"/>
  <c r="R25" i="5"/>
  <c r="R26" i="5"/>
  <c r="R27" i="5"/>
  <c r="R28" i="5"/>
  <c r="R29" i="5"/>
  <c r="R30" i="5"/>
  <c r="R31" i="5"/>
  <c r="R32" i="5"/>
  <c r="R33" i="5"/>
  <c r="R34" i="5"/>
  <c r="R35" i="5"/>
  <c r="R36" i="5"/>
  <c r="R37" i="5"/>
  <c r="R38" i="5"/>
  <c r="R39" i="5"/>
  <c r="R40" i="5"/>
  <c r="R41" i="5"/>
  <c r="R42" i="5"/>
  <c r="R43" i="5"/>
  <c r="R44" i="5"/>
  <c r="R45" i="5"/>
  <c r="R46" i="5"/>
  <c r="R47" i="5"/>
  <c r="R48" i="5"/>
  <c r="R49" i="5"/>
  <c r="R50" i="5"/>
  <c r="R51" i="5"/>
  <c r="R52" i="5"/>
  <c r="R53" i="5"/>
  <c r="R54" i="5"/>
  <c r="R55" i="5"/>
  <c r="R56" i="5"/>
  <c r="R57" i="5"/>
  <c r="R58" i="5"/>
  <c r="R59" i="5"/>
  <c r="R60" i="5"/>
  <c r="R61" i="5"/>
  <c r="R62" i="5"/>
  <c r="R63" i="5"/>
  <c r="R64" i="5"/>
  <c r="R65" i="5"/>
  <c r="R66" i="5"/>
  <c r="R67" i="5"/>
  <c r="R68" i="5"/>
  <c r="R69" i="5"/>
  <c r="R70" i="5"/>
  <c r="R71" i="5"/>
  <c r="R72" i="5"/>
  <c r="R73"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3" i="5"/>
  <c r="R104" i="5"/>
  <c r="R105" i="5"/>
  <c r="R106" i="5"/>
  <c r="R107" i="5"/>
  <c r="R108" i="5"/>
  <c r="R109" i="5"/>
  <c r="R110" i="5"/>
  <c r="R111" i="5"/>
  <c r="R112" i="5"/>
  <c r="R113" i="5"/>
  <c r="R114" i="5"/>
  <c r="R115" i="5"/>
  <c r="R116" i="5"/>
  <c r="R117" i="5"/>
  <c r="R118" i="5"/>
  <c r="R119" i="5"/>
  <c r="R120" i="5"/>
  <c r="R121" i="5"/>
  <c r="R122" i="5"/>
  <c r="R123" i="5"/>
  <c r="R124" i="5"/>
  <c r="R125" i="5"/>
  <c r="R126" i="5"/>
  <c r="R127" i="5"/>
  <c r="R128" i="5"/>
  <c r="R129" i="5"/>
  <c r="R130" i="5"/>
  <c r="R131" i="5"/>
  <c r="R132" i="5"/>
  <c r="R133" i="5"/>
  <c r="R134" i="5"/>
  <c r="R135" i="5"/>
  <c r="R136" i="5"/>
  <c r="R137" i="5"/>
  <c r="R138" i="5"/>
  <c r="R139" i="5"/>
  <c r="R140" i="5"/>
  <c r="R141" i="5"/>
  <c r="R142" i="5"/>
  <c r="R143" i="5"/>
  <c r="R144" i="5"/>
  <c r="R145" i="5"/>
  <c r="R146" i="5"/>
  <c r="R147" i="5"/>
  <c r="R148" i="5"/>
  <c r="R149" i="5"/>
  <c r="R150" i="5"/>
  <c r="R151" i="5"/>
  <c r="R152" i="5"/>
  <c r="R153" i="5"/>
  <c r="R154" i="5"/>
  <c r="R155" i="5"/>
  <c r="R156" i="5"/>
  <c r="R157" i="5"/>
  <c r="R158" i="5"/>
  <c r="R159" i="5"/>
  <c r="R160" i="5"/>
  <c r="R161" i="5"/>
  <c r="R162" i="5"/>
  <c r="R163" i="5"/>
  <c r="R164" i="5"/>
  <c r="R165" i="5"/>
  <c r="R166" i="5"/>
  <c r="R167" i="5"/>
  <c r="R168" i="5"/>
  <c r="R169" i="5"/>
  <c r="R171" i="5"/>
  <c r="R172" i="5"/>
  <c r="R173" i="5"/>
  <c r="R174" i="5"/>
  <c r="R175" i="5"/>
  <c r="R176" i="5"/>
  <c r="R177" i="5"/>
  <c r="R178" i="5"/>
  <c r="R179" i="5"/>
  <c r="R180" i="5"/>
  <c r="R181" i="5"/>
  <c r="R182" i="5"/>
  <c r="R183" i="5"/>
  <c r="R184" i="5"/>
  <c r="R185" i="5"/>
  <c r="R186" i="5"/>
  <c r="R187" i="5"/>
  <c r="R188" i="5"/>
  <c r="R189" i="5"/>
  <c r="R190" i="5"/>
  <c r="R191" i="5"/>
  <c r="R192" i="5"/>
  <c r="R193" i="5"/>
  <c r="R194" i="5"/>
  <c r="R195" i="5"/>
  <c r="R196" i="5"/>
  <c r="R197" i="5"/>
  <c r="R198" i="5"/>
  <c r="R199" i="5"/>
  <c r="R200" i="5"/>
  <c r="R201" i="5"/>
  <c r="R202" i="5"/>
  <c r="R203" i="5"/>
  <c r="R204" i="5"/>
  <c r="R205" i="5"/>
  <c r="R206" i="5"/>
  <c r="R207" i="5"/>
  <c r="R208" i="5"/>
  <c r="R209" i="5"/>
  <c r="R210" i="5"/>
  <c r="R211" i="5"/>
  <c r="R212" i="5"/>
  <c r="R213" i="5"/>
  <c r="R214" i="5"/>
  <c r="R215" i="5"/>
  <c r="R216" i="5"/>
  <c r="R217" i="5"/>
  <c r="R218" i="5"/>
  <c r="R219" i="5"/>
  <c r="R220" i="5"/>
  <c r="R221" i="5"/>
  <c r="R222" i="5"/>
  <c r="R223" i="5"/>
  <c r="R224" i="5"/>
  <c r="R225" i="5"/>
  <c r="R226" i="5"/>
  <c r="R227" i="5"/>
  <c r="R228" i="5"/>
  <c r="R229" i="5"/>
  <c r="R230" i="5"/>
  <c r="R231" i="5"/>
  <c r="R232" i="5"/>
  <c r="R233" i="5"/>
  <c r="R234" i="5"/>
  <c r="R235" i="5"/>
  <c r="R236" i="5"/>
  <c r="R238" i="5"/>
  <c r="R239" i="5"/>
  <c r="R240" i="5"/>
  <c r="R241" i="5"/>
  <c r="R242" i="5"/>
  <c r="R243" i="5"/>
  <c r="R244" i="5"/>
  <c r="R245" i="5"/>
  <c r="R246" i="5"/>
  <c r="R247" i="5"/>
  <c r="R248" i="5"/>
  <c r="R249" i="5"/>
  <c r="R250" i="5"/>
  <c r="R251" i="5"/>
  <c r="R252" i="5"/>
  <c r="R253" i="5"/>
  <c r="R254" i="5"/>
  <c r="R255" i="5"/>
  <c r="R256" i="5"/>
  <c r="R257" i="5"/>
  <c r="R258" i="5"/>
  <c r="R259" i="5"/>
  <c r="R260" i="5"/>
  <c r="R261" i="5"/>
  <c r="R262" i="5"/>
  <c r="R263" i="5"/>
  <c r="R264" i="5"/>
  <c r="R265" i="5"/>
  <c r="R266" i="5"/>
  <c r="R267" i="5"/>
  <c r="R268" i="5"/>
  <c r="R269" i="5"/>
  <c r="R270" i="5"/>
  <c r="R271" i="5"/>
  <c r="R272" i="5"/>
  <c r="R273" i="5"/>
  <c r="R274" i="5"/>
  <c r="R275" i="5"/>
  <c r="R276" i="5"/>
  <c r="R277" i="5"/>
  <c r="R278" i="5"/>
  <c r="R279" i="5"/>
  <c r="R280" i="5"/>
  <c r="R281" i="5"/>
  <c r="R282" i="5"/>
  <c r="R283" i="5"/>
  <c r="R284" i="5"/>
  <c r="R285" i="5"/>
  <c r="R286" i="5"/>
  <c r="R287" i="5"/>
  <c r="R288" i="5"/>
  <c r="R289" i="5"/>
  <c r="R290" i="5"/>
  <c r="R291" i="5"/>
  <c r="R292" i="5"/>
  <c r="R293" i="5"/>
  <c r="R294" i="5"/>
  <c r="R295" i="5"/>
  <c r="R296" i="5"/>
  <c r="R297" i="5"/>
  <c r="R298" i="5"/>
  <c r="R299" i="5"/>
  <c r="R300" i="5"/>
  <c r="R301" i="5"/>
  <c r="R302" i="5"/>
  <c r="R303" i="5"/>
  <c r="R304" i="5"/>
  <c r="R305" i="5"/>
  <c r="R306" i="5"/>
  <c r="R307" i="5"/>
  <c r="R308" i="5"/>
  <c r="R309" i="5"/>
  <c r="R310" i="5"/>
  <c r="R311" i="5"/>
  <c r="R312" i="5"/>
  <c r="R313" i="5"/>
  <c r="R314" i="5"/>
  <c r="R315" i="5"/>
  <c r="R316" i="5"/>
  <c r="R317" i="5"/>
  <c r="R318" i="5"/>
  <c r="R319" i="5"/>
  <c r="R320" i="5"/>
  <c r="R321" i="5"/>
  <c r="R322" i="5"/>
  <c r="R323" i="5"/>
  <c r="R324" i="5"/>
  <c r="R325" i="5"/>
  <c r="R326" i="5"/>
  <c r="R327" i="5"/>
  <c r="R328" i="5"/>
  <c r="R329" i="5"/>
  <c r="R330" i="5"/>
  <c r="R331" i="5"/>
  <c r="R332" i="5"/>
  <c r="R333" i="5"/>
  <c r="R334" i="5"/>
  <c r="R335" i="5"/>
  <c r="R336" i="5"/>
  <c r="R337" i="5"/>
  <c r="R338" i="5"/>
  <c r="R339" i="5"/>
  <c r="R340" i="5"/>
  <c r="R341" i="5"/>
  <c r="R342" i="5"/>
  <c r="R343" i="5"/>
  <c r="R344" i="5"/>
  <c r="R345" i="5"/>
  <c r="R346" i="5"/>
  <c r="R347" i="5"/>
  <c r="R348" i="5"/>
  <c r="R349" i="5"/>
  <c r="R350" i="5"/>
  <c r="R351" i="5"/>
  <c r="R352" i="5"/>
  <c r="R353" i="5"/>
  <c r="R354" i="5"/>
  <c r="R355" i="5"/>
  <c r="R356" i="5"/>
  <c r="R357" i="5"/>
  <c r="R358" i="5"/>
  <c r="R359" i="5"/>
  <c r="R360" i="5"/>
  <c r="R361" i="5"/>
  <c r="R362" i="5"/>
  <c r="R363" i="5"/>
  <c r="R364" i="5"/>
  <c r="R365" i="5"/>
  <c r="R366" i="5"/>
  <c r="R367" i="5"/>
  <c r="R368" i="5"/>
  <c r="R369" i="5"/>
  <c r="R370" i="5"/>
  <c r="R371" i="5"/>
  <c r="R372" i="5"/>
  <c r="R373" i="5"/>
  <c r="R374" i="5"/>
  <c r="R375" i="5"/>
  <c r="R376" i="5"/>
  <c r="R377" i="5"/>
  <c r="R378" i="5"/>
  <c r="R379" i="5"/>
  <c r="R380" i="5"/>
  <c r="R381" i="5"/>
  <c r="R382" i="5"/>
  <c r="R383" i="5"/>
  <c r="R384" i="5"/>
  <c r="R385" i="5"/>
  <c r="R386" i="5"/>
  <c r="R387" i="5"/>
  <c r="R388" i="5"/>
  <c r="R389" i="5"/>
  <c r="R390" i="5"/>
  <c r="R391" i="5"/>
  <c r="R392" i="5"/>
  <c r="R393" i="5"/>
  <c r="R394" i="5"/>
  <c r="R395" i="5"/>
  <c r="R396" i="5"/>
  <c r="R397" i="5"/>
  <c r="R398" i="5"/>
  <c r="R399" i="5"/>
  <c r="R400" i="5"/>
  <c r="R401" i="5"/>
  <c r="R402" i="5"/>
  <c r="R403" i="5"/>
  <c r="R404" i="5"/>
  <c r="R405" i="5"/>
  <c r="R406" i="5"/>
  <c r="R407" i="5"/>
  <c r="R409" i="5"/>
  <c r="R410" i="5"/>
  <c r="R411" i="5"/>
  <c r="R412" i="5"/>
  <c r="R413" i="5"/>
  <c r="R414" i="5"/>
  <c r="R415" i="5"/>
  <c r="R416" i="5"/>
  <c r="R417" i="5"/>
  <c r="R418" i="5"/>
  <c r="R419" i="5"/>
  <c r="R420" i="5"/>
  <c r="R421" i="5"/>
  <c r="R422" i="5"/>
  <c r="R423" i="5"/>
  <c r="R424" i="5"/>
  <c r="R425" i="5"/>
  <c r="R426" i="5"/>
  <c r="R427" i="5"/>
  <c r="R428" i="5"/>
  <c r="R429" i="5"/>
  <c r="R430" i="5"/>
  <c r="R431" i="5"/>
  <c r="R432" i="5"/>
  <c r="R433" i="5"/>
  <c r="R434" i="5"/>
  <c r="R435" i="5"/>
  <c r="R436" i="5"/>
  <c r="R437" i="5"/>
  <c r="R438" i="5"/>
  <c r="R439" i="5"/>
  <c r="R440" i="5"/>
  <c r="R441" i="5"/>
  <c r="R442" i="5"/>
  <c r="R443" i="5"/>
  <c r="R444" i="5"/>
  <c r="R445" i="5"/>
  <c r="R446" i="5"/>
  <c r="R447" i="5"/>
  <c r="R448" i="5"/>
  <c r="R449" i="5"/>
  <c r="R450" i="5"/>
  <c r="R451" i="5"/>
  <c r="R452" i="5"/>
  <c r="R453" i="5"/>
  <c r="R454" i="5"/>
  <c r="R455" i="5"/>
  <c r="R456" i="5"/>
  <c r="R457" i="5"/>
  <c r="R458" i="5"/>
  <c r="R459" i="5"/>
  <c r="R460" i="5"/>
  <c r="R461" i="5"/>
  <c r="R462" i="5"/>
  <c r="R463" i="5"/>
  <c r="R464" i="5"/>
  <c r="R465" i="5"/>
  <c r="R466" i="5"/>
  <c r="R467" i="5"/>
  <c r="R468" i="5"/>
  <c r="R469" i="5"/>
  <c r="R470" i="5"/>
  <c r="R471" i="5"/>
  <c r="R472" i="5"/>
  <c r="R473" i="5"/>
  <c r="R474" i="5"/>
  <c r="R475" i="5"/>
  <c r="R476" i="5"/>
  <c r="R477" i="5"/>
  <c r="R478" i="5"/>
  <c r="R479" i="5"/>
  <c r="R480" i="5"/>
  <c r="R481" i="5"/>
  <c r="R482" i="5"/>
  <c r="R483" i="5"/>
  <c r="R484" i="5"/>
  <c r="R485" i="5"/>
  <c r="R486" i="5"/>
  <c r="R487" i="5"/>
  <c r="R488" i="5"/>
  <c r="R489" i="5"/>
  <c r="R490" i="5"/>
  <c r="R491" i="5"/>
  <c r="R492" i="5"/>
  <c r="R170" i="5"/>
  <c r="D154" i="3" l="1"/>
  <c r="D128" i="3"/>
  <c r="D102" i="3" l="1"/>
  <c r="A76" i="3"/>
  <c r="D76" i="3"/>
  <c r="G4" i="3" l="1"/>
  <c r="E18" i="3" l="1"/>
  <c r="D18" i="3" s="1"/>
  <c r="P17" i="3" s="1"/>
  <c r="E54" i="3"/>
  <c r="D19" i="3" l="1"/>
  <c r="L39" i="3"/>
  <c r="L117" i="3"/>
  <c r="U44" i="3"/>
  <c r="V44" i="3" s="1"/>
  <c r="L65" i="3"/>
  <c r="L143" i="3"/>
  <c r="L169" i="3"/>
  <c r="L91" i="3"/>
  <c r="P187" i="3"/>
  <c r="K61" i="3"/>
  <c r="L61" i="3" s="1"/>
  <c r="K113" i="3"/>
  <c r="K139" i="3"/>
  <c r="J2" i="142"/>
  <c r="K2" i="142" s="1"/>
  <c r="J3" i="142"/>
  <c r="J4" i="142"/>
  <c r="J5" i="142"/>
  <c r="J6" i="142"/>
  <c r="J7" i="142"/>
  <c r="J8" i="142"/>
  <c r="J9" i="142"/>
  <c r="J10" i="142"/>
  <c r="J11" i="142"/>
  <c r="J12" i="142"/>
  <c r="J13" i="142"/>
  <c r="J14" i="142"/>
  <c r="J15" i="142"/>
  <c r="J16" i="142"/>
  <c r="J17" i="142"/>
  <c r="J18" i="142"/>
  <c r="J19" i="142"/>
  <c r="J20" i="142"/>
  <c r="J21" i="142"/>
  <c r="J22" i="142"/>
  <c r="J23" i="142"/>
  <c r="J24" i="142"/>
  <c r="J25" i="142"/>
  <c r="J26" i="142"/>
  <c r="J27" i="142"/>
  <c r="J28" i="142"/>
  <c r="J29" i="142"/>
  <c r="J30" i="142"/>
  <c r="J31" i="142"/>
  <c r="J32" i="142"/>
  <c r="J33" i="142"/>
  <c r="J34" i="142"/>
  <c r="J35" i="142"/>
  <c r="J36" i="142"/>
  <c r="J37" i="142"/>
  <c r="J38" i="142"/>
  <c r="J39" i="142"/>
  <c r="J40" i="142"/>
  <c r="J41" i="142"/>
  <c r="J42" i="142"/>
  <c r="J43" i="142"/>
  <c r="J44" i="142"/>
  <c r="J45" i="142"/>
  <c r="J46" i="142"/>
  <c r="J47" i="142"/>
  <c r="J48" i="142"/>
  <c r="J49" i="142"/>
  <c r="J50" i="142"/>
  <c r="J51" i="142"/>
  <c r="J52" i="142"/>
  <c r="J53" i="142"/>
  <c r="J54" i="142"/>
  <c r="J55" i="142"/>
  <c r="J56" i="142"/>
  <c r="J57" i="142"/>
  <c r="J58" i="142"/>
  <c r="J59" i="142"/>
  <c r="J60" i="142"/>
  <c r="J61" i="142"/>
  <c r="J62" i="142"/>
  <c r="J63" i="142"/>
  <c r="J64" i="142"/>
  <c r="J65" i="142"/>
  <c r="J66" i="142"/>
  <c r="J67" i="142"/>
  <c r="J68" i="142"/>
  <c r="J69" i="142"/>
  <c r="J70" i="142"/>
  <c r="J71" i="142"/>
  <c r="J72" i="142"/>
  <c r="J73" i="142"/>
  <c r="J74" i="142"/>
  <c r="J75" i="142"/>
  <c r="J76" i="142"/>
  <c r="J77" i="142"/>
  <c r="J78" i="142"/>
  <c r="J79" i="142"/>
  <c r="J80" i="142"/>
  <c r="J81" i="142"/>
  <c r="J82" i="142"/>
  <c r="J83" i="142"/>
  <c r="J84" i="142"/>
  <c r="J85" i="142"/>
  <c r="J86" i="142"/>
  <c r="B2" i="142"/>
  <c r="K84" i="142" l="1"/>
  <c r="K80" i="142"/>
  <c r="K76" i="142"/>
  <c r="K72" i="142"/>
  <c r="K68" i="142"/>
  <c r="K64" i="142"/>
  <c r="K60" i="142"/>
  <c r="K56" i="142"/>
  <c r="K52" i="142"/>
  <c r="K48" i="142"/>
  <c r="K44" i="142"/>
  <c r="K40" i="142"/>
  <c r="K36" i="142"/>
  <c r="K32" i="142"/>
  <c r="K28" i="142"/>
  <c r="K24" i="142"/>
  <c r="K20" i="142"/>
  <c r="K16" i="142"/>
  <c r="K12" i="142"/>
  <c r="K8" i="142"/>
  <c r="K4" i="142"/>
  <c r="K3" i="142"/>
  <c r="K29" i="142"/>
  <c r="K21" i="142"/>
  <c r="K13" i="142"/>
  <c r="K5" i="142"/>
  <c r="K17" i="142"/>
  <c r="K83" i="142"/>
  <c r="K75" i="142"/>
  <c r="K67" i="142"/>
  <c r="K59" i="142"/>
  <c r="K51" i="142"/>
  <c r="K43" i="142"/>
  <c r="K35" i="142"/>
  <c r="K31" i="142"/>
  <c r="K23" i="142"/>
  <c r="K15" i="142"/>
  <c r="K11" i="142"/>
  <c r="K7" i="142"/>
  <c r="K86" i="142"/>
  <c r="K82" i="142"/>
  <c r="K78" i="142"/>
  <c r="K74" i="142"/>
  <c r="K70" i="142"/>
  <c r="K66" i="142"/>
  <c r="K62" i="142"/>
  <c r="K58" i="142"/>
  <c r="K54" i="142"/>
  <c r="K50" i="142"/>
  <c r="K46" i="142"/>
  <c r="K42" i="142"/>
  <c r="K38" i="142"/>
  <c r="K34" i="142"/>
  <c r="K30" i="142"/>
  <c r="K26" i="142"/>
  <c r="K22" i="142"/>
  <c r="K18" i="142"/>
  <c r="K14" i="142"/>
  <c r="K10" i="142"/>
  <c r="K6" i="142"/>
  <c r="K25" i="142"/>
  <c r="K9" i="142"/>
  <c r="K79" i="142"/>
  <c r="K71" i="142"/>
  <c r="K63" i="142"/>
  <c r="K55" i="142"/>
  <c r="K47" i="142"/>
  <c r="K39" i="142"/>
  <c r="K27" i="142"/>
  <c r="K19" i="142"/>
  <c r="K85" i="142"/>
  <c r="K81" i="142"/>
  <c r="K77" i="142"/>
  <c r="K73" i="142"/>
  <c r="K69" i="142"/>
  <c r="K65" i="142"/>
  <c r="K61" i="142"/>
  <c r="K57" i="142"/>
  <c r="K53" i="142"/>
  <c r="K49" i="142"/>
  <c r="K45" i="142"/>
  <c r="K41" i="142"/>
  <c r="K37" i="142"/>
  <c r="K33" i="142"/>
  <c r="L7" i="142" l="1"/>
  <c r="L50" i="142"/>
  <c r="L36" i="142"/>
  <c r="L11" i="142"/>
  <c r="L4" i="142"/>
  <c r="L13" i="142"/>
  <c r="L57" i="142"/>
  <c r="L2" i="142"/>
  <c r="L14" i="142"/>
  <c r="L5" i="142"/>
  <c r="L18" i="142"/>
  <c r="L82" i="142"/>
  <c r="L20" i="142"/>
  <c r="L59" i="142"/>
  <c r="L34" i="142"/>
  <c r="L10" i="142"/>
  <c r="L30" i="142"/>
  <c r="L53" i="142"/>
  <c r="L33" i="142"/>
  <c r="L68" i="142"/>
  <c r="L8" i="142"/>
  <c r="L43" i="142"/>
  <c r="L3" i="142"/>
  <c r="L17" i="142"/>
  <c r="L52" i="142"/>
  <c r="L27" i="142"/>
  <c r="L66" i="142"/>
  <c r="L49" i="142"/>
  <c r="L29" i="142"/>
  <c r="L80" i="142"/>
  <c r="L48" i="142"/>
  <c r="L16" i="142"/>
  <c r="L71" i="142"/>
  <c r="L61" i="142"/>
  <c r="L41" i="142"/>
  <c r="L21" i="142"/>
  <c r="L72" i="142"/>
  <c r="L56" i="142"/>
  <c r="L40" i="142"/>
  <c r="L24" i="142"/>
  <c r="L65" i="142"/>
  <c r="L79" i="142"/>
  <c r="L63" i="142"/>
  <c r="L47" i="142"/>
  <c r="L31" i="142"/>
  <c r="L15" i="142"/>
  <c r="L86" i="142"/>
  <c r="L70" i="142"/>
  <c r="L54" i="142"/>
  <c r="L38" i="142"/>
  <c r="L22" i="142"/>
  <c r="L6" i="142"/>
  <c r="L85" i="142"/>
  <c r="L84" i="142"/>
  <c r="L75" i="142"/>
  <c r="L77" i="142"/>
  <c r="L64" i="142"/>
  <c r="L32" i="142"/>
  <c r="L81" i="142"/>
  <c r="L37" i="142"/>
  <c r="L55" i="142"/>
  <c r="L39" i="142"/>
  <c r="L23" i="142"/>
  <c r="L78" i="142"/>
  <c r="L62" i="142"/>
  <c r="L46" i="142"/>
  <c r="L69" i="142"/>
  <c r="L45" i="142"/>
  <c r="L25" i="142"/>
  <c r="L9" i="142"/>
  <c r="L76" i="142"/>
  <c r="L60" i="142"/>
  <c r="L44" i="142"/>
  <c r="L28" i="142"/>
  <c r="L12" i="142"/>
  <c r="L73" i="142"/>
  <c r="L83" i="142"/>
  <c r="L67" i="142"/>
  <c r="L51" i="142"/>
  <c r="L35" i="142"/>
  <c r="L19" i="142"/>
  <c r="L74" i="142"/>
  <c r="L58" i="142"/>
  <c r="L42" i="142"/>
  <c r="L26" i="142"/>
  <c r="E2" i="142"/>
  <c r="F2" i="142" s="1"/>
  <c r="E3" i="142"/>
  <c r="E4" i="142"/>
  <c r="E5" i="142"/>
  <c r="E6" i="142"/>
  <c r="E7" i="142"/>
  <c r="E8" i="142"/>
  <c r="E9" i="142"/>
  <c r="E10" i="142"/>
  <c r="E11" i="142"/>
  <c r="E12" i="142"/>
  <c r="E13" i="142"/>
  <c r="E14" i="142"/>
  <c r="E15" i="142"/>
  <c r="E16" i="142"/>
  <c r="E17" i="142"/>
  <c r="E18" i="142"/>
  <c r="E19" i="142"/>
  <c r="E20" i="142"/>
  <c r="E21" i="142"/>
  <c r="E22" i="142"/>
  <c r="E23" i="142"/>
  <c r="E24" i="142"/>
  <c r="E25" i="142"/>
  <c r="E26" i="142"/>
  <c r="E27" i="142"/>
  <c r="E28" i="142"/>
  <c r="E29" i="142"/>
  <c r="E30" i="142"/>
  <c r="E31" i="142"/>
  <c r="E32" i="142"/>
  <c r="E33" i="142"/>
  <c r="E34" i="142"/>
  <c r="E35" i="142"/>
  <c r="E36" i="142"/>
  <c r="E37" i="142"/>
  <c r="E38" i="142"/>
  <c r="E39" i="142"/>
  <c r="E40" i="142"/>
  <c r="E41" i="142"/>
  <c r="E42" i="142"/>
  <c r="E43" i="142"/>
  <c r="F43" i="142" s="1"/>
  <c r="E44" i="142"/>
  <c r="F44" i="142" s="1"/>
  <c r="E45" i="142"/>
  <c r="F45" i="142" s="1"/>
  <c r="E46" i="142"/>
  <c r="F46" i="142" s="1"/>
  <c r="E47" i="142"/>
  <c r="F47" i="142" s="1"/>
  <c r="E48" i="142"/>
  <c r="F48" i="142" s="1"/>
  <c r="E49" i="142"/>
  <c r="F49" i="142" s="1"/>
  <c r="E50" i="142"/>
  <c r="F50" i="142" s="1"/>
  <c r="E51" i="142"/>
  <c r="F51" i="142" s="1"/>
  <c r="E52" i="142"/>
  <c r="F52" i="142" s="1"/>
  <c r="E53" i="142"/>
  <c r="F53" i="142" s="1"/>
  <c r="E54" i="142"/>
  <c r="F54" i="142" s="1"/>
  <c r="E55" i="142"/>
  <c r="F55" i="142" s="1"/>
  <c r="E56" i="142"/>
  <c r="F56" i="142" s="1"/>
  <c r="E57" i="142"/>
  <c r="F57" i="142" s="1"/>
  <c r="E58" i="142"/>
  <c r="F58" i="142" s="1"/>
  <c r="E59" i="142"/>
  <c r="F59" i="142" s="1"/>
  <c r="E60" i="142"/>
  <c r="F60" i="142" s="1"/>
  <c r="E61" i="142"/>
  <c r="F61" i="142" s="1"/>
  <c r="E62" i="142"/>
  <c r="F62" i="142" s="1"/>
  <c r="E63" i="142"/>
  <c r="F63" i="142" s="1"/>
  <c r="E64" i="142"/>
  <c r="F64" i="142" s="1"/>
  <c r="E65" i="142"/>
  <c r="F65" i="142" s="1"/>
  <c r="E66" i="142"/>
  <c r="F66" i="142" s="1"/>
  <c r="E67" i="142"/>
  <c r="F67" i="142" s="1"/>
  <c r="E68" i="142"/>
  <c r="F68" i="142" s="1"/>
  <c r="E69" i="142"/>
  <c r="F69" i="142" s="1"/>
  <c r="E70" i="142"/>
  <c r="F70" i="142" s="1"/>
  <c r="E71" i="142"/>
  <c r="F71" i="142" s="1"/>
  <c r="E72" i="142"/>
  <c r="F72" i="142" s="1"/>
  <c r="E73" i="142"/>
  <c r="F73" i="142" s="1"/>
  <c r="E74" i="142"/>
  <c r="F74" i="142" s="1"/>
  <c r="E75" i="142"/>
  <c r="F75" i="142" s="1"/>
  <c r="E76" i="142"/>
  <c r="F76" i="142" s="1"/>
  <c r="E77" i="142"/>
  <c r="F77" i="142" s="1"/>
  <c r="E78" i="142"/>
  <c r="F78" i="142" s="1"/>
  <c r="E79" i="142"/>
  <c r="F79" i="142" s="1"/>
  <c r="E80" i="142"/>
  <c r="F80" i="142" s="1"/>
  <c r="E81" i="142"/>
  <c r="F81" i="142" s="1"/>
  <c r="E82" i="142"/>
  <c r="F82" i="142" s="1"/>
  <c r="E83" i="142"/>
  <c r="F83" i="142" s="1"/>
  <c r="E84" i="142"/>
  <c r="F84" i="142" s="1"/>
  <c r="E85" i="142"/>
  <c r="F85" i="142" s="1"/>
  <c r="E86" i="142"/>
  <c r="F86" i="142" s="1"/>
  <c r="E87" i="142"/>
  <c r="F87" i="142" s="1"/>
  <c r="E88" i="142"/>
  <c r="F88" i="142" s="1"/>
  <c r="E89" i="142"/>
  <c r="F89" i="142" s="1"/>
  <c r="E90" i="142"/>
  <c r="F90" i="142" s="1"/>
  <c r="E91" i="142"/>
  <c r="F91" i="142" s="1"/>
  <c r="E92" i="142"/>
  <c r="F92" i="142" s="1"/>
  <c r="E93" i="142"/>
  <c r="F93" i="142" s="1"/>
  <c r="E94" i="142"/>
  <c r="F94" i="142" s="1"/>
  <c r="E95" i="142"/>
  <c r="F95" i="142" s="1"/>
  <c r="E96" i="142"/>
  <c r="F96" i="142" s="1"/>
  <c r="E97" i="142"/>
  <c r="F97" i="142" s="1"/>
  <c r="E98" i="142"/>
  <c r="F98" i="142" s="1"/>
  <c r="E99" i="142"/>
  <c r="F99" i="142" s="1"/>
  <c r="E100" i="142"/>
  <c r="F100" i="142" s="1"/>
  <c r="E101" i="142"/>
  <c r="F101" i="142" s="1"/>
  <c r="E102" i="142"/>
  <c r="F102" i="142" s="1"/>
  <c r="E103" i="142"/>
  <c r="F103" i="142" s="1"/>
  <c r="E104" i="142"/>
  <c r="F104" i="142" s="1"/>
  <c r="E105" i="142"/>
  <c r="F105" i="142" s="1"/>
  <c r="E106" i="142"/>
  <c r="F106" i="142" s="1"/>
  <c r="E107" i="142"/>
  <c r="F107" i="142" s="1"/>
  <c r="E108" i="142"/>
  <c r="F108" i="142" s="1"/>
  <c r="E109" i="142"/>
  <c r="F109" i="142" s="1"/>
  <c r="E110" i="142"/>
  <c r="F110" i="142" s="1"/>
  <c r="E111" i="142"/>
  <c r="F111" i="142" s="1"/>
  <c r="E112" i="142"/>
  <c r="F112" i="142" s="1"/>
  <c r="E113" i="142"/>
  <c r="F113" i="142" s="1"/>
  <c r="E114" i="142"/>
  <c r="F114" i="142" s="1"/>
  <c r="E115" i="142"/>
  <c r="F115" i="142" s="1"/>
  <c r="E116" i="142"/>
  <c r="F116" i="142" s="1"/>
  <c r="E117" i="142"/>
  <c r="F117" i="142" s="1"/>
  <c r="E118" i="142"/>
  <c r="F118" i="142" s="1"/>
  <c r="E119" i="142"/>
  <c r="F119" i="142" s="1"/>
  <c r="E120" i="142"/>
  <c r="F120" i="142" s="1"/>
  <c r="E121" i="142"/>
  <c r="F121" i="142" s="1"/>
  <c r="E122" i="142"/>
  <c r="F122" i="142" s="1"/>
  <c r="E123" i="142"/>
  <c r="F123" i="142" s="1"/>
  <c r="E124" i="142"/>
  <c r="F124" i="142" s="1"/>
  <c r="E125" i="142"/>
  <c r="F125" i="142" s="1"/>
  <c r="E126" i="142"/>
  <c r="F126" i="142" s="1"/>
  <c r="E127" i="142"/>
  <c r="F127" i="142" s="1"/>
  <c r="E128" i="142"/>
  <c r="F128" i="142" s="1"/>
  <c r="E129" i="142"/>
  <c r="F129" i="142" s="1"/>
  <c r="E130" i="142"/>
  <c r="F130" i="142" s="1"/>
  <c r="E131" i="142"/>
  <c r="F131" i="142" s="1"/>
  <c r="E132" i="142"/>
  <c r="F132" i="142" s="1"/>
  <c r="E133" i="142"/>
  <c r="F133" i="142" s="1"/>
  <c r="E134" i="142"/>
  <c r="F134" i="142" s="1"/>
  <c r="E135" i="142"/>
  <c r="F135" i="142" s="1"/>
  <c r="E136" i="142"/>
  <c r="F136" i="142" s="1"/>
  <c r="E137" i="142"/>
  <c r="F137" i="142" s="1"/>
  <c r="E138" i="142"/>
  <c r="F138" i="142" s="1"/>
  <c r="E139" i="142"/>
  <c r="F139" i="142" s="1"/>
  <c r="E140" i="142"/>
  <c r="F140" i="142" s="1"/>
  <c r="E141" i="142"/>
  <c r="F141" i="142" s="1"/>
  <c r="E142" i="142"/>
  <c r="F142" i="142" s="1"/>
  <c r="E143" i="142"/>
  <c r="F143" i="142" s="1"/>
  <c r="E144" i="142"/>
  <c r="F144" i="142" s="1"/>
  <c r="E145" i="142"/>
  <c r="F145" i="142" s="1"/>
  <c r="E146" i="142"/>
  <c r="F146" i="142" s="1"/>
  <c r="E147" i="142"/>
  <c r="F147" i="142" s="1"/>
  <c r="E148" i="142"/>
  <c r="F148" i="142" s="1"/>
  <c r="E149" i="142"/>
  <c r="F149" i="142" s="1"/>
  <c r="E150" i="142"/>
  <c r="F150" i="142" s="1"/>
  <c r="E151" i="142"/>
  <c r="F151" i="142" s="1"/>
  <c r="E152" i="142"/>
  <c r="F152" i="142" s="1"/>
  <c r="E153" i="142"/>
  <c r="F153" i="142" s="1"/>
  <c r="E154" i="142"/>
  <c r="F154" i="142" s="1"/>
  <c r="E155" i="142"/>
  <c r="F155" i="142" s="1"/>
  <c r="E156" i="142"/>
  <c r="F156" i="142" s="1"/>
  <c r="E157" i="142"/>
  <c r="F157" i="142" s="1"/>
  <c r="E158" i="142"/>
  <c r="F158" i="142" s="1"/>
  <c r="E159" i="142"/>
  <c r="F159" i="142" s="1"/>
  <c r="E160" i="142"/>
  <c r="F160" i="142" s="1"/>
  <c r="E161" i="142"/>
  <c r="F161" i="142" s="1"/>
  <c r="E162" i="142"/>
  <c r="F162" i="142" s="1"/>
  <c r="E163" i="142"/>
  <c r="F163" i="142" s="1"/>
  <c r="E164" i="142"/>
  <c r="F164" i="142" s="1"/>
  <c r="E165" i="142"/>
  <c r="F165" i="142" s="1"/>
  <c r="E166" i="142"/>
  <c r="F166" i="142" s="1"/>
  <c r="E167" i="142"/>
  <c r="F167" i="142" s="1"/>
  <c r="E168" i="142"/>
  <c r="F168" i="142" s="1"/>
  <c r="E169" i="142"/>
  <c r="F169" i="142" s="1"/>
  <c r="E170" i="142"/>
  <c r="F170" i="142" s="1"/>
  <c r="E171" i="142"/>
  <c r="F171" i="142" s="1"/>
  <c r="E172" i="142"/>
  <c r="F172" i="142" s="1"/>
  <c r="E173" i="142"/>
  <c r="F173" i="142" s="1"/>
  <c r="E174" i="142"/>
  <c r="F174" i="142" s="1"/>
  <c r="E175" i="142"/>
  <c r="F175" i="142" s="1"/>
  <c r="E176" i="142"/>
  <c r="F176" i="142" s="1"/>
  <c r="E177" i="142"/>
  <c r="F177" i="142" s="1"/>
  <c r="E178" i="142"/>
  <c r="F178" i="142" s="1"/>
  <c r="E179" i="142"/>
  <c r="F179" i="142" s="1"/>
  <c r="E180" i="142"/>
  <c r="F180" i="142" s="1"/>
  <c r="E181" i="142"/>
  <c r="F181" i="142" s="1"/>
  <c r="E182" i="142"/>
  <c r="F182" i="142" s="1"/>
  <c r="E183" i="142"/>
  <c r="F183" i="142" s="1"/>
  <c r="E184" i="142"/>
  <c r="F184" i="142" s="1"/>
  <c r="E185" i="142"/>
  <c r="F185" i="142" s="1"/>
  <c r="E186" i="142"/>
  <c r="F186" i="142" s="1"/>
  <c r="E187" i="142"/>
  <c r="F187" i="142" s="1"/>
  <c r="E188" i="142"/>
  <c r="F188" i="142" s="1"/>
  <c r="E189" i="142"/>
  <c r="F189" i="142" s="1"/>
  <c r="E190" i="142"/>
  <c r="F190" i="142" s="1"/>
  <c r="E191" i="142"/>
  <c r="F191" i="142" s="1"/>
  <c r="E192" i="142"/>
  <c r="F192" i="142" s="1"/>
  <c r="E193" i="142"/>
  <c r="F193" i="142" s="1"/>
  <c r="E194" i="142"/>
  <c r="F194" i="142" s="1"/>
  <c r="E195" i="142"/>
  <c r="F195" i="142" s="1"/>
  <c r="E196" i="142"/>
  <c r="F196" i="142" s="1"/>
  <c r="E197" i="142"/>
  <c r="F197" i="142" s="1"/>
  <c r="E198" i="142"/>
  <c r="F198" i="142" s="1"/>
  <c r="E199" i="142"/>
  <c r="F199" i="142" s="1"/>
  <c r="E200" i="142"/>
  <c r="F200" i="142" s="1"/>
  <c r="E201" i="142"/>
  <c r="F201" i="142" s="1"/>
  <c r="E202" i="142"/>
  <c r="F202" i="142" s="1"/>
  <c r="E203" i="142"/>
  <c r="F203" i="142" s="1"/>
  <c r="E204" i="142"/>
  <c r="F204" i="142" s="1"/>
  <c r="E205" i="142"/>
  <c r="F205" i="142" s="1"/>
  <c r="E206" i="142"/>
  <c r="F206" i="142" s="1"/>
  <c r="E207" i="142"/>
  <c r="F207" i="142" s="1"/>
  <c r="E208" i="142"/>
  <c r="F208" i="142" s="1"/>
  <c r="E209" i="142"/>
  <c r="F209" i="142" s="1"/>
  <c r="E210" i="142"/>
  <c r="F210" i="142" s="1"/>
  <c r="E211" i="142"/>
  <c r="F211" i="142" s="1"/>
  <c r="E212" i="142"/>
  <c r="F212" i="142" s="1"/>
  <c r="E213" i="142"/>
  <c r="F213" i="142" s="1"/>
  <c r="E214" i="142"/>
  <c r="F214" i="142" s="1"/>
  <c r="E215" i="142"/>
  <c r="F215" i="142" s="1"/>
  <c r="E216" i="142"/>
  <c r="F216" i="142" s="1"/>
  <c r="E217" i="142"/>
  <c r="F217" i="142" s="1"/>
  <c r="E218" i="142"/>
  <c r="F218" i="142" s="1"/>
  <c r="E219" i="142"/>
  <c r="F219" i="142" s="1"/>
  <c r="E220" i="142"/>
  <c r="F220" i="142" s="1"/>
  <c r="E221" i="142"/>
  <c r="F221" i="142" s="1"/>
  <c r="E222" i="142"/>
  <c r="F222" i="142" s="1"/>
  <c r="E223" i="142"/>
  <c r="F223" i="142" s="1"/>
  <c r="E224" i="142"/>
  <c r="F224" i="142" s="1"/>
  <c r="E225" i="142"/>
  <c r="F225" i="142" s="1"/>
  <c r="E226" i="142"/>
  <c r="F226" i="142" s="1"/>
  <c r="E227" i="142"/>
  <c r="F227" i="142" s="1"/>
  <c r="E228" i="142"/>
  <c r="F228" i="142" s="1"/>
  <c r="E229" i="142"/>
  <c r="F229" i="142" s="1"/>
  <c r="E230" i="142"/>
  <c r="F230" i="142" s="1"/>
  <c r="E231" i="142"/>
  <c r="F231" i="142" s="1"/>
  <c r="E232" i="142"/>
  <c r="F232" i="142" s="1"/>
  <c r="E233" i="142"/>
  <c r="F233" i="142" s="1"/>
  <c r="E234" i="142"/>
  <c r="F234" i="142" s="1"/>
  <c r="E235" i="142"/>
  <c r="F235" i="142" s="1"/>
  <c r="E236" i="142"/>
  <c r="F236" i="142" s="1"/>
  <c r="E237" i="142"/>
  <c r="F237" i="142" s="1"/>
  <c r="E238" i="142"/>
  <c r="F238" i="142" s="1"/>
  <c r="E239" i="142"/>
  <c r="F239" i="142" s="1"/>
  <c r="E240" i="142"/>
  <c r="F240" i="142" s="1"/>
  <c r="E241" i="142"/>
  <c r="F241" i="142" s="1"/>
  <c r="E242" i="142"/>
  <c r="F242" i="142" s="1"/>
  <c r="E243" i="142"/>
  <c r="F243" i="142" s="1"/>
  <c r="E244" i="142"/>
  <c r="F244" i="142" s="1"/>
  <c r="E245" i="142"/>
  <c r="F245" i="142" s="1"/>
  <c r="E246" i="142"/>
  <c r="F246" i="142" s="1"/>
  <c r="E247" i="142"/>
  <c r="F247" i="142" s="1"/>
  <c r="E248" i="142"/>
  <c r="F248" i="142" s="1"/>
  <c r="E249" i="142"/>
  <c r="F249" i="142" s="1"/>
  <c r="E250" i="142"/>
  <c r="F250" i="142" s="1"/>
  <c r="E251" i="142"/>
  <c r="F251" i="142" s="1"/>
  <c r="E252" i="142"/>
  <c r="F252" i="142" s="1"/>
  <c r="E253" i="142"/>
  <c r="F253" i="142" s="1"/>
  <c r="E254" i="142"/>
  <c r="F254" i="142" s="1"/>
  <c r="E255" i="142"/>
  <c r="F255" i="142" s="1"/>
  <c r="E256" i="142"/>
  <c r="F256" i="142" s="1"/>
  <c r="E257" i="142"/>
  <c r="F257" i="142" s="1"/>
  <c r="E258" i="142"/>
  <c r="F258" i="142" s="1"/>
  <c r="E259" i="142"/>
  <c r="F259" i="142" s="1"/>
  <c r="E260" i="142"/>
  <c r="F260" i="142" s="1"/>
  <c r="E261" i="142"/>
  <c r="F261" i="142" s="1"/>
  <c r="E262" i="142"/>
  <c r="F262" i="142" s="1"/>
  <c r="E263" i="142"/>
  <c r="F263" i="142" s="1"/>
  <c r="E264" i="142"/>
  <c r="F264" i="142" s="1"/>
  <c r="E265" i="142"/>
  <c r="F265" i="142" s="1"/>
  <c r="E266" i="142"/>
  <c r="F266" i="142" s="1"/>
  <c r="E267" i="142"/>
  <c r="F267" i="142" s="1"/>
  <c r="E268" i="142"/>
  <c r="F268" i="142" s="1"/>
  <c r="E269" i="142"/>
  <c r="F269" i="142" s="1"/>
  <c r="E270" i="142"/>
  <c r="F270" i="142" s="1"/>
  <c r="E271" i="142"/>
  <c r="F271" i="142" s="1"/>
  <c r="E272" i="142"/>
  <c r="F272" i="142" s="1"/>
  <c r="E273" i="142"/>
  <c r="F273" i="142" s="1"/>
  <c r="E274" i="142"/>
  <c r="F274" i="142" s="1"/>
  <c r="E275" i="142"/>
  <c r="F275" i="142" s="1"/>
  <c r="E276" i="142"/>
  <c r="F276" i="142" s="1"/>
  <c r="E277" i="142"/>
  <c r="F277" i="142" s="1"/>
  <c r="E278" i="142"/>
  <c r="F278" i="142" s="1"/>
  <c r="E279" i="142"/>
  <c r="F279" i="142" s="1"/>
  <c r="E280" i="142"/>
  <c r="F280" i="142" s="1"/>
  <c r="E281" i="142"/>
  <c r="F281" i="142" s="1"/>
  <c r="E282" i="142"/>
  <c r="F282" i="142" s="1"/>
  <c r="E283" i="142"/>
  <c r="F283" i="142" s="1"/>
  <c r="E284" i="142"/>
  <c r="F284" i="142" s="1"/>
  <c r="E285" i="142"/>
  <c r="F285" i="142" s="1"/>
  <c r="E286" i="142"/>
  <c r="F286" i="142" s="1"/>
  <c r="E287" i="142"/>
  <c r="F287" i="142" s="1"/>
  <c r="E288" i="142"/>
  <c r="F288" i="142" s="1"/>
  <c r="E289" i="142"/>
  <c r="F289" i="142" s="1"/>
  <c r="E290" i="142"/>
  <c r="F290" i="142" s="1"/>
  <c r="E291" i="142"/>
  <c r="F291" i="142" s="1"/>
  <c r="E292" i="142"/>
  <c r="F292" i="142" s="1"/>
  <c r="E293" i="142"/>
  <c r="F293" i="142" s="1"/>
  <c r="E294" i="142"/>
  <c r="F294" i="142" s="1"/>
  <c r="E295" i="142"/>
  <c r="F295" i="142" s="1"/>
  <c r="E296" i="142"/>
  <c r="F296" i="142" s="1"/>
  <c r="E297" i="142"/>
  <c r="F297" i="142" s="1"/>
  <c r="E298" i="142"/>
  <c r="F298" i="142" s="1"/>
  <c r="E299" i="142"/>
  <c r="F299" i="142" s="1"/>
  <c r="E300" i="142"/>
  <c r="F300" i="142" s="1"/>
  <c r="E301" i="142"/>
  <c r="F301" i="142" s="1"/>
  <c r="F42" i="142" l="1"/>
  <c r="F41" i="142"/>
  <c r="F40" i="142"/>
  <c r="F20" i="142"/>
  <c r="F39" i="142"/>
  <c r="F35" i="142"/>
  <c r="F31" i="142"/>
  <c r="F27" i="142"/>
  <c r="F23" i="142"/>
  <c r="F19" i="142"/>
  <c r="F15" i="142"/>
  <c r="F11" i="142"/>
  <c r="F7" i="142"/>
  <c r="F3" i="142"/>
  <c r="F30" i="142"/>
  <c r="F18" i="142"/>
  <c r="F38" i="142"/>
  <c r="F34" i="142"/>
  <c r="F26" i="142"/>
  <c r="F22" i="142"/>
  <c r="F14" i="142"/>
  <c r="F10" i="142"/>
  <c r="F6" i="142"/>
  <c r="F37" i="142"/>
  <c r="F33" i="142"/>
  <c r="F29" i="142"/>
  <c r="F25" i="142"/>
  <c r="F21" i="142"/>
  <c r="F17" i="142"/>
  <c r="F13" i="142"/>
  <c r="F9" i="142"/>
  <c r="F5" i="142"/>
  <c r="F36" i="142"/>
  <c r="F32" i="142"/>
  <c r="F28" i="142"/>
  <c r="F24" i="142"/>
  <c r="F16" i="142"/>
  <c r="F12" i="142"/>
  <c r="F8" i="142"/>
  <c r="F4" i="142"/>
  <c r="B4" i="142"/>
  <c r="B8" i="142"/>
  <c r="B12" i="142"/>
  <c r="B16" i="142"/>
  <c r="B20" i="142"/>
  <c r="B24" i="142"/>
  <c r="B28" i="142"/>
  <c r="B32" i="142"/>
  <c r="B36" i="142"/>
  <c r="B40" i="142"/>
  <c r="B44" i="142"/>
  <c r="B48" i="142"/>
  <c r="B52" i="142"/>
  <c r="B56" i="142"/>
  <c r="B60" i="142"/>
  <c r="B64" i="142"/>
  <c r="B68" i="142"/>
  <c r="B72" i="142"/>
  <c r="B76" i="142"/>
  <c r="B80" i="142"/>
  <c r="B84" i="142"/>
  <c r="B88" i="142"/>
  <c r="B92" i="142"/>
  <c r="B96" i="142"/>
  <c r="B100" i="142"/>
  <c r="B104" i="142"/>
  <c r="B108" i="142"/>
  <c r="B112" i="142"/>
  <c r="B116" i="142"/>
  <c r="B120" i="142"/>
  <c r="B124" i="142"/>
  <c r="B128" i="142"/>
  <c r="B132" i="142"/>
  <c r="B136" i="142"/>
  <c r="B140" i="142"/>
  <c r="B144" i="142"/>
  <c r="B148" i="142"/>
  <c r="B152" i="142"/>
  <c r="B156" i="142"/>
  <c r="B160" i="142"/>
  <c r="B164" i="142"/>
  <c r="B168" i="142"/>
  <c r="B172" i="142"/>
  <c r="B176" i="142"/>
  <c r="B180" i="142"/>
  <c r="B184" i="142"/>
  <c r="B188" i="142"/>
  <c r="B192" i="142"/>
  <c r="B196" i="142"/>
  <c r="B200" i="142"/>
  <c r="B204" i="142"/>
  <c r="B208" i="142"/>
  <c r="B212" i="142"/>
  <c r="B216" i="142"/>
  <c r="B220" i="142"/>
  <c r="B224" i="142"/>
  <c r="B228" i="142"/>
  <c r="B232" i="142"/>
  <c r="B236" i="142"/>
  <c r="B240" i="142"/>
  <c r="B244" i="142"/>
  <c r="B248" i="142"/>
  <c r="B252" i="142"/>
  <c r="B256" i="142"/>
  <c r="B260" i="142"/>
  <c r="B264" i="142"/>
  <c r="B268" i="142"/>
  <c r="B272" i="142"/>
  <c r="B276" i="142"/>
  <c r="B280" i="142"/>
  <c r="B284" i="142"/>
  <c r="B288" i="142"/>
  <c r="B292" i="142"/>
  <c r="B296" i="142"/>
  <c r="B300" i="142"/>
  <c r="B5" i="142"/>
  <c r="B9" i="142"/>
  <c r="B13" i="142"/>
  <c r="B17" i="142"/>
  <c r="B21" i="142"/>
  <c r="B25" i="142"/>
  <c r="B29" i="142"/>
  <c r="B33" i="142"/>
  <c r="B37" i="142"/>
  <c r="B41" i="142"/>
  <c r="B6" i="142"/>
  <c r="B14" i="142"/>
  <c r="B22" i="142"/>
  <c r="B30" i="142"/>
  <c r="B38" i="142"/>
  <c r="B45" i="142"/>
  <c r="B50" i="142"/>
  <c r="B55" i="142"/>
  <c r="B61" i="142"/>
  <c r="B66" i="142"/>
  <c r="B71" i="142"/>
  <c r="B77" i="142"/>
  <c r="B82" i="142"/>
  <c r="B87" i="142"/>
  <c r="B93" i="142"/>
  <c r="B98" i="142"/>
  <c r="B103" i="142"/>
  <c r="B109" i="142"/>
  <c r="B114" i="142"/>
  <c r="B119" i="142"/>
  <c r="B125" i="142"/>
  <c r="B130" i="142"/>
  <c r="B135" i="142"/>
  <c r="B141" i="142"/>
  <c r="B146" i="142"/>
  <c r="B151" i="142"/>
  <c r="B157" i="142"/>
  <c r="B162" i="142"/>
  <c r="B167" i="142"/>
  <c r="B173" i="142"/>
  <c r="B178" i="142"/>
  <c r="B183" i="142"/>
  <c r="B189" i="142"/>
  <c r="B194" i="142"/>
  <c r="B199" i="142"/>
  <c r="B205" i="142"/>
  <c r="B210" i="142"/>
  <c r="B215" i="142"/>
  <c r="B221" i="142"/>
  <c r="B226" i="142"/>
  <c r="B231" i="142"/>
  <c r="B237" i="142"/>
  <c r="B242" i="142"/>
  <c r="B247" i="142"/>
  <c r="B253" i="142"/>
  <c r="B258" i="142"/>
  <c r="B263" i="142"/>
  <c r="B269" i="142"/>
  <c r="B274" i="142"/>
  <c r="B279" i="142"/>
  <c r="B285" i="142"/>
  <c r="B290" i="142"/>
  <c r="B295" i="142"/>
  <c r="B301" i="142"/>
  <c r="B7" i="142"/>
  <c r="B15" i="142"/>
  <c r="B23" i="142"/>
  <c r="B31" i="142"/>
  <c r="B39" i="142"/>
  <c r="B46" i="142"/>
  <c r="B51" i="142"/>
  <c r="B57" i="142"/>
  <c r="B62" i="142"/>
  <c r="B67" i="142"/>
  <c r="B73" i="142"/>
  <c r="B78" i="142"/>
  <c r="B83" i="142"/>
  <c r="B89" i="142"/>
  <c r="B94" i="142"/>
  <c r="B99" i="142"/>
  <c r="B105" i="142"/>
  <c r="B110" i="142"/>
  <c r="B115" i="142"/>
  <c r="B121" i="142"/>
  <c r="B126" i="142"/>
  <c r="B131" i="142"/>
  <c r="B137" i="142"/>
  <c r="B142" i="142"/>
  <c r="B147" i="142"/>
  <c r="B153" i="142"/>
  <c r="B158" i="142"/>
  <c r="B163" i="142"/>
  <c r="B169" i="142"/>
  <c r="B174" i="142"/>
  <c r="B179" i="142"/>
  <c r="B185" i="142"/>
  <c r="B190" i="142"/>
  <c r="B195" i="142"/>
  <c r="B201" i="142"/>
  <c r="B206" i="142"/>
  <c r="B211" i="142"/>
  <c r="B217" i="142"/>
  <c r="B222" i="142"/>
  <c r="B227" i="142"/>
  <c r="B233" i="142"/>
  <c r="B238" i="142"/>
  <c r="B243" i="142"/>
  <c r="B249" i="142"/>
  <c r="B254" i="142"/>
  <c r="B259" i="142"/>
  <c r="B265" i="142"/>
  <c r="B270" i="142"/>
  <c r="B275" i="142"/>
  <c r="B281" i="142"/>
  <c r="B286" i="142"/>
  <c r="B291" i="142"/>
  <c r="B297" i="142"/>
  <c r="C2" i="142"/>
  <c r="B10" i="142"/>
  <c r="B18" i="142"/>
  <c r="B26" i="142"/>
  <c r="B34" i="142"/>
  <c r="B42" i="142"/>
  <c r="B47" i="142"/>
  <c r="B53" i="142"/>
  <c r="B58" i="142"/>
  <c r="B63" i="142"/>
  <c r="B69" i="142"/>
  <c r="B74" i="142"/>
  <c r="B79" i="142"/>
  <c r="B85" i="142"/>
  <c r="B90" i="142"/>
  <c r="B95" i="142"/>
  <c r="B101" i="142"/>
  <c r="B106" i="142"/>
  <c r="B111" i="142"/>
  <c r="B117" i="142"/>
  <c r="B122" i="142"/>
  <c r="B127" i="142"/>
  <c r="B133" i="142"/>
  <c r="B138" i="142"/>
  <c r="B143" i="142"/>
  <c r="B149" i="142"/>
  <c r="B154" i="142"/>
  <c r="B159" i="142"/>
  <c r="B165" i="142"/>
  <c r="B170" i="142"/>
  <c r="B175" i="142"/>
  <c r="B181" i="142"/>
  <c r="B186" i="142"/>
  <c r="B191" i="142"/>
  <c r="B197" i="142"/>
  <c r="B202" i="142"/>
  <c r="B207" i="142"/>
  <c r="B213" i="142"/>
  <c r="B218" i="142"/>
  <c r="B223" i="142"/>
  <c r="B229" i="142"/>
  <c r="B234" i="142"/>
  <c r="B239" i="142"/>
  <c r="B245" i="142"/>
  <c r="B250" i="142"/>
  <c r="B255" i="142"/>
  <c r="B261" i="142"/>
  <c r="B266" i="142"/>
  <c r="B271" i="142"/>
  <c r="B277" i="142"/>
  <c r="B282" i="142"/>
  <c r="B287" i="142"/>
  <c r="B293" i="142"/>
  <c r="B298" i="142"/>
  <c r="B3" i="142"/>
  <c r="B11" i="142"/>
  <c r="B19" i="142"/>
  <c r="B27" i="142"/>
  <c r="B35" i="142"/>
  <c r="B43" i="142"/>
  <c r="B49" i="142"/>
  <c r="B54" i="142"/>
  <c r="B59" i="142"/>
  <c r="B75" i="142"/>
  <c r="B97" i="142"/>
  <c r="B118" i="142"/>
  <c r="B139" i="142"/>
  <c r="B161" i="142"/>
  <c r="B182" i="142"/>
  <c r="B203" i="142"/>
  <c r="B225" i="142"/>
  <c r="B246" i="142"/>
  <c r="B267" i="142"/>
  <c r="B289" i="142"/>
  <c r="B81" i="142"/>
  <c r="B102" i="142"/>
  <c r="B123" i="142"/>
  <c r="B145" i="142"/>
  <c r="B166" i="142"/>
  <c r="B187" i="142"/>
  <c r="B209" i="142"/>
  <c r="B230" i="142"/>
  <c r="B251" i="142"/>
  <c r="B273" i="142"/>
  <c r="B294" i="142"/>
  <c r="B65" i="142"/>
  <c r="B86" i="142"/>
  <c r="B107" i="142"/>
  <c r="B129" i="142"/>
  <c r="B150" i="142"/>
  <c r="B171" i="142"/>
  <c r="B193" i="142"/>
  <c r="B214" i="142"/>
  <c r="B235" i="142"/>
  <c r="B257" i="142"/>
  <c r="B278" i="142"/>
  <c r="B299" i="142"/>
  <c r="B70" i="142"/>
  <c r="B91" i="142"/>
  <c r="B113" i="142"/>
  <c r="B134" i="142"/>
  <c r="B155" i="142"/>
  <c r="B177" i="142"/>
  <c r="B198" i="142"/>
  <c r="B219" i="142"/>
  <c r="B241" i="142"/>
  <c r="B262" i="142"/>
  <c r="B283" i="142"/>
  <c r="A154" i="3"/>
  <c r="A128" i="3"/>
  <c r="A102" i="3"/>
  <c r="A50" i="3"/>
  <c r="G2" i="142" l="1"/>
  <c r="G3" i="142"/>
  <c r="G18" i="142"/>
  <c r="G283" i="142"/>
  <c r="G27" i="142"/>
  <c r="G258" i="142"/>
  <c r="G234" i="142"/>
  <c r="G46" i="142"/>
  <c r="G286" i="142"/>
  <c r="G161" i="142"/>
  <c r="G101" i="142"/>
  <c r="G219" i="142"/>
  <c r="G282" i="142"/>
  <c r="G273" i="142"/>
  <c r="G112" i="142"/>
  <c r="G155" i="142"/>
  <c r="G174" i="142"/>
  <c r="G260" i="142"/>
  <c r="G184" i="142"/>
  <c r="G48" i="142"/>
  <c r="G91" i="142"/>
  <c r="G110" i="142"/>
  <c r="G238" i="142"/>
  <c r="G233" i="142"/>
  <c r="G180" i="142"/>
  <c r="G237" i="142"/>
  <c r="G109" i="142"/>
  <c r="G252" i="142"/>
  <c r="G152" i="142"/>
  <c r="G213" i="142"/>
  <c r="G37" i="142"/>
  <c r="G96" i="142"/>
  <c r="G32" i="142"/>
  <c r="G267" i="142"/>
  <c r="G203" i="142"/>
  <c r="G139" i="142"/>
  <c r="G75" i="142"/>
  <c r="G11" i="142"/>
  <c r="G158" i="142"/>
  <c r="G94" i="142"/>
  <c r="G30" i="142"/>
  <c r="G113" i="142"/>
  <c r="G97" i="142"/>
  <c r="G301" i="142"/>
  <c r="G216" i="142"/>
  <c r="G45" i="142"/>
  <c r="G230" i="142"/>
  <c r="G89" i="142"/>
  <c r="G189" i="142"/>
  <c r="G144" i="142"/>
  <c r="G80" i="142"/>
  <c r="G16" i="142"/>
  <c r="G251" i="142"/>
  <c r="G187" i="142"/>
  <c r="G123" i="142"/>
  <c r="G59" i="142"/>
  <c r="G142" i="142"/>
  <c r="G78" i="142"/>
  <c r="G14" i="142"/>
  <c r="G298" i="142"/>
  <c r="G222" i="142"/>
  <c r="G129" i="142"/>
  <c r="G280" i="142"/>
  <c r="G193" i="142"/>
  <c r="G294" i="142"/>
  <c r="G209" i="142"/>
  <c r="G25" i="142"/>
  <c r="G157" i="142"/>
  <c r="G128" i="142"/>
  <c r="G64" i="142"/>
  <c r="G299" i="142"/>
  <c r="G235" i="142"/>
  <c r="G171" i="142"/>
  <c r="G107" i="142"/>
  <c r="G43" i="142"/>
  <c r="G190" i="142"/>
  <c r="G126" i="142"/>
  <c r="G62" i="142"/>
  <c r="G266" i="142"/>
  <c r="G276" i="142"/>
  <c r="G217" i="142"/>
  <c r="G49" i="142"/>
  <c r="G201" i="142"/>
  <c r="G272" i="142"/>
  <c r="G212" i="142"/>
  <c r="G33" i="142"/>
  <c r="G292" i="142"/>
  <c r="G249" i="142"/>
  <c r="G145" i="142"/>
  <c r="G296" i="142"/>
  <c r="G274" i="142"/>
  <c r="G253" i="142"/>
  <c r="G232" i="142"/>
  <c r="G210" i="142"/>
  <c r="G185" i="142"/>
  <c r="G153" i="142"/>
  <c r="G93" i="142"/>
  <c r="G29" i="142"/>
  <c r="G289" i="142"/>
  <c r="G268" i="142"/>
  <c r="G246" i="142"/>
  <c r="G225" i="142"/>
  <c r="G204" i="142"/>
  <c r="G176" i="142"/>
  <c r="G137" i="142"/>
  <c r="G73" i="142"/>
  <c r="G9" i="142"/>
  <c r="G229" i="142"/>
  <c r="G208" i="142"/>
  <c r="G181" i="142"/>
  <c r="G149" i="142"/>
  <c r="G85" i="142"/>
  <c r="G21" i="142"/>
  <c r="G140" i="142"/>
  <c r="G124" i="142"/>
  <c r="G108" i="142"/>
  <c r="G92" i="142"/>
  <c r="G76" i="142"/>
  <c r="G60" i="142"/>
  <c r="G44" i="142"/>
  <c r="G28" i="142"/>
  <c r="G12" i="142"/>
  <c r="G295" i="142"/>
  <c r="G279" i="142"/>
  <c r="G263" i="142"/>
  <c r="G247" i="142"/>
  <c r="G231" i="142"/>
  <c r="G215" i="142"/>
  <c r="G199" i="142"/>
  <c r="G183" i="142"/>
  <c r="G167" i="142"/>
  <c r="G151" i="142"/>
  <c r="G135" i="142"/>
  <c r="G119" i="142"/>
  <c r="G103" i="142"/>
  <c r="G87" i="142"/>
  <c r="G71" i="142"/>
  <c r="G55" i="142"/>
  <c r="G39" i="142"/>
  <c r="G23" i="142"/>
  <c r="G7" i="142"/>
  <c r="G186" i="142"/>
  <c r="G170" i="142"/>
  <c r="G154" i="142"/>
  <c r="G138" i="142"/>
  <c r="G122" i="142"/>
  <c r="G106" i="142"/>
  <c r="G90" i="142"/>
  <c r="G74" i="142"/>
  <c r="G58" i="142"/>
  <c r="G42" i="142"/>
  <c r="G26" i="142"/>
  <c r="G10" i="142"/>
  <c r="G172" i="142"/>
  <c r="G265" i="142"/>
  <c r="G196" i="142"/>
  <c r="G277" i="142"/>
  <c r="G65" i="142"/>
  <c r="G261" i="142"/>
  <c r="G188" i="142"/>
  <c r="G288" i="142"/>
  <c r="G281" i="142"/>
  <c r="G228" i="142"/>
  <c r="G81" i="142"/>
  <c r="G290" i="142"/>
  <c r="G269" i="142"/>
  <c r="G248" i="142"/>
  <c r="G226" i="142"/>
  <c r="G205" i="142"/>
  <c r="G177" i="142"/>
  <c r="G141" i="142"/>
  <c r="G77" i="142"/>
  <c r="G13" i="142"/>
  <c r="G284" i="142"/>
  <c r="G262" i="142"/>
  <c r="G241" i="142"/>
  <c r="G220" i="142"/>
  <c r="G198" i="142"/>
  <c r="G168" i="142"/>
  <c r="G121" i="142"/>
  <c r="G57" i="142"/>
  <c r="G245" i="142"/>
  <c r="G224" i="142"/>
  <c r="G202" i="142"/>
  <c r="G173" i="142"/>
  <c r="G133" i="142"/>
  <c r="G69" i="142"/>
  <c r="G5" i="142"/>
  <c r="G136" i="142"/>
  <c r="G120" i="142"/>
  <c r="G104" i="142"/>
  <c r="G88" i="142"/>
  <c r="G72" i="142"/>
  <c r="G56" i="142"/>
  <c r="G40" i="142"/>
  <c r="G24" i="142"/>
  <c r="G8" i="142"/>
  <c r="G291" i="142"/>
  <c r="G275" i="142"/>
  <c r="G259" i="142"/>
  <c r="G243" i="142"/>
  <c r="G227" i="142"/>
  <c r="G211" i="142"/>
  <c r="G195" i="142"/>
  <c r="G179" i="142"/>
  <c r="G163" i="142"/>
  <c r="G147" i="142"/>
  <c r="G131" i="142"/>
  <c r="G115" i="142"/>
  <c r="G99" i="142"/>
  <c r="G83" i="142"/>
  <c r="G67" i="142"/>
  <c r="G51" i="142"/>
  <c r="G35" i="142"/>
  <c r="G19" i="142"/>
  <c r="G182" i="142"/>
  <c r="G166" i="142"/>
  <c r="G150" i="142"/>
  <c r="G134" i="142"/>
  <c r="G118" i="142"/>
  <c r="G102" i="142"/>
  <c r="G86" i="142"/>
  <c r="G70" i="142"/>
  <c r="G54" i="142"/>
  <c r="G38" i="142"/>
  <c r="G22" i="142"/>
  <c r="G6" i="142"/>
  <c r="G297" i="142"/>
  <c r="G254" i="142"/>
  <c r="G164" i="142"/>
  <c r="G244" i="142"/>
  <c r="G293" i="142"/>
  <c r="G250" i="142"/>
  <c r="G156" i="142"/>
  <c r="G256" i="142"/>
  <c r="G270" i="142"/>
  <c r="G206" i="142"/>
  <c r="G17" i="142"/>
  <c r="G285" i="142"/>
  <c r="G264" i="142"/>
  <c r="G242" i="142"/>
  <c r="G221" i="142"/>
  <c r="G200" i="142"/>
  <c r="G169" i="142"/>
  <c r="G125" i="142"/>
  <c r="G61" i="142"/>
  <c r="G300" i="142"/>
  <c r="G278" i="142"/>
  <c r="G257" i="142"/>
  <c r="G236" i="142"/>
  <c r="G214" i="142"/>
  <c r="G192" i="142"/>
  <c r="G160" i="142"/>
  <c r="G105" i="142"/>
  <c r="G41" i="142"/>
  <c r="G240" i="142"/>
  <c r="G218" i="142"/>
  <c r="G197" i="142"/>
  <c r="G165" i="142"/>
  <c r="G117" i="142"/>
  <c r="G53" i="142"/>
  <c r="G148" i="142"/>
  <c r="G132" i="142"/>
  <c r="G116" i="142"/>
  <c r="G100" i="142"/>
  <c r="G84" i="142"/>
  <c r="G68" i="142"/>
  <c r="G52" i="142"/>
  <c r="G36" i="142"/>
  <c r="G20" i="142"/>
  <c r="G4" i="142"/>
  <c r="G287" i="142"/>
  <c r="G271" i="142"/>
  <c r="G255" i="142"/>
  <c r="G239" i="142"/>
  <c r="G223" i="142"/>
  <c r="G207" i="142"/>
  <c r="G191" i="142"/>
  <c r="G175" i="142"/>
  <c r="G159" i="142"/>
  <c r="G143" i="142"/>
  <c r="G127" i="142"/>
  <c r="G111" i="142"/>
  <c r="G95" i="142"/>
  <c r="G79" i="142"/>
  <c r="G63" i="142"/>
  <c r="G47" i="142"/>
  <c r="G31" i="142"/>
  <c r="G15" i="142"/>
  <c r="G194" i="142"/>
  <c r="G178" i="142"/>
  <c r="G162" i="142"/>
  <c r="G146" i="142"/>
  <c r="G130" i="142"/>
  <c r="G114" i="142"/>
  <c r="G98" i="142"/>
  <c r="G82" i="142"/>
  <c r="G66" i="142"/>
  <c r="G50" i="142"/>
  <c r="G34" i="142"/>
  <c r="C10" i="142"/>
  <c r="C4" i="142"/>
  <c r="O9" i="1" l="1"/>
  <c r="O7" i="1"/>
  <c r="E178" i="3" s="1"/>
  <c r="R42" i="3" l="1"/>
  <c r="Q42" i="3" s="1"/>
  <c r="S42" i="3"/>
  <c r="S37" i="3"/>
  <c r="O42" i="3"/>
  <c r="P42" i="3" s="1"/>
  <c r="O37" i="3"/>
  <c r="N42" i="3"/>
  <c r="N37" i="3"/>
  <c r="U42" i="3"/>
  <c r="T42" i="3"/>
  <c r="V42" i="3" l="1"/>
  <c r="Q190" i="3"/>
  <c r="E182" i="3"/>
  <c r="Q26" i="3" l="1"/>
  <c r="Q25" i="3"/>
  <c r="Q24" i="3"/>
  <c r="Q23" i="3"/>
  <c r="Q22" i="3"/>
  <c r="Q4" i="3"/>
  <c r="Q5" i="3"/>
  <c r="Q6" i="3"/>
  <c r="Q7" i="3"/>
  <c r="Q8" i="3"/>
  <c r="Q9" i="3"/>
  <c r="Q10" i="3"/>
  <c r="Q11" i="3"/>
  <c r="Q12" i="3"/>
  <c r="Q3" i="3"/>
  <c r="M219" i="3"/>
  <c r="M218" i="3"/>
  <c r="M217" i="3"/>
  <c r="M216" i="3"/>
  <c r="M215" i="3"/>
  <c r="M214" i="3"/>
  <c r="M213" i="3"/>
  <c r="M212" i="3"/>
  <c r="M211" i="3"/>
  <c r="M210" i="3"/>
  <c r="H219" i="3"/>
  <c r="H218" i="3"/>
  <c r="H217" i="3"/>
  <c r="H216" i="3"/>
  <c r="H215" i="3"/>
  <c r="H214" i="3"/>
  <c r="H213" i="3"/>
  <c r="H212" i="3"/>
  <c r="H211" i="3"/>
  <c r="H210" i="3"/>
  <c r="C219" i="3"/>
  <c r="C218" i="3"/>
  <c r="C217" i="3"/>
  <c r="C216" i="3"/>
  <c r="C215" i="3"/>
  <c r="C214" i="3"/>
  <c r="C213" i="3"/>
  <c r="C212" i="3"/>
  <c r="C211" i="3"/>
  <c r="C210" i="3"/>
  <c r="M200" i="3"/>
  <c r="M199" i="3"/>
  <c r="M198" i="3"/>
  <c r="M197" i="3"/>
  <c r="M196" i="3"/>
  <c r="M195" i="3"/>
  <c r="M194" i="3"/>
  <c r="M193" i="3"/>
  <c r="M192" i="3"/>
  <c r="M191" i="3"/>
  <c r="H200" i="3"/>
  <c r="H199" i="3"/>
  <c r="H198" i="3"/>
  <c r="H197" i="3"/>
  <c r="H196" i="3"/>
  <c r="H195" i="3"/>
  <c r="H194" i="3"/>
  <c r="H193" i="3"/>
  <c r="H192" i="3"/>
  <c r="H191" i="3"/>
  <c r="C200" i="3"/>
  <c r="C199" i="3"/>
  <c r="C198" i="3"/>
  <c r="C197" i="3"/>
  <c r="C196" i="3"/>
  <c r="C195" i="3"/>
  <c r="C194" i="3"/>
  <c r="C193" i="3"/>
  <c r="C192" i="3"/>
  <c r="C191" i="3"/>
  <c r="H173" i="3"/>
  <c r="H172" i="3"/>
  <c r="H171" i="3"/>
  <c r="H170" i="3"/>
  <c r="H169" i="3"/>
  <c r="H168" i="3"/>
  <c r="H167" i="3"/>
  <c r="H166" i="3"/>
  <c r="H165" i="3"/>
  <c r="H164" i="3"/>
  <c r="C173" i="3"/>
  <c r="C172" i="3"/>
  <c r="C171" i="3"/>
  <c r="C170" i="3"/>
  <c r="C169" i="3"/>
  <c r="C168" i="3"/>
  <c r="C167" i="3"/>
  <c r="C166" i="3"/>
  <c r="C165" i="3"/>
  <c r="C164" i="3"/>
  <c r="H147" i="3"/>
  <c r="H146" i="3"/>
  <c r="H145" i="3"/>
  <c r="H144" i="3"/>
  <c r="H143" i="3"/>
  <c r="H142" i="3"/>
  <c r="H141" i="3"/>
  <c r="H140" i="3"/>
  <c r="H139" i="3"/>
  <c r="H138" i="3"/>
  <c r="C147" i="3"/>
  <c r="C146" i="3"/>
  <c r="C145" i="3"/>
  <c r="C144" i="3"/>
  <c r="C143" i="3"/>
  <c r="C142" i="3"/>
  <c r="C141" i="3"/>
  <c r="C140" i="3"/>
  <c r="C139" i="3"/>
  <c r="C138" i="3"/>
  <c r="H121" i="3"/>
  <c r="H120" i="3"/>
  <c r="H119" i="3"/>
  <c r="H118" i="3"/>
  <c r="H117" i="3"/>
  <c r="H116" i="3"/>
  <c r="H115" i="3"/>
  <c r="H114" i="3"/>
  <c r="H113" i="3"/>
  <c r="H112" i="3"/>
  <c r="C121" i="3"/>
  <c r="C120" i="3"/>
  <c r="C119" i="3"/>
  <c r="C118" i="3"/>
  <c r="C117" i="3"/>
  <c r="C116" i="3"/>
  <c r="C115" i="3"/>
  <c r="C114" i="3"/>
  <c r="C113" i="3"/>
  <c r="C112" i="3"/>
  <c r="H95" i="3"/>
  <c r="H94" i="3"/>
  <c r="H93" i="3"/>
  <c r="H92" i="3"/>
  <c r="H91" i="3"/>
  <c r="H90" i="3"/>
  <c r="H89" i="3"/>
  <c r="H88" i="3"/>
  <c r="H87" i="3"/>
  <c r="H86" i="3"/>
  <c r="C95" i="3"/>
  <c r="C94" i="3"/>
  <c r="C93" i="3"/>
  <c r="C92" i="3"/>
  <c r="C91" i="3"/>
  <c r="C90" i="3"/>
  <c r="C89" i="3"/>
  <c r="C88" i="3"/>
  <c r="C87" i="3"/>
  <c r="C86" i="3"/>
  <c r="H69" i="3"/>
  <c r="H68" i="3"/>
  <c r="H67" i="3"/>
  <c r="H66" i="3"/>
  <c r="H65" i="3"/>
  <c r="H64" i="3"/>
  <c r="H63" i="3"/>
  <c r="H62" i="3"/>
  <c r="H61" i="3"/>
  <c r="H60" i="3"/>
  <c r="C69" i="3"/>
  <c r="C68" i="3"/>
  <c r="C67" i="3"/>
  <c r="C66" i="3"/>
  <c r="C65" i="3"/>
  <c r="C64" i="3"/>
  <c r="C63" i="3"/>
  <c r="C62" i="3"/>
  <c r="C61" i="3"/>
  <c r="C60" i="3"/>
  <c r="H43" i="3"/>
  <c r="H42" i="3"/>
  <c r="H41" i="3"/>
  <c r="H40" i="3"/>
  <c r="H39" i="3"/>
  <c r="H38" i="3"/>
  <c r="H37" i="3"/>
  <c r="H36" i="3"/>
  <c r="H35" i="3"/>
  <c r="H34" i="3"/>
  <c r="C36" i="3"/>
  <c r="C37" i="3"/>
  <c r="C38" i="3"/>
  <c r="C39" i="3"/>
  <c r="C40" i="3"/>
  <c r="C41" i="3"/>
  <c r="C42" i="3"/>
  <c r="C43" i="3"/>
  <c r="C35" i="3"/>
  <c r="C34" i="3"/>
  <c r="S31" i="3"/>
  <c r="M161" i="3" l="1"/>
  <c r="M162" i="3" s="1"/>
  <c r="M157" i="3"/>
  <c r="M158" i="3" s="1"/>
  <c r="M135" i="3"/>
  <c r="M136" i="3" s="1"/>
  <c r="M131" i="3"/>
  <c r="M132" i="3" s="1"/>
  <c r="M109" i="3"/>
  <c r="M110" i="3" s="1"/>
  <c r="M105" i="3"/>
  <c r="M106" i="3" s="1"/>
  <c r="M79" i="3"/>
  <c r="M80" i="3" s="1"/>
  <c r="M83" i="3"/>
  <c r="M84" i="3" s="1"/>
  <c r="N38" i="3" l="1"/>
  <c r="N36" i="3"/>
  <c r="N35" i="3"/>
  <c r="N34" i="3"/>
  <c r="N33" i="3"/>
  <c r="N32" i="3"/>
  <c r="N31" i="3"/>
  <c r="S38" i="3"/>
  <c r="S36" i="3"/>
  <c r="S35" i="3"/>
  <c r="S34" i="3"/>
  <c r="S33" i="3"/>
  <c r="S32" i="3"/>
  <c r="M31" i="3"/>
  <c r="M32" i="3" s="1"/>
  <c r="M53" i="3"/>
  <c r="M54" i="3" s="1"/>
  <c r="J153" i="5" l="1"/>
  <c r="J154" i="5"/>
  <c r="J155" i="5"/>
  <c r="J156" i="5"/>
  <c r="J157" i="5"/>
  <c r="J158" i="5"/>
  <c r="J159" i="5"/>
  <c r="J160" i="5"/>
  <c r="J161" i="5"/>
  <c r="J162" i="5"/>
  <c r="J163" i="5"/>
  <c r="J164" i="5"/>
  <c r="J165" i="5"/>
  <c r="J166" i="5"/>
  <c r="J167" i="5"/>
  <c r="J168" i="5"/>
  <c r="J169" i="5"/>
  <c r="J170" i="5"/>
  <c r="J171" i="5"/>
  <c r="J172" i="5"/>
  <c r="J173" i="5"/>
  <c r="J174" i="5"/>
  <c r="J175" i="5"/>
  <c r="J176" i="5"/>
  <c r="J177" i="5"/>
  <c r="J178" i="5"/>
  <c r="J179" i="5"/>
  <c r="J180" i="5"/>
  <c r="J181" i="5"/>
  <c r="J182" i="5"/>
  <c r="J183" i="5"/>
  <c r="J184" i="5"/>
  <c r="J185" i="5"/>
  <c r="J186" i="5"/>
  <c r="J187" i="5"/>
  <c r="J188" i="5"/>
  <c r="J189" i="5"/>
  <c r="J190" i="5"/>
  <c r="J191" i="5"/>
  <c r="J192" i="5"/>
  <c r="J193" i="5"/>
  <c r="J194" i="5"/>
  <c r="J195" i="5"/>
  <c r="J196" i="5"/>
  <c r="J197" i="5"/>
  <c r="J198" i="5"/>
  <c r="J199" i="5"/>
  <c r="J200" i="5"/>
  <c r="J201" i="5"/>
  <c r="J202" i="5"/>
  <c r="J203" i="5"/>
  <c r="J204" i="5"/>
  <c r="J205" i="5"/>
  <c r="J206" i="5"/>
  <c r="J207" i="5"/>
  <c r="J208" i="5"/>
  <c r="J209" i="5"/>
  <c r="J210" i="5"/>
  <c r="J211" i="5"/>
  <c r="J212" i="5"/>
  <c r="J213" i="5"/>
  <c r="J214" i="5"/>
  <c r="J215" i="5"/>
  <c r="J216" i="5"/>
  <c r="J217" i="5"/>
  <c r="J218" i="5"/>
  <c r="J219" i="5"/>
  <c r="J220" i="5"/>
  <c r="J221" i="5"/>
  <c r="J222" i="5"/>
  <c r="J223" i="5"/>
  <c r="J224" i="5"/>
  <c r="J225" i="5"/>
  <c r="J226" i="5"/>
  <c r="J227" i="5"/>
  <c r="J228" i="5"/>
  <c r="J229" i="5"/>
  <c r="J230" i="5"/>
  <c r="J231" i="5"/>
  <c r="J232" i="5"/>
  <c r="J233" i="5"/>
  <c r="J234" i="5"/>
  <c r="J235" i="5"/>
  <c r="J236" i="5"/>
  <c r="J238" i="5"/>
  <c r="J239" i="5"/>
  <c r="J240" i="5"/>
  <c r="J241" i="5"/>
  <c r="J242" i="5"/>
  <c r="J243" i="5"/>
  <c r="J244" i="5"/>
  <c r="J245" i="5"/>
  <c r="J246" i="5"/>
  <c r="J247" i="5"/>
  <c r="J248" i="5"/>
  <c r="J249" i="5"/>
  <c r="J250" i="5"/>
  <c r="J251" i="5"/>
  <c r="J252" i="5"/>
  <c r="J253" i="5"/>
  <c r="J254" i="5"/>
  <c r="J255" i="5"/>
  <c r="J256" i="5"/>
  <c r="J257" i="5"/>
  <c r="J258" i="5"/>
  <c r="J259" i="5"/>
  <c r="J260" i="5"/>
  <c r="J261" i="5"/>
  <c r="J262" i="5"/>
  <c r="J263" i="5"/>
  <c r="J264" i="5"/>
  <c r="J265" i="5"/>
  <c r="J266" i="5"/>
  <c r="J267" i="5"/>
  <c r="J268" i="5"/>
  <c r="J269" i="5"/>
  <c r="J270" i="5"/>
  <c r="J271" i="5"/>
  <c r="J272" i="5"/>
  <c r="J273" i="5"/>
  <c r="J274" i="5"/>
  <c r="J275" i="5"/>
  <c r="J276" i="5"/>
  <c r="J277" i="5"/>
  <c r="J278" i="5"/>
  <c r="J279" i="5"/>
  <c r="J280" i="5"/>
  <c r="J281" i="5"/>
  <c r="J282" i="5"/>
  <c r="J283" i="5"/>
  <c r="J284" i="5"/>
  <c r="J285" i="5"/>
  <c r="J286" i="5"/>
  <c r="J287" i="5"/>
  <c r="J288" i="5"/>
  <c r="J289" i="5"/>
  <c r="J290" i="5"/>
  <c r="J291" i="5"/>
  <c r="J292" i="5"/>
  <c r="J293" i="5"/>
  <c r="J294" i="5"/>
  <c r="J296" i="5"/>
  <c r="J297" i="5"/>
  <c r="J298" i="5"/>
  <c r="J299" i="5"/>
  <c r="J300" i="5"/>
  <c r="J301" i="5"/>
  <c r="J302" i="5"/>
  <c r="J303" i="5"/>
  <c r="J304" i="5"/>
  <c r="J305" i="5"/>
  <c r="J306" i="5"/>
  <c r="J307" i="5"/>
  <c r="J308" i="5"/>
  <c r="J309" i="5"/>
  <c r="J310" i="5"/>
  <c r="J311" i="5"/>
  <c r="J312" i="5"/>
  <c r="J313" i="5"/>
  <c r="J314" i="5"/>
  <c r="J315" i="5"/>
  <c r="J316" i="5"/>
  <c r="J317" i="5"/>
  <c r="J318" i="5"/>
  <c r="J319" i="5"/>
  <c r="J320" i="5"/>
  <c r="J321" i="5"/>
  <c r="J322" i="5"/>
  <c r="J323" i="5"/>
  <c r="J324" i="5"/>
  <c r="J325" i="5"/>
  <c r="J326" i="5"/>
  <c r="J327" i="5"/>
  <c r="J328" i="5"/>
  <c r="J329" i="5"/>
  <c r="J330" i="5"/>
  <c r="J331" i="5"/>
  <c r="J332" i="5"/>
  <c r="J333" i="5"/>
  <c r="J334" i="5"/>
  <c r="J335" i="5"/>
  <c r="J336" i="5"/>
  <c r="J337" i="5"/>
  <c r="J338" i="5"/>
  <c r="J339" i="5"/>
  <c r="J340" i="5"/>
  <c r="J341" i="5"/>
  <c r="J342" i="5"/>
  <c r="J343" i="5"/>
  <c r="J344" i="5"/>
  <c r="J345" i="5"/>
  <c r="J346" i="5"/>
  <c r="J347" i="5"/>
  <c r="J348" i="5"/>
  <c r="J349" i="5"/>
  <c r="J350" i="5"/>
  <c r="J351" i="5"/>
  <c r="J352" i="5"/>
  <c r="J353" i="5"/>
  <c r="J354" i="5"/>
  <c r="J355" i="5"/>
  <c r="J356" i="5"/>
  <c r="J357" i="5"/>
  <c r="J358" i="5"/>
  <c r="J359" i="5"/>
  <c r="J360" i="5"/>
  <c r="J361" i="5"/>
  <c r="J362" i="5"/>
  <c r="J363" i="5"/>
  <c r="J364" i="5"/>
  <c r="J365" i="5"/>
  <c r="J366" i="5"/>
  <c r="J367" i="5"/>
  <c r="J368" i="5"/>
  <c r="J369" i="5"/>
  <c r="J370" i="5"/>
  <c r="J371" i="5"/>
  <c r="J372" i="5"/>
  <c r="J373" i="5"/>
  <c r="J374" i="5"/>
  <c r="J375" i="5"/>
  <c r="J376" i="5"/>
  <c r="J377" i="5"/>
  <c r="J378" i="5"/>
  <c r="J379" i="5"/>
  <c r="J380" i="5"/>
  <c r="J381" i="5"/>
  <c r="J382" i="5"/>
  <c r="J383" i="5"/>
  <c r="J384" i="5"/>
  <c r="J385" i="5"/>
  <c r="J386" i="5"/>
  <c r="J387" i="5"/>
  <c r="J388" i="5"/>
  <c r="J389" i="5"/>
  <c r="J390" i="5"/>
  <c r="J391" i="5"/>
  <c r="J392" i="5"/>
  <c r="J393" i="5"/>
  <c r="J394" i="5"/>
  <c r="J395" i="5"/>
  <c r="J396" i="5"/>
  <c r="J397" i="5"/>
  <c r="J398" i="5"/>
  <c r="J399" i="5"/>
  <c r="J400" i="5"/>
  <c r="J401" i="5"/>
  <c r="J402" i="5"/>
  <c r="J403" i="5"/>
  <c r="J404" i="5"/>
  <c r="J405" i="5"/>
  <c r="J406" i="5"/>
  <c r="J407" i="5"/>
  <c r="J408" i="5"/>
  <c r="J409" i="5"/>
  <c r="J410" i="5"/>
  <c r="J411" i="5"/>
  <c r="J412" i="5"/>
  <c r="J413" i="5"/>
  <c r="J414" i="5"/>
  <c r="J415" i="5"/>
  <c r="J416" i="5"/>
  <c r="J417" i="5"/>
  <c r="J418" i="5"/>
  <c r="J419" i="5"/>
  <c r="J420" i="5"/>
  <c r="J421" i="5"/>
  <c r="J422" i="5"/>
  <c r="J423" i="5"/>
  <c r="J424" i="5"/>
  <c r="J425" i="5"/>
  <c r="J426" i="5"/>
  <c r="J427" i="5"/>
  <c r="J428" i="5"/>
  <c r="J429" i="5"/>
  <c r="J430" i="5"/>
  <c r="J431" i="5"/>
  <c r="J432" i="5"/>
  <c r="J433" i="5"/>
  <c r="J434" i="5"/>
  <c r="J435" i="5"/>
  <c r="J436" i="5"/>
  <c r="J437" i="5"/>
  <c r="J438" i="5"/>
  <c r="J439" i="5"/>
  <c r="J440" i="5"/>
  <c r="J441" i="5"/>
  <c r="J442" i="5"/>
  <c r="J443" i="5"/>
  <c r="J444" i="5"/>
  <c r="J445" i="5"/>
  <c r="J446" i="5"/>
  <c r="J447" i="5"/>
  <c r="J448" i="5"/>
  <c r="J449" i="5"/>
  <c r="J450" i="5"/>
  <c r="J451" i="5"/>
  <c r="J452" i="5"/>
  <c r="J453" i="5"/>
  <c r="J454" i="5"/>
  <c r="J455" i="5"/>
  <c r="J456" i="5"/>
  <c r="J457" i="5"/>
  <c r="J458" i="5"/>
  <c r="J459" i="5"/>
  <c r="J460" i="5"/>
  <c r="J461" i="5"/>
  <c r="J462" i="5"/>
  <c r="J463" i="5"/>
  <c r="J464" i="5"/>
  <c r="J465" i="5"/>
  <c r="J466" i="5"/>
  <c r="J467" i="5"/>
  <c r="J468" i="5"/>
  <c r="J469" i="5"/>
  <c r="J470" i="5"/>
  <c r="J471" i="5"/>
  <c r="J472" i="5"/>
  <c r="J473" i="5"/>
  <c r="J474" i="5"/>
  <c r="J475" i="5"/>
  <c r="J476" i="5"/>
  <c r="J477" i="5"/>
  <c r="J478" i="5"/>
  <c r="J479" i="5"/>
  <c r="J480" i="5"/>
  <c r="J481" i="5"/>
  <c r="J482" i="5"/>
  <c r="J483" i="5"/>
  <c r="J484" i="5"/>
  <c r="J485" i="5"/>
  <c r="J486" i="5"/>
  <c r="J487" i="5"/>
  <c r="J488" i="5"/>
  <c r="J489" i="5"/>
  <c r="J490" i="5"/>
  <c r="J491" i="5"/>
  <c r="J492" i="5"/>
  <c r="L136" i="3" l="1"/>
  <c r="L132" i="3"/>
  <c r="L162" i="3"/>
  <c r="L158" i="3"/>
  <c r="G162" i="3"/>
  <c r="F162" i="3"/>
  <c r="E162" i="3"/>
  <c r="D162" i="3"/>
  <c r="G158" i="3"/>
  <c r="F158" i="3"/>
  <c r="E158" i="3"/>
  <c r="D158" i="3"/>
  <c r="G136" i="3"/>
  <c r="F136" i="3"/>
  <c r="E136" i="3"/>
  <c r="D136" i="3"/>
  <c r="G132" i="3"/>
  <c r="F132" i="3"/>
  <c r="E132" i="3"/>
  <c r="D132" i="3"/>
  <c r="O38" i="3"/>
  <c r="P38" i="3" s="1"/>
  <c r="P37" i="3"/>
  <c r="O36" i="3" l="1"/>
  <c r="P36" i="3" s="1"/>
  <c r="O35" i="3"/>
  <c r="P35" i="3" s="1"/>
  <c r="O34" i="3"/>
  <c r="P34" i="3" s="1"/>
  <c r="O33" i="3"/>
  <c r="P33" i="3" s="1"/>
  <c r="O32" i="3"/>
  <c r="P32" i="3" s="1"/>
  <c r="O31" i="3"/>
  <c r="P31" i="3" s="1"/>
  <c r="H180" i="3" l="1"/>
  <c r="R37" i="3" l="1"/>
  <c r="Q37" i="3" s="1"/>
  <c r="Q20" i="3" l="1"/>
  <c r="K87" i="3"/>
  <c r="T33" i="3" s="1"/>
  <c r="P206" i="3"/>
  <c r="K165" i="3"/>
  <c r="L144" i="3"/>
  <c r="L92" i="3"/>
  <c r="L118" i="3"/>
  <c r="Q187" i="3"/>
  <c r="L170" i="3"/>
  <c r="T31" i="3"/>
  <c r="R31" i="3"/>
  <c r="Q31" i="3" s="1"/>
  <c r="R38" i="3"/>
  <c r="Q38" i="3" s="1"/>
  <c r="R32" i="3"/>
  <c r="Q32" i="3" s="1"/>
  <c r="R36" i="3"/>
  <c r="Q36" i="3" s="1"/>
  <c r="R33" i="3"/>
  <c r="Q33" i="3" s="1"/>
  <c r="R34" i="3"/>
  <c r="Q34" i="3" s="1"/>
  <c r="Q35" i="3"/>
  <c r="L66" i="3" l="1"/>
  <c r="P21" i="3"/>
  <c r="Q21" i="3" s="1"/>
  <c r="M57" i="3"/>
  <c r="M58" i="3" s="1"/>
  <c r="P18" i="3" l="1"/>
  <c r="Q18" i="3" s="1"/>
  <c r="S19" i="3"/>
  <c r="S20" i="3"/>
  <c r="V20" i="3" s="1"/>
  <c r="S21" i="3"/>
  <c r="T21" i="3" s="1"/>
  <c r="S22" i="3"/>
  <c r="T22" i="3" s="1"/>
  <c r="S23" i="3"/>
  <c r="T23" i="3" s="1"/>
  <c r="S24" i="3"/>
  <c r="T24" i="3" s="1"/>
  <c r="S25" i="3"/>
  <c r="T25" i="3" s="1"/>
  <c r="S26" i="3"/>
  <c r="T26" i="3" s="1"/>
  <c r="S18" i="3"/>
  <c r="T18" i="3" s="1"/>
  <c r="S17" i="3"/>
  <c r="K180" i="3" s="1"/>
  <c r="M27" i="3"/>
  <c r="T19" i="3" l="1"/>
  <c r="T20" i="3"/>
  <c r="W20" i="3"/>
  <c r="T17" i="3"/>
  <c r="J180" i="3"/>
  <c r="V18" i="3"/>
  <c r="W18" i="3" s="1"/>
  <c r="V26" i="3"/>
  <c r="W26" i="3" s="1"/>
  <c r="V22" i="3"/>
  <c r="W22" i="3" s="1"/>
  <c r="V21" i="3"/>
  <c r="V25" i="3"/>
  <c r="W25" i="3" s="1"/>
  <c r="V24" i="3"/>
  <c r="W24" i="3" s="1"/>
  <c r="V23" i="3"/>
  <c r="W23" i="3" s="1"/>
  <c r="S27" i="3"/>
  <c r="T27" i="3" s="1"/>
  <c r="Y3" i="3"/>
  <c r="Y5" i="3"/>
  <c r="Y6" i="3"/>
  <c r="Y7" i="3"/>
  <c r="Y8" i="3"/>
  <c r="Y9" i="3"/>
  <c r="Y10" i="3"/>
  <c r="Y11" i="3"/>
  <c r="Y12" i="3"/>
  <c r="Y4" i="3"/>
  <c r="W21" i="3" l="1"/>
  <c r="X21" i="3"/>
  <c r="J181" i="3"/>
  <c r="X3" i="3"/>
  <c r="AN2" i="3" s="1"/>
  <c r="W4" i="3"/>
  <c r="W5" i="3"/>
  <c r="W6" i="3"/>
  <c r="W7" i="3"/>
  <c r="W8" i="3"/>
  <c r="W9" i="3"/>
  <c r="W10" i="3"/>
  <c r="W11" i="3"/>
  <c r="W12" i="3"/>
  <c r="J182" i="3" l="1"/>
  <c r="X11" i="3"/>
  <c r="V11" i="3"/>
  <c r="X7" i="3"/>
  <c r="V7" i="3"/>
  <c r="X10" i="3"/>
  <c r="V10" i="3"/>
  <c r="X6" i="3"/>
  <c r="V6" i="3"/>
  <c r="V9" i="3"/>
  <c r="X9" i="3"/>
  <c r="X12" i="3"/>
  <c r="V12" i="3"/>
  <c r="X8" i="3"/>
  <c r="V8" i="3"/>
  <c r="V4" i="3"/>
  <c r="X4" i="3"/>
  <c r="X5" i="3"/>
  <c r="V5" i="3"/>
  <c r="J114" i="5"/>
  <c r="V17" i="3" l="1"/>
  <c r="Q17" i="3"/>
  <c r="X20" i="3" l="1"/>
  <c r="X17" i="3"/>
  <c r="Y17" i="3"/>
  <c r="W17" i="3"/>
  <c r="N13" i="3"/>
  <c r="Q13" i="3" s="1"/>
  <c r="S13" i="3"/>
  <c r="Y13" i="3" s="1"/>
  <c r="I19" i="3"/>
  <c r="M28" i="3"/>
  <c r="D28" i="3"/>
  <c r="E28" i="3"/>
  <c r="F28" i="3"/>
  <c r="G28" i="3"/>
  <c r="L28" i="3"/>
  <c r="D32" i="3"/>
  <c r="E32" i="3"/>
  <c r="F32" i="3"/>
  <c r="G32" i="3"/>
  <c r="L32" i="3"/>
  <c r="C44" i="3"/>
  <c r="G44" i="3"/>
  <c r="H44" i="3" s="1"/>
  <c r="D54" i="3"/>
  <c r="F54" i="3"/>
  <c r="G54" i="3"/>
  <c r="L54" i="3"/>
  <c r="D58" i="3"/>
  <c r="E58" i="3"/>
  <c r="F58" i="3"/>
  <c r="G58" i="3"/>
  <c r="L58" i="3"/>
  <c r="C70" i="3"/>
  <c r="G70" i="3"/>
  <c r="H70" i="3" s="1"/>
  <c r="D80" i="3"/>
  <c r="E80" i="3"/>
  <c r="F80" i="3"/>
  <c r="G80" i="3"/>
  <c r="L80" i="3"/>
  <c r="D84" i="3"/>
  <c r="E84" i="3"/>
  <c r="F84" i="3"/>
  <c r="G84" i="3"/>
  <c r="L84" i="3"/>
  <c r="C96" i="3"/>
  <c r="G96" i="3"/>
  <c r="H96" i="3" s="1"/>
  <c r="D106" i="3"/>
  <c r="E106" i="3"/>
  <c r="F106" i="3"/>
  <c r="G106" i="3"/>
  <c r="L106" i="3"/>
  <c r="D110" i="3"/>
  <c r="E110" i="3"/>
  <c r="F110" i="3"/>
  <c r="G110" i="3"/>
  <c r="L110" i="3"/>
  <c r="C122" i="3"/>
  <c r="G122" i="3"/>
  <c r="H122" i="3" s="1"/>
  <c r="C148" i="3"/>
  <c r="G148" i="3"/>
  <c r="H148" i="3" s="1"/>
  <c r="C174" i="3"/>
  <c r="G174" i="3"/>
  <c r="H174" i="3" s="1"/>
  <c r="F179" i="3"/>
  <c r="G179" i="3"/>
  <c r="H179" i="3"/>
  <c r="I179" i="3"/>
  <c r="J179" i="3"/>
  <c r="N188" i="3"/>
  <c r="C201" i="3"/>
  <c r="G201" i="3"/>
  <c r="H201" i="3" s="1"/>
  <c r="L201" i="3"/>
  <c r="M201" i="3" s="1"/>
  <c r="N207" i="3"/>
  <c r="C220" i="3"/>
  <c r="G220" i="3"/>
  <c r="H220" i="3" s="1"/>
  <c r="L220" i="3"/>
  <c r="M220" i="3" s="1"/>
  <c r="W13" i="3" l="1"/>
  <c r="V13" i="3" s="1"/>
  <c r="X13" i="3" l="1"/>
  <c r="J152" i="5"/>
  <c r="J151" i="5"/>
  <c r="J150" i="5"/>
  <c r="J149" i="5"/>
  <c r="J148" i="5"/>
  <c r="J147" i="5"/>
  <c r="J146" i="5"/>
  <c r="J145" i="5"/>
  <c r="J144" i="5"/>
  <c r="J143" i="5"/>
  <c r="J142" i="5"/>
  <c r="J141" i="5"/>
  <c r="J140" i="5"/>
  <c r="J139" i="5"/>
  <c r="J138" i="5"/>
  <c r="J137" i="5"/>
  <c r="J136" i="5"/>
  <c r="J135" i="5"/>
  <c r="J134" i="5"/>
  <c r="J133" i="5"/>
  <c r="J132" i="5"/>
  <c r="J131" i="5"/>
  <c r="J130" i="5"/>
  <c r="J129" i="5"/>
  <c r="J128" i="5"/>
  <c r="J127" i="5"/>
  <c r="J126" i="5"/>
  <c r="J125" i="5"/>
  <c r="J124" i="5"/>
  <c r="J123" i="5"/>
  <c r="J122" i="5"/>
  <c r="J121" i="5"/>
  <c r="J120" i="5"/>
  <c r="J119" i="5"/>
  <c r="J118" i="5"/>
  <c r="J117" i="5"/>
  <c r="J116" i="5"/>
  <c r="J115" i="5"/>
  <c r="J113" i="5"/>
  <c r="J112" i="5"/>
  <c r="J111" i="5"/>
  <c r="J110" i="5"/>
  <c r="J109" i="5"/>
  <c r="J108" i="5"/>
  <c r="J107" i="5"/>
  <c r="J106" i="5"/>
  <c r="J105" i="5"/>
  <c r="J104" i="5"/>
  <c r="J90" i="5"/>
  <c r="J103" i="5"/>
  <c r="J102" i="5"/>
  <c r="J101" i="5"/>
  <c r="J100" i="5"/>
  <c r="J99" i="5"/>
  <c r="J98" i="5"/>
  <c r="J97" i="5"/>
  <c r="J96" i="5"/>
  <c r="J95" i="5"/>
  <c r="J94" i="5"/>
  <c r="J93" i="5"/>
  <c r="J92" i="5"/>
  <c r="J91" i="5"/>
  <c r="J89" i="5"/>
  <c r="J88" i="5"/>
  <c r="J87" i="5"/>
  <c r="J86" i="5"/>
  <c r="J85" i="5"/>
  <c r="J84" i="5"/>
  <c r="J83" i="5"/>
  <c r="J82" i="5"/>
  <c r="J81" i="5"/>
  <c r="J80" i="5"/>
  <c r="J79" i="5"/>
  <c r="J78" i="5"/>
  <c r="J77" i="5"/>
  <c r="J76" i="5"/>
  <c r="J75" i="5"/>
  <c r="J74" i="5"/>
  <c r="J73" i="5"/>
  <c r="J72" i="5"/>
  <c r="J71" i="5"/>
  <c r="J70" i="5"/>
  <c r="J69" i="5"/>
  <c r="J68" i="5"/>
  <c r="J67" i="5"/>
  <c r="J66" i="5"/>
  <c r="J65" i="5"/>
  <c r="J64" i="5"/>
  <c r="J63" i="5"/>
  <c r="J62" i="5"/>
  <c r="J61" i="5"/>
  <c r="J60" i="5"/>
  <c r="J59" i="5"/>
  <c r="J58" i="5"/>
  <c r="J57" i="5"/>
  <c r="J56" i="5"/>
  <c r="J55" i="5"/>
  <c r="J54" i="5"/>
  <c r="J53" i="5"/>
  <c r="J52" i="5"/>
  <c r="J51" i="5"/>
  <c r="J50" i="5"/>
  <c r="J49" i="5"/>
  <c r="J48" i="5"/>
  <c r="J47" i="5"/>
  <c r="J46" i="5"/>
  <c r="J45" i="5"/>
  <c r="J44" i="5"/>
  <c r="J43" i="5"/>
  <c r="J42" i="5"/>
  <c r="J41" i="5"/>
  <c r="J40" i="5"/>
  <c r="J39" i="5"/>
  <c r="J38" i="5"/>
  <c r="J37" i="5"/>
  <c r="J36" i="5"/>
  <c r="J35" i="5"/>
  <c r="J34" i="5"/>
  <c r="J33" i="5"/>
  <c r="J32" i="5"/>
  <c r="J31" i="5"/>
  <c r="J30" i="5"/>
  <c r="J29" i="5"/>
  <c r="J28" i="5"/>
  <c r="J27" i="5"/>
  <c r="J26" i="5"/>
  <c r="J25" i="5"/>
  <c r="J24" i="5"/>
  <c r="J23" i="5"/>
  <c r="J22" i="5"/>
  <c r="J21" i="5"/>
  <c r="J20" i="5"/>
  <c r="J19" i="5"/>
  <c r="J18" i="5"/>
  <c r="J17" i="5"/>
  <c r="J16" i="5"/>
  <c r="J15" i="5"/>
  <c r="J14" i="5"/>
  <c r="J13" i="5"/>
  <c r="J12" i="5"/>
  <c r="J11" i="5"/>
  <c r="J10" i="5"/>
  <c r="J9" i="5"/>
  <c r="J8" i="5"/>
  <c r="J7" i="5"/>
  <c r="J6" i="5"/>
  <c r="J5" i="5"/>
  <c r="J4" i="5"/>
  <c r="J3" i="5"/>
  <c r="AI2" i="5" l="1"/>
  <c r="T35" i="3"/>
  <c r="L40" i="3"/>
  <c r="T32" i="3"/>
  <c r="T36" i="3"/>
  <c r="T34" i="3"/>
  <c r="T38" i="3"/>
  <c r="T37" i="3"/>
  <c r="Q206" i="3" l="1"/>
  <c r="L87" i="3"/>
  <c r="L113" i="3"/>
  <c r="L165" i="3"/>
  <c r="L139" i="3"/>
  <c r="P19" i="3" l="1"/>
  <c r="V19" i="3" s="1"/>
  <c r="X19" i="3" s="1"/>
  <c r="U31" i="3"/>
  <c r="V31" i="3" s="1"/>
  <c r="L36" i="3"/>
  <c r="Q188" i="3"/>
  <c r="U37" i="3"/>
  <c r="V37" i="3" s="1"/>
  <c r="Q207" i="3"/>
  <c r="U38" i="3"/>
  <c r="V38" i="3" s="1"/>
  <c r="L114" i="3"/>
  <c r="U34" i="3"/>
  <c r="V34" i="3" s="1"/>
  <c r="L88" i="3"/>
  <c r="U33" i="3"/>
  <c r="V33" i="3" s="1"/>
  <c r="L166" i="3"/>
  <c r="U36" i="3"/>
  <c r="V36" i="3" s="1"/>
  <c r="L62" i="3"/>
  <c r="U32" i="3"/>
  <c r="V32" i="3" s="1"/>
  <c r="L140" i="3"/>
  <c r="U35" i="3"/>
  <c r="V35" i="3" s="1"/>
  <c r="W19" i="3" l="1"/>
  <c r="P27" i="3"/>
  <c r="Q27" i="3" s="1"/>
  <c r="Q19" i="3"/>
  <c r="U39" i="3"/>
  <c r="V39" i="3" s="1"/>
  <c r="V27" i="3" l="1"/>
  <c r="W27" i="3" s="1"/>
  <c r="C132" i="142" l="1"/>
  <c r="C198" i="142"/>
  <c r="C121" i="142"/>
  <c r="C33" i="142"/>
  <c r="C91" i="142"/>
  <c r="C287" i="142"/>
  <c r="C276" i="142"/>
  <c r="C65" i="142"/>
  <c r="C5" i="142"/>
  <c r="C57" i="142"/>
  <c r="C240" i="142"/>
  <c r="C183" i="142"/>
  <c r="C210" i="142"/>
  <c r="C291" i="142"/>
  <c r="C204" i="142"/>
  <c r="C155" i="142"/>
  <c r="C176" i="142"/>
  <c r="C103" i="142"/>
  <c r="C44" i="142"/>
  <c r="C67" i="142"/>
  <c r="C301" i="142"/>
  <c r="C25" i="142"/>
  <c r="C88" i="142"/>
  <c r="C266" i="142"/>
  <c r="C31" i="142"/>
  <c r="C119" i="142"/>
  <c r="C113" i="142"/>
  <c r="C220" i="142"/>
  <c r="C293" i="142"/>
  <c r="C111" i="142"/>
  <c r="C263" i="142"/>
  <c r="C96" i="142"/>
  <c r="C116" i="142"/>
  <c r="C8" i="142"/>
  <c r="C274" i="142"/>
  <c r="C138" i="142"/>
  <c r="C269" i="142"/>
  <c r="C259" i="142"/>
  <c r="C12" i="142"/>
  <c r="C238" i="142"/>
  <c r="C56" i="142"/>
  <c r="C18" i="142"/>
  <c r="C147" i="142"/>
  <c r="C197" i="142"/>
  <c r="C223" i="142"/>
  <c r="C250" i="142"/>
  <c r="C234" i="142"/>
  <c r="C100" i="142"/>
  <c r="C283" i="142"/>
  <c r="C86" i="142"/>
  <c r="C136" i="142"/>
  <c r="C200" i="142"/>
  <c r="C171" i="142"/>
  <c r="C299" i="142"/>
  <c r="C281" i="142"/>
  <c r="C202" i="142"/>
  <c r="C43" i="142"/>
  <c r="C85" i="142"/>
  <c r="C261" i="142"/>
  <c r="C60" i="142"/>
  <c r="C101" i="142"/>
  <c r="C54" i="142"/>
  <c r="C98" i="142"/>
  <c r="C84" i="142"/>
  <c r="C189" i="142"/>
  <c r="C133" i="142"/>
  <c r="C173" i="142"/>
  <c r="C118" i="142"/>
  <c r="C45" i="142"/>
  <c r="C40" i="142"/>
  <c r="C186" i="142"/>
  <c r="C211" i="142"/>
  <c r="C59" i="142"/>
  <c r="C29" i="142"/>
  <c r="C294" i="142"/>
  <c r="C159" i="142"/>
  <c r="C187" i="142"/>
  <c r="C273" i="142"/>
  <c r="C296" i="142"/>
  <c r="C81" i="142"/>
  <c r="C6" i="142"/>
  <c r="C74" i="142"/>
  <c r="C139" i="142"/>
  <c r="C114" i="142"/>
  <c r="C129" i="142"/>
  <c r="C252" i="142"/>
  <c r="C123" i="142"/>
  <c r="C37" i="142"/>
  <c r="C166" i="142"/>
  <c r="C225" i="142"/>
  <c r="C137" i="142"/>
  <c r="C150" i="142"/>
  <c r="C295" i="142"/>
  <c r="C178" i="142"/>
  <c r="C87" i="142"/>
  <c r="C228" i="142"/>
  <c r="C239" i="142"/>
  <c r="C77" i="142"/>
  <c r="C93" i="142"/>
  <c r="C34" i="142"/>
  <c r="C107" i="142"/>
  <c r="C175" i="142"/>
  <c r="C23" i="142"/>
  <c r="C64" i="142"/>
  <c r="C196" i="142"/>
  <c r="C21" i="142"/>
  <c r="C236" i="142"/>
  <c r="C153" i="142"/>
  <c r="C157" i="142"/>
  <c r="C106" i="142"/>
  <c r="C267" i="142"/>
  <c r="C253" i="142"/>
  <c r="C94" i="142"/>
  <c r="C26" i="142"/>
  <c r="C19" i="142"/>
  <c r="C80" i="142"/>
  <c r="C48" i="142"/>
  <c r="C248" i="142"/>
  <c r="C224" i="142"/>
  <c r="C14" i="142"/>
  <c r="C38" i="142"/>
  <c r="C109" i="142"/>
  <c r="C286" i="142"/>
  <c r="C75" i="142"/>
  <c r="C285" i="142"/>
  <c r="C237" i="142"/>
  <c r="C279" i="142"/>
  <c r="C15" i="142"/>
  <c r="C182" i="142"/>
  <c r="C62" i="142"/>
  <c r="C53" i="142"/>
  <c r="C184" i="142"/>
  <c r="C232" i="142"/>
  <c r="C188" i="142"/>
  <c r="C174" i="142"/>
  <c r="C168" i="142"/>
  <c r="C11" i="142"/>
  <c r="C72" i="142"/>
  <c r="C180" i="142"/>
  <c r="C260" i="142"/>
  <c r="C112" i="142"/>
  <c r="C149" i="142"/>
  <c r="C50" i="142"/>
  <c r="C42" i="142"/>
  <c r="C131" i="142"/>
  <c r="C95" i="142"/>
  <c r="C161" i="142"/>
  <c r="C233" i="142"/>
  <c r="C241" i="142"/>
  <c r="C251" i="142"/>
  <c r="C214" i="142"/>
  <c r="C265" i="142"/>
  <c r="C160" i="142"/>
  <c r="C262" i="142"/>
  <c r="C22" i="142"/>
  <c r="C192" i="142"/>
  <c r="C272" i="142"/>
  <c r="C257" i="142"/>
  <c r="C117" i="142"/>
  <c r="C282" i="142"/>
  <c r="C152" i="142"/>
  <c r="C268" i="142"/>
  <c r="C209" i="142"/>
  <c r="C16" i="142"/>
  <c r="C46" i="142"/>
  <c r="C256" i="142"/>
  <c r="C145" i="142"/>
  <c r="C206" i="142"/>
  <c r="C243" i="142"/>
  <c r="C79" i="142"/>
  <c r="C39" i="142"/>
  <c r="C144" i="142"/>
  <c r="C201" i="142"/>
  <c r="C208" i="142"/>
  <c r="C194" i="142"/>
  <c r="C154" i="142"/>
  <c r="C143" i="142"/>
  <c r="C78" i="142"/>
  <c r="C73" i="142"/>
  <c r="C105" i="142"/>
  <c r="C66" i="142"/>
  <c r="C212" i="142"/>
  <c r="C190" i="142"/>
  <c r="C63" i="142"/>
  <c r="C219" i="142"/>
  <c r="C167" i="142"/>
  <c r="C245" i="142"/>
  <c r="C195" i="142"/>
  <c r="C148" i="142"/>
  <c r="C181" i="142"/>
  <c r="C134" i="142"/>
  <c r="C108" i="142"/>
  <c r="C47" i="142"/>
  <c r="C142" i="142"/>
  <c r="C300" i="142"/>
  <c r="C169" i="142"/>
  <c r="C277" i="142"/>
  <c r="C203" i="142"/>
  <c r="C170" i="142"/>
  <c r="C27" i="142"/>
  <c r="C288" i="142"/>
  <c r="C41" i="142"/>
  <c r="C82" i="142"/>
  <c r="C218" i="142"/>
  <c r="C227" i="142"/>
  <c r="C3" i="142"/>
  <c r="C61" i="142"/>
  <c r="C83" i="142"/>
  <c r="C230" i="142"/>
  <c r="C69" i="142"/>
  <c r="C216" i="142"/>
  <c r="C226" i="142"/>
  <c r="C52" i="142"/>
  <c r="C156" i="142"/>
  <c r="C9" i="142"/>
  <c r="C90" i="142"/>
  <c r="C164" i="142"/>
  <c r="C32" i="142"/>
  <c r="C130" i="142"/>
  <c r="C68" i="142"/>
  <c r="C193" i="142"/>
  <c r="C49" i="142"/>
  <c r="C297" i="142"/>
  <c r="C215" i="142"/>
  <c r="C246" i="142"/>
  <c r="C221" i="142"/>
  <c r="C258" i="142"/>
  <c r="C110" i="142"/>
  <c r="C163" i="142"/>
  <c r="C162" i="142"/>
  <c r="C172" i="142"/>
  <c r="C264" i="142"/>
  <c r="C185" i="142"/>
  <c r="C141" i="142"/>
  <c r="C280" i="142"/>
  <c r="C35" i="142"/>
  <c r="C213" i="142"/>
  <c r="C58" i="142"/>
  <c r="C270" i="142"/>
  <c r="C207" i="142"/>
  <c r="C17" i="142"/>
  <c r="C151" i="142"/>
  <c r="C146" i="142"/>
  <c r="C76" i="142"/>
  <c r="C70" i="142"/>
  <c r="C191" i="142"/>
  <c r="C278" i="142"/>
  <c r="C55" i="142"/>
  <c r="C292" i="142"/>
  <c r="C205" i="142"/>
  <c r="C128" i="142"/>
  <c r="C177" i="142"/>
  <c r="C275" i="142"/>
  <c r="C165" i="142"/>
  <c r="C255" i="142"/>
  <c r="C124" i="142"/>
  <c r="C36" i="142"/>
  <c r="C284" i="142"/>
  <c r="C290" i="142"/>
  <c r="C229" i="142"/>
  <c r="C120" i="142"/>
  <c r="C89" i="142"/>
  <c r="C97" i="142"/>
  <c r="C24" i="142"/>
  <c r="C127" i="142"/>
  <c r="C199" i="142"/>
  <c r="C13" i="142"/>
  <c r="C126" i="142"/>
  <c r="C102" i="142"/>
  <c r="C289" i="142"/>
  <c r="C247" i="142"/>
  <c r="C158" i="142"/>
  <c r="C99" i="142"/>
  <c r="C7" i="142"/>
  <c r="C115" i="142"/>
  <c r="C30" i="142"/>
  <c r="C125" i="142"/>
  <c r="C140" i="142"/>
  <c r="C179" i="142"/>
  <c r="C231" i="142"/>
  <c r="C135" i="142"/>
  <c r="C271" i="142"/>
  <c r="C20" i="142"/>
  <c r="C51" i="142"/>
  <c r="C235" i="142"/>
  <c r="C298" i="142"/>
  <c r="C217" i="142"/>
  <c r="C222" i="142"/>
  <c r="C28" i="142"/>
  <c r="C244" i="142"/>
  <c r="C254" i="142"/>
  <c r="C92" i="142"/>
  <c r="C242" i="142"/>
  <c r="C249" i="142"/>
  <c r="C71" i="142"/>
  <c r="C104" i="142"/>
  <c r="C122" i="142"/>
  <c r="D6" i="142" l="1"/>
  <c r="D184" i="142"/>
  <c r="D300" i="142"/>
  <c r="D141" i="142"/>
  <c r="D43" i="142"/>
  <c r="D160" i="142"/>
  <c r="D186" i="142"/>
  <c r="D149" i="142"/>
  <c r="D230" i="142"/>
  <c r="D88" i="142"/>
  <c r="D140" i="142"/>
  <c r="D166" i="142"/>
  <c r="D127" i="142"/>
  <c r="D48" i="142"/>
  <c r="D174" i="142"/>
  <c r="D224" i="142"/>
  <c r="D53" i="142"/>
  <c r="D151" i="142"/>
  <c r="D73" i="142"/>
  <c r="D276" i="142"/>
  <c r="D51" i="142"/>
  <c r="D77" i="142"/>
  <c r="D117" i="142"/>
  <c r="D204" i="142"/>
  <c r="D258" i="142"/>
  <c r="D138" i="142"/>
  <c r="D158" i="142"/>
  <c r="D25" i="142"/>
  <c r="D214" i="142"/>
  <c r="D47" i="142"/>
  <c r="D109" i="142"/>
  <c r="D273" i="142"/>
  <c r="D41" i="142"/>
  <c r="D275" i="142"/>
  <c r="D221" i="142"/>
  <c r="D270" i="142"/>
  <c r="D78" i="142"/>
  <c r="D49" i="142"/>
  <c r="D46" i="142"/>
  <c r="D222" i="142"/>
  <c r="D171" i="142"/>
  <c r="D82" i="142"/>
  <c r="D210" i="142"/>
  <c r="D135" i="142"/>
  <c r="D255" i="142"/>
  <c r="D245" i="142"/>
  <c r="D256" i="142"/>
  <c r="D234" i="142"/>
  <c r="D85" i="142"/>
  <c r="D18" i="142"/>
  <c r="D13" i="142"/>
  <c r="D111" i="142"/>
  <c r="D208" i="142"/>
  <c r="D154" i="142"/>
  <c r="D50" i="142"/>
  <c r="D279" i="142"/>
  <c r="D10" i="142"/>
  <c r="D155" i="142"/>
  <c r="D272" i="142"/>
  <c r="D58" i="142"/>
  <c r="D191" i="142"/>
  <c r="D81" i="142"/>
  <c r="D283" i="142"/>
  <c r="D35" i="142"/>
  <c r="D16" i="142"/>
  <c r="D228" i="142"/>
  <c r="D40" i="142"/>
  <c r="D172" i="142"/>
  <c r="D252" i="142"/>
  <c r="D30" i="142"/>
  <c r="D26" i="142"/>
  <c r="D190" i="142"/>
  <c r="D282" i="142"/>
  <c r="D142" i="142"/>
  <c r="D28" i="142"/>
  <c r="D148" i="142"/>
  <c r="D217" i="142"/>
  <c r="D55" i="142"/>
  <c r="D139" i="142"/>
  <c r="D175" i="142"/>
  <c r="D284" i="142"/>
  <c r="D94" i="142"/>
  <c r="D235" i="142"/>
  <c r="D218" i="142"/>
  <c r="D202" i="142"/>
  <c r="D220" i="142"/>
  <c r="D248" i="142"/>
  <c r="D90" i="142"/>
  <c r="D162" i="142"/>
  <c r="D45" i="142"/>
  <c r="D37" i="142"/>
  <c r="D281" i="142"/>
  <c r="D150" i="142"/>
  <c r="D22" i="142"/>
  <c r="D259" i="142"/>
  <c r="D112" i="142"/>
  <c r="D106" i="142"/>
  <c r="D195" i="142"/>
  <c r="D177" i="142"/>
  <c r="D52" i="142"/>
  <c r="D80" i="142"/>
  <c r="D97" i="142"/>
  <c r="D233" i="142"/>
  <c r="D227" i="142"/>
  <c r="D20" i="142"/>
  <c r="D9" i="142"/>
  <c r="D262" i="142"/>
  <c r="D203" i="142"/>
  <c r="D153" i="142"/>
  <c r="D98" i="142"/>
  <c r="D274" i="142"/>
  <c r="D286" i="142"/>
  <c r="D38" i="142"/>
  <c r="D260" i="142"/>
  <c r="D156" i="142"/>
  <c r="D12" i="142"/>
  <c r="D4" i="142"/>
  <c r="D168" i="142"/>
  <c r="D178" i="142"/>
  <c r="D96" i="142"/>
  <c r="D206" i="142"/>
  <c r="D39" i="142"/>
  <c r="D134" i="142"/>
  <c r="D265" i="142"/>
  <c r="D33" i="142"/>
  <c r="D173" i="142"/>
  <c r="D182" i="142"/>
  <c r="D216" i="142"/>
  <c r="D229" i="142"/>
  <c r="D285" i="142"/>
  <c r="D110" i="142"/>
  <c r="D17" i="142"/>
  <c r="D257" i="142"/>
  <c r="D159" i="142"/>
  <c r="D225" i="142"/>
  <c r="D278" i="142"/>
  <c r="D83" i="142"/>
  <c r="D199" i="142"/>
  <c r="D247" i="142"/>
  <c r="D295" i="142"/>
  <c r="D269" i="142"/>
  <c r="D157" i="142"/>
  <c r="D79" i="142"/>
  <c r="D129" i="142"/>
  <c r="D91" i="142"/>
  <c r="D64" i="142"/>
  <c r="D169" i="142"/>
  <c r="D92" i="142"/>
  <c r="D2" i="142"/>
  <c r="D238" i="142"/>
  <c r="D59" i="142"/>
  <c r="D301" i="142"/>
  <c r="D103" i="142"/>
  <c r="D130" i="142"/>
  <c r="D232" i="142"/>
  <c r="D84" i="142"/>
  <c r="D137" i="142"/>
  <c r="D119" i="142"/>
  <c r="D211" i="142"/>
  <c r="D193" i="142"/>
  <c r="D113" i="142"/>
  <c r="D71" i="142"/>
  <c r="D194" i="142"/>
  <c r="D189" i="142"/>
  <c r="D128" i="142"/>
  <c r="D197" i="142"/>
  <c r="D114" i="142"/>
  <c r="D42" i="142"/>
  <c r="D62" i="142"/>
  <c r="D56" i="142"/>
  <c r="D99" i="142"/>
  <c r="D29" i="142"/>
  <c r="D5" i="142"/>
  <c r="D32" i="142"/>
  <c r="D21" i="142"/>
  <c r="D271" i="142"/>
  <c r="D187" i="142"/>
  <c r="D68" i="142"/>
  <c r="D163" i="142"/>
  <c r="D123" i="142"/>
  <c r="D57" i="142"/>
  <c r="D95" i="142"/>
  <c r="D261" i="142"/>
  <c r="D212" i="142"/>
  <c r="D179" i="142"/>
  <c r="D67" i="142"/>
  <c r="D291" i="142"/>
  <c r="D87" i="142"/>
  <c r="D93" i="142"/>
  <c r="D115" i="142"/>
  <c r="D223" i="142"/>
  <c r="D290" i="142"/>
  <c r="D181" i="142"/>
  <c r="D105" i="142"/>
  <c r="D298" i="142"/>
  <c r="D200" i="142"/>
  <c r="D164" i="142"/>
  <c r="D213" i="142"/>
  <c r="D287" i="142"/>
  <c r="D215" i="142"/>
  <c r="D86" i="142"/>
  <c r="D250" i="142"/>
  <c r="D31" i="142"/>
  <c r="D167" i="142"/>
  <c r="D296" i="142"/>
  <c r="D131" i="142"/>
  <c r="D294" i="142"/>
  <c r="D100" i="142"/>
  <c r="D118" i="142"/>
  <c r="D15" i="142"/>
  <c r="D219" i="142"/>
  <c r="D243" i="142"/>
  <c r="D198" i="142"/>
  <c r="D254" i="142"/>
  <c r="D125" i="142"/>
  <c r="D108" i="142"/>
  <c r="D293" i="142"/>
  <c r="D72" i="142"/>
  <c r="D44" i="142"/>
  <c r="D121" i="142"/>
  <c r="D102" i="142"/>
  <c r="D299" i="142"/>
  <c r="D226" i="142"/>
  <c r="D61" i="142"/>
  <c r="D170" i="142"/>
  <c r="D3" i="142"/>
  <c r="D277" i="142"/>
  <c r="D136" i="142"/>
  <c r="D133" i="142"/>
  <c r="D60" i="142"/>
  <c r="D36" i="142"/>
  <c r="D236" i="142"/>
  <c r="D242" i="142"/>
  <c r="D143" i="142"/>
  <c r="D19" i="142"/>
  <c r="D185" i="142"/>
  <c r="D14" i="142"/>
  <c r="D207" i="142"/>
  <c r="D253" i="142"/>
  <c r="D237" i="142"/>
  <c r="D201" i="142"/>
  <c r="D240" i="142"/>
  <c r="D249" i="142"/>
  <c r="D145" i="142"/>
  <c r="D124" i="142"/>
  <c r="D267" i="142"/>
  <c r="D70" i="142"/>
  <c r="D132" i="142"/>
  <c r="D196" i="142"/>
  <c r="D263" i="142"/>
  <c r="D63" i="142"/>
  <c r="D239" i="142"/>
  <c r="D292" i="142"/>
  <c r="D89" i="142"/>
  <c r="D122" i="142"/>
  <c r="D188" i="142"/>
  <c r="D231" i="142"/>
  <c r="D297" i="142"/>
  <c r="D288" i="142"/>
  <c r="D34" i="142"/>
  <c r="D11" i="142"/>
  <c r="D161" i="142"/>
  <c r="D205" i="142"/>
  <c r="D144" i="142"/>
  <c r="D176" i="142"/>
  <c r="D54" i="142"/>
  <c r="D209" i="142"/>
  <c r="D101" i="142"/>
  <c r="D192" i="142"/>
  <c r="D180" i="142"/>
  <c r="D147" i="142"/>
  <c r="D27" i="142"/>
  <c r="D241" i="142"/>
  <c r="D24" i="142"/>
  <c r="D69" i="142"/>
  <c r="D289" i="142"/>
  <c r="D152" i="142"/>
  <c r="D264" i="142"/>
  <c r="D116" i="142"/>
  <c r="D7" i="142"/>
  <c r="D266" i="142"/>
  <c r="D74" i="142"/>
  <c r="D244" i="142"/>
  <c r="D251" i="142"/>
  <c r="D8" i="142"/>
  <c r="D183" i="142"/>
  <c r="D120" i="142"/>
  <c r="D126" i="142"/>
  <c r="D65" i="142"/>
  <c r="D104" i="142"/>
  <c r="D75" i="142"/>
  <c r="D246" i="142"/>
  <c r="D280" i="142"/>
  <c r="D268" i="142"/>
  <c r="D76" i="142"/>
  <c r="D66" i="142"/>
  <c r="D23" i="142"/>
  <c r="D165" i="142"/>
  <c r="D146" i="142"/>
  <c r="D107" i="142"/>
</calcChain>
</file>

<file path=xl/comments1.xml><?xml version="1.0" encoding="utf-8"?>
<comments xmlns="http://schemas.openxmlformats.org/spreadsheetml/2006/main">
  <authors>
    <author>Шиляев Анатолий Николаевич</author>
    <author>Lenovo</author>
  </authors>
  <commentList>
    <comment ref="B4" authorId="0" shapeId="0">
      <text>
        <r>
          <rPr>
            <b/>
            <sz val="11"/>
            <color indexed="81"/>
            <rFont val="Tahoma"/>
            <family val="2"/>
            <charset val="204"/>
          </rPr>
          <t>ДАТА РЕШЕНИЯ</t>
        </r>
      </text>
    </comment>
    <comment ref="C4" authorId="0" shapeId="0">
      <text>
        <r>
          <rPr>
            <b/>
            <sz val="11"/>
            <color indexed="81"/>
            <rFont val="Tahoma"/>
            <family val="2"/>
            <charset val="204"/>
          </rPr>
          <t>ВСТУПЛЕНИЕ В СИЛУ</t>
        </r>
      </text>
    </comment>
    <comment ref="D4" authorId="0" shapeId="0">
      <text>
        <r>
          <rPr>
            <b/>
            <sz val="11"/>
            <color indexed="81"/>
            <rFont val="Tahoma"/>
            <family val="2"/>
            <charset val="204"/>
          </rPr>
          <t>ОКОНЧАНИЕ СРОКА НА ОБЖАЛОВАНИЕ</t>
        </r>
      </text>
    </comment>
    <comment ref="E4" authorId="1" shapeId="0">
      <text>
        <r>
          <rPr>
            <b/>
            <sz val="10"/>
            <color indexed="81"/>
            <rFont val="Tahoma"/>
            <family val="2"/>
            <charset val="204"/>
          </rPr>
          <t>ДАТА, С КОТОРОЙ ВЗЫСКИВАЕТСЯ НЕУСТОЙКА (В СЛУЧАЕ ПРОПУСКА ОБЩЕГО СРОКА ИСКОВОЙ ДАВНОСТИ)</t>
        </r>
      </text>
    </comment>
    <comment ref="O45" authorId="1" shapeId="0">
      <text>
        <r>
          <rPr>
            <b/>
            <sz val="9"/>
            <color indexed="81"/>
            <rFont val="Tahoma"/>
            <family val="2"/>
            <charset val="204"/>
          </rPr>
          <t>Lenovo:</t>
        </r>
        <r>
          <rPr>
            <sz val="9"/>
            <color indexed="81"/>
            <rFont val="Tahoma"/>
            <family val="2"/>
            <charset val="204"/>
          </rPr>
          <t xml:space="preserve">
№ ПП</t>
        </r>
      </text>
    </comment>
    <comment ref="P45" authorId="1" shapeId="0">
      <text>
        <r>
          <rPr>
            <b/>
            <sz val="9"/>
            <color indexed="81"/>
            <rFont val="Tahoma"/>
            <family val="2"/>
            <charset val="204"/>
          </rPr>
          <t>Lenovo:</t>
        </r>
        <r>
          <rPr>
            <sz val="9"/>
            <color indexed="81"/>
            <rFont val="Tahoma"/>
            <family val="2"/>
            <charset val="204"/>
          </rPr>
          <t xml:space="preserve">
Дата ННР</t>
        </r>
      </text>
    </comment>
    <comment ref="Q45" authorId="1" shapeId="0">
      <text>
        <r>
          <rPr>
            <b/>
            <sz val="9"/>
            <color indexed="81"/>
            <rFont val="Tahoma"/>
            <family val="2"/>
            <charset val="204"/>
          </rPr>
          <t>Lenovo:</t>
        </r>
        <r>
          <rPr>
            <sz val="9"/>
            <color indexed="81"/>
            <rFont val="Tahoma"/>
            <family val="2"/>
            <charset val="204"/>
          </rPr>
          <t xml:space="preserve">
№ ННР</t>
        </r>
      </text>
    </comment>
  </commentList>
</comments>
</file>

<file path=xl/sharedStrings.xml><?xml version="1.0" encoding="utf-8"?>
<sst xmlns="http://schemas.openxmlformats.org/spreadsheetml/2006/main" count="29245" uniqueCount="8612">
  <si>
    <t>ОБРАЩЕНИЕ</t>
  </si>
  <si>
    <t>ТРЕБОВАНИЯ</t>
  </si>
  <si>
    <t>РЕШЕНИЕ</t>
  </si>
  <si>
    <t>ФИН</t>
  </si>
  <si>
    <t>№</t>
  </si>
  <si>
    <t>Дата</t>
  </si>
  <si>
    <t>ЗАЯВИТЕЛЬ</t>
  </si>
  <si>
    <t>ФИНАНСОВАЯ ОРГАНИЗАЦИЯ</t>
  </si>
  <si>
    <t>ФИО</t>
  </si>
  <si>
    <t>Паспорт</t>
  </si>
  <si>
    <t>МЖ</t>
  </si>
  <si>
    <t>Адрес</t>
  </si>
  <si>
    <t>ФО</t>
  </si>
  <si>
    <t>ИНН</t>
  </si>
  <si>
    <t>МН</t>
  </si>
  <si>
    <t>Дата ГР</t>
  </si>
  <si>
    <t>Heading</t>
  </si>
  <si>
    <t>Удовлетворить</t>
  </si>
  <si>
    <t>Отказать</t>
  </si>
  <si>
    <t>Прекратить</t>
  </si>
  <si>
    <t>У-19-38759</t>
  </si>
  <si>
    <t>Игнатьев Василий Николаевич</t>
  </si>
  <si>
    <t>; место жительства:</t>
  </si>
  <si>
    <t>; почтовый адрес:</t>
  </si>
  <si>
    <t>(место нахождения:</t>
  </si>
  <si>
    <t>; дата государственной регистрации:</t>
  </si>
  <si>
    <t>; идентификационный номер налогоплательщика:</t>
  </si>
  <si>
    <t>Decision</t>
  </si>
  <si>
    <t>ОБ УДОВЛЕТВОРЕНИИ ТРЕБОВАНИЙ</t>
  </si>
  <si>
    <t>ОБ ОТКАЗЕ В УДОВЛЕТВОРЕНИИ ТРЕБОВАНИЙ</t>
  </si>
  <si>
    <t>О ПРЕКРАЩЕНИИ РАССМОТРЕНИЯ ОБРАЩЕНИЯ</t>
  </si>
  <si>
    <t>Финансовый уполномоченный по правам потребителей финансовых услуг в сфере страхования</t>
  </si>
  <si>
    <t>Уполномоченный по правам потребителей финансовых услуг в сферах страхования, микрофинансирования, кредитной кооперации и деятельности кредитных организаций</t>
  </si>
  <si>
    <t>(далее – Обращение)</t>
  </si>
  <si>
    <t>(далее – Финансовый уполномоченный) по результатам рассмотрения обращения от</t>
  </si>
  <si>
    <t>) (далее – Заявитель) в отношении</t>
  </si>
  <si>
    <t>),</t>
  </si>
  <si>
    <t>FU_Pos</t>
  </si>
  <si>
    <t>FU_Name</t>
  </si>
  <si>
    <t>Dicision_1</t>
  </si>
  <si>
    <t>Финансовому уполномоченному на рассмотрение поступило Обращение в отношении</t>
  </si>
  <si>
    <t>с требованием о взыскании</t>
  </si>
  <si>
    <t>ТРЕБОВАНИЯ к ФУ</t>
  </si>
  <si>
    <t>ПЕРИОД</t>
  </si>
  <si>
    <t>ВЗЫСКАНО ФУ</t>
  </si>
  <si>
    <t>с</t>
  </si>
  <si>
    <t>по</t>
  </si>
  <si>
    <t>ВСЕГО</t>
  </si>
  <si>
    <t>Ущерб по ОСАГО</t>
  </si>
  <si>
    <t>страхового возмещения по договору обязательного страхования гражданской ответственности владельцев транспортных средств (далее – ОСАГО) в размере</t>
  </si>
  <si>
    <t>УТС по ОСАГО</t>
  </si>
  <si>
    <t>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в размере</t>
  </si>
  <si>
    <t>Ущерб по КАСКО</t>
  </si>
  <si>
    <t>страхового возмещения по договору добровольного страхования транспортных средств (далее – КАСКО) в размере</t>
  </si>
  <si>
    <t>страхового возмещения по договору КАСКО</t>
  </si>
  <si>
    <t>УТС по КАСКО</t>
  </si>
  <si>
    <t>страхового возмещения по договору добровольного страхования транспортных средств (далее – КАСКО) в части утраты товарной стоимости (далее – УТС) в размере</t>
  </si>
  <si>
    <t>страхового возмещения по договору КАСКО в части УТС</t>
  </si>
  <si>
    <t>Неустойка по ОСАГО без периода</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</si>
  <si>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размере</t>
  </si>
  <si>
    <t>неустойки за несоблюдение срока выплаты страхового возмещения по договору ОСАГО</t>
  </si>
  <si>
    <t>Неустойка по ОСАГО с периодом</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</si>
  <si>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за период с</t>
  </si>
  <si>
    <t>неустойки за несоблюдение срока выплаты страхового возмещения по договору добровольного страхования транспортных средств (далее – КАСКО) в размере</t>
  </si>
  <si>
    <t>неустойки за несоблюдение срока выплаты страхового возмещения по договору КАСКО</t>
  </si>
  <si>
    <t>Неустойка по КАСКО с периодом</t>
  </si>
  <si>
    <t>неустойки за несоблюдение срока выплаты страхового возмещения по договору добровольного страхования транспортных средств (далее – КАСКО) за период с</t>
  </si>
  <si>
    <t>Неустойка по ОСАГО УТС без периода</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</si>
  <si>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в размере</t>
  </si>
  <si>
    <t>неустойки за несоблюдение срока выплаты страхового возмещения по договору ОСАГО в части УТС</t>
  </si>
  <si>
    <t>Неустойка по ОСАГО УТС с периодом</t>
  </si>
  <si>
    <t>неустойки за несоблюдение срока выплаты страхового возмещения по договору обязательного страхования гражданской ответственности владельцев транспортных средств (далее – ОСАГО) в части утраты товарной стоимости (далее – УТС) за период с</t>
  </si>
  <si>
    <t>Неустойка по КАСКО УТС без периода</t>
  </si>
  <si>
    <t>неустойки за несоблюдение срока выплаты страхового возмещения по договору добровольного страхования транспортных средств (далее – КАСКО) в части утраты товарной стоимости (далее – УТС) в размере</t>
  </si>
  <si>
    <t>Неустойка по КАСКО УТС с периодом</t>
  </si>
  <si>
    <t>неустойки за несоблюдение срока выплаты страхового возмещения по договору добровольного страхования транспортных средств (далее – КАСКО) в части утраты товарной стоимости (далее – УТС) за период с</t>
  </si>
  <si>
    <t>неустойки за несоблюдение срока выплаты страхового возмещения по договору КАСКО в части УТС</t>
  </si>
  <si>
    <t>Неустойка по день исполнения решения ФУ по ОСАГО</t>
  </si>
  <si>
    <t>Неустойка по день исполнения решения ФУ по КАСКО</t>
  </si>
  <si>
    <t>неустойки за несоблюдение срока выплаты страхового возмещения по договору добровольного страхования транспортных (далее – КАСКО) за период с</t>
  </si>
  <si>
    <t>Финансовая санкция</t>
  </si>
  <si>
    <t>финансовой санкции за несоблюдение срока направления мотивированного отказа в страховом возмещении в размере</t>
  </si>
  <si>
    <t>финансовой санкции за несоблюдение срока направления мотивированного отказа в страховом возмещении</t>
  </si>
  <si>
    <t>Расходы на экспертизу по ущербу</t>
  </si>
  <si>
    <t>расходов на проведение независимой технической экспертизы в размере</t>
  </si>
  <si>
    <t>расходов на проведение независимой технической экспертизы</t>
  </si>
  <si>
    <t>расходов на проведение независимой экспертизы по определению величины УТС в размере</t>
  </si>
  <si>
    <t>расходов на проведение независимой экспертизы по определению величины УТС</t>
  </si>
  <si>
    <t>расходов на оказание юридических услуг в размере</t>
  </si>
  <si>
    <t>расходов на оказание юридических услуг</t>
  </si>
  <si>
    <t>расходов на составление досудебной претензии в размере</t>
  </si>
  <si>
    <t>расходов на составление досудебной претензии</t>
  </si>
  <si>
    <t>расходов на оплату услуг аварийного комиссара в размере</t>
  </si>
  <si>
    <t>расходов на оплату услуг аварийного комиссара</t>
  </si>
  <si>
    <t>расходов на нотариальные услуги в размере</t>
  </si>
  <si>
    <t>расходов на нотариальные услуги</t>
  </si>
  <si>
    <t>почтовых расходов в размере</t>
  </si>
  <si>
    <t>почтовых расходов</t>
  </si>
  <si>
    <t>расходов по оплате услуг курьера в размере</t>
  </si>
  <si>
    <t>расходов по оплате услуг курьера</t>
  </si>
  <si>
    <t>Моральный вред</t>
  </si>
  <si>
    <t>Дефектовка</t>
  </si>
  <si>
    <t>расходов на дефектовку в размере</t>
  </si>
  <si>
    <t>расходов на дефектовку</t>
  </si>
  <si>
    <t>Штраф 50%</t>
  </si>
  <si>
    <t>Иные расходы</t>
  </si>
  <si>
    <t>иных расходов</t>
  </si>
  <si>
    <t>иные расходы</t>
  </si>
  <si>
    <t>ClaimAll</t>
  </si>
  <si>
    <r>
      <t xml:space="preserve">, в соответствии с пунктом 5 статьи 28 Закона от 07.02.1992 № 2300-1 </t>
    </r>
    <r>
      <rPr>
        <sz val="11"/>
        <color theme="1"/>
        <rFont val="Calibri"/>
        <family val="2"/>
        <charset val="204"/>
      </rPr>
      <t>«О защите прав потребителей»</t>
    </r>
  </si>
  <si>
    <t>по день фактического исполнения решения Финансового уполномоченного</t>
  </si>
  <si>
    <t>Неустойка по КАСКО без периода</t>
  </si>
  <si>
    <t>штрафа в размере 50% от взысканной суммы за неисполнение в добровольном порядке требований потерпевшего</t>
  </si>
  <si>
    <t>В рамках рассмотрения Обращения в адрес</t>
  </si>
  <si>
    <t>Рассмотрев имеющиеся в деле документы, Финансовый уполномоченный установил следующее.</t>
  </si>
  <si>
    <t>Request</t>
  </si>
  <si>
    <t>ТС Заявителя</t>
  </si>
  <si>
    <t>Авто</t>
  </si>
  <si>
    <t>Г.Р.З.</t>
  </si>
  <si>
    <t>Собственник</t>
  </si>
  <si>
    <t>полис</t>
  </si>
  <si>
    <t>Заключение</t>
  </si>
  <si>
    <t>Начало</t>
  </si>
  <si>
    <t>Конец</t>
  </si>
  <si>
    <t>Пол</t>
  </si>
  <si>
    <t>ТС Виновника</t>
  </si>
  <si>
    <t>Виновник</t>
  </si>
  <si>
    <t>ClaimShort</t>
  </si>
  <si>
    <t>ClaimLong</t>
  </si>
  <si>
    <t>Claim</t>
  </si>
  <si>
    <t>ЕСТЬ</t>
  </si>
  <si>
    <t>НЕТ</t>
  </si>
  <si>
    <t>между Заявителем и</t>
  </si>
  <si>
    <t>со сроком страхования с</t>
  </si>
  <si>
    <t>до</t>
  </si>
  <si>
    <t xml:space="preserve">Сведений о заключении Заявителем договора ОСАГО Финансовому уполномоченному не предоставлено.
</t>
  </si>
  <si>
    <t>В результате дорожно-транспортного происшествия, произошедшего</t>
  </si>
  <si>
    <t>транспортным средством</t>
  </si>
  <si>
    <t>, государственный регистрационный номер</t>
  </si>
  <si>
    <t>, был причинен вред принадлежащему Заявителю транспортному средству</t>
  </si>
  <si>
    <t>Гражданская ответственность</t>
  </si>
  <si>
    <t>застрахована в</t>
  </si>
  <si>
    <t>Сведений о заключении</t>
  </si>
  <si>
    <t>договора ОСАГО Финансовому уполномоченному не предоставлено.</t>
  </si>
  <si>
    <t>Дата ДТП</t>
  </si>
  <si>
    <t>Праздники</t>
  </si>
  <si>
    <t>Обращение</t>
  </si>
  <si>
    <t>Сведений о страховании гражданской ответственности</t>
  </si>
  <si>
    <t>Финансовому уполномоченному не предоставлено.</t>
  </si>
  <si>
    <t>СПАО «Ингосстрах»</t>
  </si>
  <si>
    <t>117997, г. Москва, ул. Пятницкая, д. 12, стр. 2</t>
  </si>
  <si>
    <t xml:space="preserve"> </t>
  </si>
  <si>
    <t>АО «АльфаСтрахование»</t>
  </si>
  <si>
    <t>115162, г. Москва, ул. Шаболовка, д. 31, стр. Б</t>
  </si>
  <si>
    <t>ПАО СК «Росгосстрах»</t>
  </si>
  <si>
    <t>140002, Московская область, Люберцы, ул. Парковая, д. 3</t>
  </si>
  <si>
    <t>САО «ВСК»</t>
  </si>
  <si>
    <t>121552, г. Москва, ул. Островная, д. 4</t>
  </si>
  <si>
    <t>АО «СОГАЗ»</t>
  </si>
  <si>
    <t>107078, г. Москва, пр-т Академика Сахарова, д. 10</t>
  </si>
  <si>
    <t>АО «Группа Ренессанс Страхование»</t>
  </si>
  <si>
    <t>115114, г. Москва, наб. Дербеневская, д. 7, стр. 22, эт./пом. 4/XIII</t>
  </si>
  <si>
    <t>СПАО «РЕСО-Гарантия»</t>
  </si>
  <si>
    <t>125047, г. Москва, ул. Гашека, д. 12, стр. 1</t>
  </si>
  <si>
    <r>
      <t xml:space="preserve">АО </t>
    </r>
    <r>
      <rPr>
        <sz val="11"/>
        <color theme="1"/>
        <rFont val="Calibri"/>
        <family val="2"/>
        <charset val="204"/>
      </rPr>
      <t>«</t>
    </r>
    <r>
      <rPr>
        <sz val="11"/>
        <color theme="1"/>
        <rFont val="Calibri"/>
        <family val="2"/>
        <charset val="204"/>
        <scheme val="minor"/>
      </rPr>
      <t>СК «АСТРО-ВОЛГА</t>
    </r>
    <r>
      <rPr>
        <sz val="11"/>
        <color theme="1"/>
        <rFont val="Calibri"/>
        <family val="2"/>
        <charset val="204"/>
      </rPr>
      <t>»</t>
    </r>
  </si>
  <si>
    <t>443001, Самарская область, г. Самара, ул. Арцыбушевская, д. 167</t>
  </si>
  <si>
    <t>АО СК «Армеец»</t>
  </si>
  <si>
    <t>125040, г. Москва, пр-кт Ленинградский, д. 20, стр. 1</t>
  </si>
  <si>
    <t>ПАО «АСКО-СТРАХОВАНИЕ»</t>
  </si>
  <si>
    <t>454091, Челябинская область, г. Челябинск, ул. Красная, д. 4, оф. 401</t>
  </si>
  <si>
    <t>ООО «СК «Согласие»</t>
  </si>
  <si>
    <t>129110, г. Москва, ул. Гиляровского, д. 42</t>
  </si>
  <si>
    <t>ПАО «САК «Энергогарант»</t>
  </si>
  <si>
    <t>115035, г. Москва, наб. Садовническая, д. 23</t>
  </si>
  <si>
    <t>АО СК «Стерх»</t>
  </si>
  <si>
    <t>677000, Республика Саха (Якутия), г. Якутск, ул. Лермонтова, д. 152</t>
  </si>
  <si>
    <t>ООО «НСГ - «РОСЭНЕРГО»</t>
  </si>
  <si>
    <t>АО СК «Чулпан»</t>
  </si>
  <si>
    <t>423452, Республика Татарстан, г. Альметьевск, Альметьевский район, ул. Пушкина, д. 66, пом. 1</t>
  </si>
  <si>
    <t>ООО СО «ВЕРНА»</t>
  </si>
  <si>
    <t>350015, Краснодарский край, г. Краснодар, ул. Новокузнечная, д. 40</t>
  </si>
  <si>
    <t>САО «Надежда»</t>
  </si>
  <si>
    <t>660049, Красноярский край, г. Красноярск, ул. Парижской Коммуны, д. 39</t>
  </si>
  <si>
    <t>ООО «Страховая компания «СДС»</t>
  </si>
  <si>
    <t>650000, Кемеровская область, г. Кемерово, ул. Весенняя, д. 5</t>
  </si>
  <si>
    <t xml:space="preserve"> 19.09.1995</t>
  </si>
  <si>
    <t>АО «ГСК «Югория»</t>
  </si>
  <si>
    <t>628011, Ханты-Мансийский автономный округ, г. Ханты-Мансийск, ул. Комсомольская, д. 61</t>
  </si>
  <si>
    <t>АО «НАСКО»</t>
  </si>
  <si>
    <t>111033, г. Москва, ул. Золоторожский вал, д. 11, стр. 29</t>
  </si>
  <si>
    <t>420094, Республика Татарстан, г. Казань, ул. Маршала Чуйкова, д. 2б</t>
  </si>
  <si>
    <t>ООО Страховая Компания «Гелиос»</t>
  </si>
  <si>
    <t>109544, г. Москва, б-р. Энтузиастов, д. 2</t>
  </si>
  <si>
    <t>АО СК «БАСК»</t>
  </si>
  <si>
    <t>652600, Кемеровская область, г. Белово, пер. Цинкзаводской, д. 8 А</t>
  </si>
  <si>
    <t>АО «Тинькофф Страхование»</t>
  </si>
  <si>
    <t>127287, г. Москва, ул. 2-я Хуторская, д. 38А, стр. 26</t>
  </si>
  <si>
    <t xml:space="preserve"> 13.01.1993</t>
  </si>
  <si>
    <t>ООО «Абсолют Страхование»</t>
  </si>
  <si>
    <t>115280, г. Москва, ул. Ленинская Слобода, д. 26</t>
  </si>
  <si>
    <t>ООО «СК «АНГАРА»</t>
  </si>
  <si>
    <t>111033, г. Москва, ул. Золоторожский, д. 34, стр. 6</t>
  </si>
  <si>
    <t>665717, Иркутская обл., г. Братск, жилрайон Центральный, ул. Южная, д. 23</t>
  </si>
  <si>
    <t>Сайт</t>
  </si>
  <si>
    <t>ВИД</t>
  </si>
  <si>
    <t>ТИП</t>
  </si>
  <si>
    <t>СТАТУС</t>
  </si>
  <si>
    <t>НТЭ ФУ</t>
  </si>
  <si>
    <t>У-19-17626</t>
  </si>
  <si>
    <t>https://smp.sfurf.office/sd/operator/index.jsp;jsessionid=4B56FDB405CD332F2E4AE6AEC0BFEE05#uuid:serviceCall$20339677</t>
  </si>
  <si>
    <t>Зиннуров Азат Маратович</t>
  </si>
  <si>
    <t>РЕШ УВ DONE</t>
  </si>
  <si>
    <t>После экспертизы.</t>
  </si>
  <si>
    <t>У-19-30612</t>
  </si>
  <si>
    <t>https://smp.sfurf.office/sd/operator/index.jsp;jsessionid=4B56FDB405CD332F2E4AE6AEC0BFEE05#uuid:serviceCall$32452731</t>
  </si>
  <si>
    <t>Волянский Сергей Валерьевич</t>
  </si>
  <si>
    <t>Неустойка КАСКО</t>
  </si>
  <si>
    <t>У-19-31805</t>
  </si>
  <si>
    <t>https://smp.sfurf.office/sd/operator/index.jsp;jsessionid=4B56FDB405CD332F2E4AE6AEC0BFEE05#uuid:serviceCall$33150128</t>
  </si>
  <si>
    <t>Гаврюшина Юлия Валерьевна</t>
  </si>
  <si>
    <t>ОСАГО</t>
  </si>
  <si>
    <t>ЭЗ ПР DONE</t>
  </si>
  <si>
    <t>У-19-31807</t>
  </si>
  <si>
    <t>https://smp.sfurf.office/sd/operator/index.jsp;jsessionid=4B56FDB405CD332F2E4AE6AEC0BFEE05#uuid:serviceCall$33150130</t>
  </si>
  <si>
    <t>Хабибов Радик Салаватович</t>
  </si>
  <si>
    <t>У-19-31810</t>
  </si>
  <si>
    <t>https://smp.sfurf.office/sd/operator/index.jsp;jsessionid=4B56FDB405CD332F2E4AE6AEC0BFEE05#uuid:serviceCall$33150133</t>
  </si>
  <si>
    <t>Старченко Алексей Анатольевич</t>
  </si>
  <si>
    <t>Отказ, т.к. не установлена степень вины</t>
  </si>
  <si>
    <t>У-19-31812</t>
  </si>
  <si>
    <t>https://smp.sfurf.office/sd/operator/index.jsp;jsessionid=4B56FDB405CD332F2E4AE6AEC0BFEE05#uuid:serviceCall$33150135</t>
  </si>
  <si>
    <t>Середина Людмила Васильевна</t>
  </si>
  <si>
    <t>Отказ, т.к. экспертизу выплатили по среднему, почтовые расходы не взыскиваются</t>
  </si>
  <si>
    <t>У-19-17636</t>
  </si>
  <si>
    <t>https://smp.sfurf.office/sd/operator/index.jsp;jsessionid=4B56FDB405CD332F2E4AE6AEC0BFEE05#uuid:serviceCall$20339687</t>
  </si>
  <si>
    <t>Бильков Александр Владимирович</t>
  </si>
  <si>
    <t>После экспертизы. Прекращение, т.к. пропущен срок. Дело в суде оставлено без рассмотрения 04.10.2019</t>
  </si>
  <si>
    <t>У-19-18264</t>
  </si>
  <si>
    <t>https://smp.sfurf.office/sd/operator/index.jsp;jsessionid=4B56FDB405CD332F2E4AE6AEC0BFEE05#uuid:serviceCall$20689969</t>
  </si>
  <si>
    <t>Чекова Елена Альбертовна</t>
  </si>
  <si>
    <t>После экспертизы. Удовлетворение по НТЭ ФУ</t>
  </si>
  <si>
    <t>У-19-18885</t>
  </si>
  <si>
    <t>https://smp.sfurf.office/sd/operator/index.jsp;jsessionid=4B56FDB405CD332F2E4AE6AEC0BFEE05#uuid:serviceCall$21161126</t>
  </si>
  <si>
    <t>Горбунов Олег Михайлович</t>
  </si>
  <si>
    <t>У-19-25476</t>
  </si>
  <si>
    <t>https://smp.sfurf.office/sd/operator/index.jsp;jsessionid=4B56FDB405CD332F2E4AE6AEC0BFEE05#uuid:serviceCall$26967600</t>
  </si>
  <si>
    <t>Гриценко Антон Викторович</t>
  </si>
  <si>
    <t>После экспертизы. Отказ, т.к. ФО произвела выплату в большем размере, чем получилось по результатом НТЭ ФУ</t>
  </si>
  <si>
    <t>У-19-32569</t>
  </si>
  <si>
    <t>https://smp.sfurf.office/sd/operator/index.jsp;jsessionid=4B56FDB405CD332F2E4AE6AEC0BFEE05#uuid:serviceCall$34117905</t>
  </si>
  <si>
    <t>Молодкина Екатерина Михайловна</t>
  </si>
  <si>
    <t>У-19-32531</t>
  </si>
  <si>
    <t>https://smp.sfurf.office/sd/operator/index.jsp;jsessionid=4B56FDB405CD332F2E4AE6AEC0BFEE05#uuid:serviceCall$34005767</t>
  </si>
  <si>
    <t>Герасименко Робэр Валериевич</t>
  </si>
  <si>
    <t>У-19-32548</t>
  </si>
  <si>
    <t>https://smp.sfurf.office/sd/operator/index.jsp;jsessionid=4B56FDB405CD332F2E4AE6AEC0BFEE05#uuid:serviceCall$34005784</t>
  </si>
  <si>
    <t>Савченко Семен Владимирович</t>
  </si>
  <si>
    <t>У-19-32603</t>
  </si>
  <si>
    <t>https://smp.sfurf.office/sd/operator/index.jsp;jsessionid=4B56FDB405CD332F2E4AE6AEC0BFEE05#uuid:serviceCall$34117939</t>
  </si>
  <si>
    <t>Бакарева Мария Анатольевна</t>
  </si>
  <si>
    <t>Отказ, т.к. направление на ремонт выдавалось. Оригинальные запчасти не предусмотрены, т.к. автомобилю более 2х лет</t>
  </si>
  <si>
    <t>У-19-32608</t>
  </si>
  <si>
    <t>https://smp.sfurf.office/sd/operator/index.jsp;jsessionid=4B56FDB405CD332F2E4AE6AEC0BFEE05#uuid:serviceCall$34117944</t>
  </si>
  <si>
    <t>Назаралиев Абакар Мизамирович</t>
  </si>
  <si>
    <t>У-19-25579</t>
  </si>
  <si>
    <t>https://smp.sfurf.office/sd/operator/index.jsp;jsessionid=4B56FDB405CD332F2E4AE6AEC0BFEE05#uuid:serviceCall$27057596</t>
  </si>
  <si>
    <t>Степанов Антон Сергеевич</t>
  </si>
  <si>
    <t>После экспертизы. По НТЭ ФУ страховая выплатила в полном объеме, но второй платеж с нарушением срока</t>
  </si>
  <si>
    <t>У-19-25556</t>
  </si>
  <si>
    <t>https://smp.sfurf.office/sd/operator/index.jsp;jsessionid=4B56FDB405CD332F2E4AE6AEC0BFEE05#uuid:serviceCall$27057563</t>
  </si>
  <si>
    <t>Румянцева Ксения Александровна</t>
  </si>
  <si>
    <t>После экспертизы. После НТЭ ФУ. Взыскать по НТЭ ФУ</t>
  </si>
  <si>
    <t>У-19-32435</t>
  </si>
  <si>
    <t>https://smp.sfurf.office/sd/operator/index.jsp;jsessionid=4B56FDB405CD332F2E4AE6AEC0BFEE05#uuid:serviceCall$33790871</t>
  </si>
  <si>
    <t>Харчевников Вячеслав Геннадьевич</t>
  </si>
  <si>
    <t>КАСКО</t>
  </si>
  <si>
    <t>У-19-32440</t>
  </si>
  <si>
    <t>https://smp.sfurf.office/sd/operator/index.jsp;jsessionid=4B56FDB405CD332F2E4AE6AEC0BFEE05#uuid:serviceCall$33790876</t>
  </si>
  <si>
    <t>Бандуров Евгений Геннадьевич</t>
  </si>
  <si>
    <t>У-19-32443</t>
  </si>
  <si>
    <t>https://smp.sfurf.office/sd/operator/index.jsp;jsessionid=4B56FDB405CD332F2E4AE6AEC0BFEE05#uuid:serviceCall$33790879</t>
  </si>
  <si>
    <t>Бурков Георгий Николаевич</t>
  </si>
  <si>
    <t>Неустойка ОСАГО (часть выплатили). Просит остаток</t>
  </si>
  <si>
    <t>У-19-26025</t>
  </si>
  <si>
    <t>https://smp.sfurf.office/sd/operator/index.jsp;jsessionid=4B56FDB405CD332F2E4AE6AEC0BFEE05#uuid:serviceCall$27542363</t>
  </si>
  <si>
    <t>Иванков Евгений Александрович</t>
  </si>
  <si>
    <t>После экспертизы. Отказ, т.к. вина не установлена, 50% выплатили больше, чем по НТЭ ФУ</t>
  </si>
  <si>
    <t>У-19-26018</t>
  </si>
  <si>
    <t>https://smp.sfurf.office/sd/operator/index.jsp;jsessionid=4B56FDB405CD332F2E4AE6AEC0BFEE05#uuid:serviceCall$27542356</t>
  </si>
  <si>
    <t>Гулария Глеб Анзорович</t>
  </si>
  <si>
    <t>У-19-26014</t>
  </si>
  <si>
    <t>https://smp.sfurf.office/sd/operator/index.jsp;jsessionid=4B56FDB405CD332F2E4AE6AEC0BFEE05#uuid:serviceCall$27542352</t>
  </si>
  <si>
    <t>Ногаева Виктория Владимировна</t>
  </si>
  <si>
    <t>После экспертизы. Взыскание по нашей экспертизе</t>
  </si>
  <si>
    <t>У-19-33023</t>
  </si>
  <si>
    <t>https://smp.sfurf.office/sd/operator/index.jsp;jsessionid=4B56FDB405CD332F2E4AE6AEC0BFEE05#uuid:serviceCall$34548373</t>
  </si>
  <si>
    <t>Богомолова Оксана Эдуардовна</t>
  </si>
  <si>
    <t>Вред здоровью. ПО решению суда взыскано 15000. Просит неустойку</t>
  </si>
  <si>
    <t>У-19-33028</t>
  </si>
  <si>
    <t>https://smp.sfurf.office/sd/operator/index.jsp;jsessionid=4B56FDB405CD332F2E4AE6AEC0BFEE05#uuid:serviceCall$34548382</t>
  </si>
  <si>
    <t>Коротков Алексей Владимирович</t>
  </si>
  <si>
    <t>У-19-33031</t>
  </si>
  <si>
    <t>https://smp.sfurf.office/sd/operator/index.jsp;jsessionid=4B56FDB405CD332F2E4AE6AEC0BFEE05#uuid:serviceCall$34548384</t>
  </si>
  <si>
    <t>Литвинов Роман Егорович</t>
  </si>
  <si>
    <t>У-19-33034</t>
  </si>
  <si>
    <t>https://smp.sfurf.office/sd/operator/index.jsp;jsessionid=4B56FDB405CD332F2E4AE6AEC0BFEE05#uuid:serviceCall$34548387</t>
  </si>
  <si>
    <t>Кенджаметов Арсен Сейдалиевич</t>
  </si>
  <si>
    <t>У-19-33046</t>
  </si>
  <si>
    <t>https://smp.sfurf.office/sd/operator/index.jsp;jsessionid=4B56FDB405CD332F2E4AE6AEC0BFEE05#uuid:serviceCall$34548399</t>
  </si>
  <si>
    <t>Диканский Евгений Евгеньевич</t>
  </si>
  <si>
    <t>Неустойка. Прекращение. Нет платежного поручения на оплату страхового возмещения по решению суда</t>
  </si>
  <si>
    <t>У-19-26514</t>
  </si>
  <si>
    <t>https://smp.sfurf.office/sd/operator/#uuid:serviceCall$28107739</t>
  </si>
  <si>
    <t>Канойко Галина Михайловна</t>
  </si>
  <si>
    <t>После экспертизы. Отказ, т.к. направление на ремонт ФО направило в срок</t>
  </si>
  <si>
    <t>У-19-20208</t>
  </si>
  <si>
    <t>https://smp.sfurf.office/sd/operator/#uuid:serviceCall$22314254</t>
  </si>
  <si>
    <t>Шаронова Арина Валерьевна</t>
  </si>
  <si>
    <t>Отказ, трасса, повреждения не соответствуют ДТП</t>
  </si>
  <si>
    <t>У-19-34354</t>
  </si>
  <si>
    <t>https://smp.sfurf.office/sd/operator/#uuid:serviceCall$36267116</t>
  </si>
  <si>
    <t>Кутель Василий Васильевич</t>
  </si>
  <si>
    <t>У-19-34358</t>
  </si>
  <si>
    <t>https://smp.sfurf.office/sd/operator/#uuid:serviceCall$36267120</t>
  </si>
  <si>
    <t>Дадаева Елена Андреевна</t>
  </si>
  <si>
    <t>У-19-34365</t>
  </si>
  <si>
    <t>https://smp.sfurf.office/sd/operator/#uuid:serviceCall$36267127</t>
  </si>
  <si>
    <t>Лященко Андрей Александрович</t>
  </si>
  <si>
    <t>ОТКАЗ. КАСКО. У водителя на момент ДТП истек срок действия ВУ. ФО на этом основании в выплате отказала</t>
  </si>
  <si>
    <t>У-19-34367</t>
  </si>
  <si>
    <t>https://smp.sfurf.office/sd/operator/#uuid:serviceCall$36267129</t>
  </si>
  <si>
    <t>Татевосян Кристина Алексеевна</t>
  </si>
  <si>
    <t>ПРЕКРАЩЕНИЕ. ФО дважды направляла направление на НТЭ и эвакуатор, потом вернула документы</t>
  </si>
  <si>
    <t>У-19-34369</t>
  </si>
  <si>
    <t>https://smp.sfurf.office/sd/operator/#uuid:serviceCall$36267131</t>
  </si>
  <si>
    <t>Никитина Людмила Викторовна</t>
  </si>
  <si>
    <t>У-19-34694</t>
  </si>
  <si>
    <t>https://smp.sfurf.office/sd/operator/#uuid:serviceCall$36645664</t>
  </si>
  <si>
    <t>Осокина Ольга Валерьевна</t>
  </si>
  <si>
    <t>У-19-34690</t>
  </si>
  <si>
    <t>https://smp.sfurf.office/sd/operator/#uuid:serviceCall$36645660</t>
  </si>
  <si>
    <t>Востриков Сергей Анатольевич</t>
  </si>
  <si>
    <t>Неустойка. Рассматривается в суде + не соблюден досудебный порядок (в заявлении-претензии не заявлено требование о неустойке)</t>
  </si>
  <si>
    <t>У-19-34683</t>
  </si>
  <si>
    <t>https://smp.sfurf.office/sd/operator/#uuid:serviceCall$36645653</t>
  </si>
  <si>
    <t>Антонов Вячеслав Вячеславович</t>
  </si>
  <si>
    <t>У-19-27962</t>
  </si>
  <si>
    <t>https://smp.sfurf.office/sd/operator/#uuid:serviceCall$29533359</t>
  </si>
  <si>
    <t>Елбакиев Рустам Шотаевич</t>
  </si>
  <si>
    <t>Трасса</t>
  </si>
  <si>
    <t>У-19-27968</t>
  </si>
  <si>
    <t>https://smp.sfurf.office/sd/operator/#uuid:serviceCall$29533365</t>
  </si>
  <si>
    <t>Бабенко Дмитрий Андреевич</t>
  </si>
  <si>
    <t>По НТЭ ФУ больше, чем по НТЭ ФО. Однако выплата с нарушением срока. Неустойка взыскана в части</t>
  </si>
  <si>
    <t>У-19-27913</t>
  </si>
  <si>
    <t>https://smp.sfurf.office/sd/operator/#uuid:serviceCall$29533309</t>
  </si>
  <si>
    <t>Коровина Татьяна Викторовна</t>
  </si>
  <si>
    <t>У-19-35436</t>
  </si>
  <si>
    <t>https://smp.sfurf.office/sd/operator/#uuid:serviceCall$37298212</t>
  </si>
  <si>
    <t>Хамитова Сазида Нурисламовна</t>
  </si>
  <si>
    <t>Неустойка. После решения суда. Удовлетворить, т.к. ПП на оплату по решению суда есть</t>
  </si>
  <si>
    <t>У-19-35425</t>
  </si>
  <si>
    <t>https://smp.sfurf.office/sd/operator/#uuid:serviceCall$37298201</t>
  </si>
  <si>
    <t>Пешехонов Евгений Васильевич</t>
  </si>
  <si>
    <t>Отказ. Выдали направление на ремонт. Хочет деньгами, т.к. до СТОА долго ехать, факт получения направления на СТОА не оспаривает. Адрес СТОА - Краснодарский край, г. Армавир, ул. Ефремова, д.14, адрес регистрации Заявителя - Краснодарский край, Новокубанский р-н, ст. Советская, ул. Бурдовой, д. 40 (расстояние до СТОА по данным Яндекс - 28 км), место ДТП - Краснодарский край, Новокубанский р-н, ст. Советская,  ул. Комсомольская- ул. Красноармейская, д. 21 (расстояние до СТОА по данным Яндекс - 10 км).</t>
  </si>
  <si>
    <t>У-19-35414</t>
  </si>
  <si>
    <t>https://smp.sfurf.office/sd/operator/#uuid:serviceCall$37216890</t>
  </si>
  <si>
    <t>Бондаренко Юрий Иванович</t>
  </si>
  <si>
    <t>У-19-35398</t>
  </si>
  <si>
    <t>https://smp.sfurf.office/sd/operator/#uuid:serviceCall$37216874</t>
  </si>
  <si>
    <t>Жизнь. ДТП 2016 года. Страховая виновника выплату осуществила, Заявитель хочет со своей.  Отложенная неустойка, моральный вред, штраф 50%</t>
  </si>
  <si>
    <t>У-19-35394</t>
  </si>
  <si>
    <t>https://smp.sfurf.office/sd/operator/#uuid:serviceCall$37216870</t>
  </si>
  <si>
    <t>Добробабина Инна Игоревна</t>
  </si>
  <si>
    <t>У-19-35390</t>
  </si>
  <si>
    <t>https://smp.sfurf.office/sd/operator/#uuid:serviceCall$37216866</t>
  </si>
  <si>
    <t>Дроздов Владимир Александрович</t>
  </si>
  <si>
    <t>Комплекс</t>
  </si>
  <si>
    <t>У-19-35540</t>
  </si>
  <si>
    <t>https://smp.sfurf.office/sd/operator/#uuid:serviceCall$37390616</t>
  </si>
  <si>
    <t>Ибаев Магомед Рамзанович</t>
  </si>
  <si>
    <t>У-19-21070</t>
  </si>
  <si>
    <t>https://smp.sfurf.office/sd/operator/#uuid:serviceCall$23157725</t>
  </si>
  <si>
    <t>Масанов Ринат Алдербегович</t>
  </si>
  <si>
    <t>После НТЭ ФУ. Отказ, т.к. повреждения не соответствуют ДТП</t>
  </si>
  <si>
    <t>У-19-36144</t>
  </si>
  <si>
    <t>https://smp.sfurf.office/sd/operator/#uuid:serviceCall$38024332</t>
  </si>
  <si>
    <t>Байдаченко Лариса Александровна</t>
  </si>
  <si>
    <t>Заключили соглашение. ФО произвело выплату в срок. Заявитель провел экспертизу и хочет остаток.</t>
  </si>
  <si>
    <t>У-19-36140</t>
  </si>
  <si>
    <t>https://smp.sfurf.office/sd/operator/#uuid:serviceCall$38024328</t>
  </si>
  <si>
    <t>Браславский Игорь Анатольевич</t>
  </si>
  <si>
    <t>Неустойка каскадная</t>
  </si>
  <si>
    <t>У-19-36139</t>
  </si>
  <si>
    <t>https://smp.sfurf.office/sd/operator/#uuid:serviceCall$38024327</t>
  </si>
  <si>
    <t>Фаткуллина Инна Аркадьевна</t>
  </si>
  <si>
    <t>Есть решение суда по тому же спору между теми же сторонами</t>
  </si>
  <si>
    <t>У-19-36122</t>
  </si>
  <si>
    <t>https://smp.sfurf.office/sd/operator/#uuid:serviceCall$38024310</t>
  </si>
  <si>
    <t>Никитин Александр Владимирович</t>
  </si>
  <si>
    <t>Неустойка. По решению суда. Платежка по исполнительнмоу листу есть</t>
  </si>
  <si>
    <t>У-19-36544</t>
  </si>
  <si>
    <t>https://smp.sfurf.office/sd/operator/#uuid:serviceCall$38514511</t>
  </si>
  <si>
    <t>Асланов Шамсудин Гаджихалилович</t>
  </si>
  <si>
    <t>У-19-28979</t>
  </si>
  <si>
    <t>https://smp.sfurf.office/sd/operator/#uuid:serviceCall$30529558</t>
  </si>
  <si>
    <t>Даноян Арсен Самвелович</t>
  </si>
  <si>
    <t>У-19-22662</t>
  </si>
  <si>
    <t>https://smp.sfurf.office/sd/operator/#uuid:serviceCall$24453886</t>
  </si>
  <si>
    <t>Скулкин Дмитрий Витальевич</t>
  </si>
  <si>
    <t>После НТЭ ФУ. Прекратили, по причине невозможности проведения НТЭ ФУ, т.к. нет фотоматериалов.</t>
  </si>
  <si>
    <t>У-19-22638</t>
  </si>
  <si>
    <t>https://smp.sfurf.office/sd/operator/#uuid:serviceCall$24453862</t>
  </si>
  <si>
    <t>Черемисинов Виктор Вячеславович</t>
  </si>
  <si>
    <t>У-19-37199</t>
  </si>
  <si>
    <t>https://smp.sfurf.office/sd/operator/#uuid:serviceCall$39392767</t>
  </si>
  <si>
    <t>Макаров Александр Юрьевич</t>
  </si>
  <si>
    <t>АО «МАКС»</t>
  </si>
  <si>
    <t>Вина 50%. Хочет выплату в размере 100%</t>
  </si>
  <si>
    <t>У-19-37196</t>
  </si>
  <si>
    <t>https://smp.sfurf.office/sd/operator/#uuid:serviceCall$39392754</t>
  </si>
  <si>
    <t>Алиева Малика Бекмурзаевна</t>
  </si>
  <si>
    <t>Отказ по трассе. Обращение от представителя (отправитель на конверте в ФУ - представитель, заявление к ФУ на бланке представителя, подписано обоими, Заявителем и представителем). Либо НТЭ, либо прекращение</t>
  </si>
  <si>
    <t>У-19-37280</t>
  </si>
  <si>
    <t>https://smp.sfurf.office/sd/operator/#uuid:serviceCall$39392752</t>
  </si>
  <si>
    <t>Осипов Максим Павлович</t>
  </si>
  <si>
    <t>У-19-37194</t>
  </si>
  <si>
    <t>https://smp.sfurf.office/sd/operator/#uuid:serviceCall$39392743</t>
  </si>
  <si>
    <t>Литвишко Елена Рольевна</t>
  </si>
  <si>
    <t>Неустойка. ФО выплатила в полном объеме</t>
  </si>
  <si>
    <t>У-19-37189</t>
  </si>
  <si>
    <t>https://smp.sfurf.office/sd/operator/#uuid:serviceCall$39392722</t>
  </si>
  <si>
    <t>Фархидинов Мунаваршох Холикович</t>
  </si>
  <si>
    <t>Отказ, т.к. не предоставил на осмотр. Сначала обратился по КАСКО в Ангара. У Ангара отозвали лицензию, пошел в ФО виновника. ТС отремонтировал (есть заказ-наряд), ФО виновника отказывает, т.к. не предоставил на осмотр, документы (акт осмотра) не читаемый</t>
  </si>
  <si>
    <t>У-19-29362</t>
  </si>
  <si>
    <t>https://smp.sfurf.office/sd/operator/#uuid:serviceCall$31030783</t>
  </si>
  <si>
    <t>Ишханян Володя Норикович</t>
  </si>
  <si>
    <t>Тотал. НТЭ ФУ.</t>
  </si>
  <si>
    <t>У-19-29976</t>
  </si>
  <si>
    <t>https://smp.sfurf.office/sd/operator/#uuid:serviceCall$31668991</t>
  </si>
  <si>
    <t>Кезина Екатерина Алексеевна</t>
  </si>
  <si>
    <t>После НТЭ ФУ. Отказ по трассе.</t>
  </si>
  <si>
    <t>У-19-23137</t>
  </si>
  <si>
    <t>https://smp.sfurf.office/sd/operator/#uuid:serviceCall$24940861</t>
  </si>
  <si>
    <t>Велисевич Константин Сергеевич</t>
  </si>
  <si>
    <t>НТЭ ФУ. Две выплаты, каскадныя неустойка, экспертиза до 01.06.2019, представительские, 10%</t>
  </si>
  <si>
    <t>У-19-37850</t>
  </si>
  <si>
    <t>https://smp.sfurf.office/sd/operator/#uuid:serviceCall$39999157</t>
  </si>
  <si>
    <t>Романовский Олег Юрьеви</t>
  </si>
  <si>
    <t>У-19-30332</t>
  </si>
  <si>
    <t>https://smp.sfurf.office/sd/operator/#uuid:serviceCall$32112614</t>
  </si>
  <si>
    <t>Гроздов Константин Александрович</t>
  </si>
  <si>
    <t>У-19-30509</t>
  </si>
  <si>
    <t>https://smp.sfurf.office/sd/operator/#uuid:serviceCall$32345428</t>
  </si>
  <si>
    <t>Ряков Константин Андреевич</t>
  </si>
  <si>
    <t>Выплатили в пределах 10%</t>
  </si>
  <si>
    <t>У-19-37857</t>
  </si>
  <si>
    <t>https://smp.sfurf.office/sd/operator/#uuid:serviceCall$39999164</t>
  </si>
  <si>
    <t>Шадрин Геннадий Евграфович</t>
  </si>
  <si>
    <t>Выплатили по НТЭ Заявителя ровно столько, сколько он просил. Выплата на реквизиты представителя. В заявлении просил выплатить на реквизиты представителя</t>
  </si>
  <si>
    <t>У-19-37856</t>
  </si>
  <si>
    <t>https://smp.sfurf.office/sd/operator/#uuid:serviceCall$39999163</t>
  </si>
  <si>
    <t>Брусенко Евгений Олегович</t>
  </si>
  <si>
    <t>Неустойка</t>
  </si>
  <si>
    <t>У-19-37854</t>
  </si>
  <si>
    <t>https://smp.sfurf.office/sd/operator/#uuid:serviceCall$39999161</t>
  </si>
  <si>
    <t>Носков Андрей Викторович</t>
  </si>
  <si>
    <t>У-19-37843</t>
  </si>
  <si>
    <t>https://smp.sfurf.office/sd/operator/#uuid:serviceCall$39999150</t>
  </si>
  <si>
    <t>Щербина Валентина Сергеевна</t>
  </si>
  <si>
    <t>У-19-37747</t>
  </si>
  <si>
    <t>https://smp.sfurf.office/sd/operator/#uuid:serviceCall$39916354</t>
  </si>
  <si>
    <t>Ворожбитова Екатерина Алексеевна</t>
  </si>
  <si>
    <t>РЕШ УВ согласование</t>
  </si>
  <si>
    <t>Юлькино. Вина 50%. Хочет выплату в размере 100%. Спора о сумме нет</t>
  </si>
  <si>
    <t>У-19-30675</t>
  </si>
  <si>
    <t>https://smp.sfurf.office/sd/operator/#uuid:serviceCall$32452794</t>
  </si>
  <si>
    <t>Агеева Татьяна Николаевна</t>
  </si>
  <si>
    <t>Юлькино. Тотал. После НТЭ, вина 50%</t>
  </si>
  <si>
    <t>У-19-37738</t>
  </si>
  <si>
    <t>https://smp.sfurf.office/sd/operator/#uuid:serviceCall$39916345</t>
  </si>
  <si>
    <t>Тимофеева Анна Павлова</t>
  </si>
  <si>
    <t>Юлькино. Мать в интересах дочери. Жизнь, выплата 1/3, Довзыскали остальные 2/3</t>
  </si>
  <si>
    <t>У-19-38722</t>
  </si>
  <si>
    <t>https://smp.sfurf.office/sd/operator/index.jsp;jsessionid=4B56FDB405CD332F2E4AE6AEC0BFEE05#uuid:serviceCall$41121275</t>
  </si>
  <si>
    <t>Халилов Владислав Фатыхович</t>
  </si>
  <si>
    <t>https://smp.sfurf.office/sd/operator/index.jsp;jsessionid=4B56FDB405CD332F2E4AE6AEC0BFEE05#uuid:serviceCall$41288412</t>
  </si>
  <si>
    <t>РЕШ шаблон</t>
  </si>
  <si>
    <t>У-19-38766</t>
  </si>
  <si>
    <t>https://smp.sfurf.office/sd/operator/index.jsp;jsessionid=4B56FDB405CD332F2E4AE6AEC0BFEE05#uuid:serviceCall$41288419</t>
  </si>
  <si>
    <t>Гасанов Сократ Сафинович</t>
  </si>
  <si>
    <t>У-19-38767</t>
  </si>
  <si>
    <t>https://smp.sfurf.office/sd/operator/index.jsp;jsessionid=4B56FDB405CD332F2E4AE6AEC0BFEE05#uuid:serviceCall$41288420</t>
  </si>
  <si>
    <t>Масюк Анастасия Германовна</t>
  </si>
  <si>
    <t>У-19-39542</t>
  </si>
  <si>
    <t>https://smp.sfurf.office/sd/operator/index.jsp;jsessionid=4B56FDB405CD332F2E4AE6AEC0BFEE05#uuid:serviceCall$41913989</t>
  </si>
  <si>
    <t>Клевцов Сергей Михайлович</t>
  </si>
  <si>
    <t>У-19-39556</t>
  </si>
  <si>
    <t>https://smp.sfurf.office/sd/operator/index.jsp;jsessionid=4B56FDB405CD332F2E4AE6AEC0BFEE05#uuid:serviceCall$42047608</t>
  </si>
  <si>
    <t>Щекотихина Анна Юрьевна</t>
  </si>
  <si>
    <t>У-19-39566</t>
  </si>
  <si>
    <t>https://smp.sfurf.office/sd/operator/index.jsp;jsessionid=4B56FDB405CD332F2E4AE6AEC0BFEE05#uuid:serviceCall$42047624</t>
  </si>
  <si>
    <t>Тихонова Юлия Валерьевна</t>
  </si>
  <si>
    <t>У-19-39567</t>
  </si>
  <si>
    <t>https://smp.sfurf.office/sd/operator/index.jsp;jsessionid=4B56FDB405CD332F2E4AE6AEC0BFEE05#uuid:serviceCall$42047626</t>
  </si>
  <si>
    <t>Литвинов Константин Владимирович</t>
  </si>
  <si>
    <t>У-19-39586</t>
  </si>
  <si>
    <t>https://smp.sfurf.office/sd/operator/index.jsp;jsessionid=4B56FDB405CD332F2E4AE6AEC0BFEE05#uuid:serviceCall$42047647</t>
  </si>
  <si>
    <t>Мясников Олег Игоревич</t>
  </si>
  <si>
    <t>У-19-40009</t>
  </si>
  <si>
    <t>https://smp.sfurf.office/sd/operator/index.jsp;jsessionid=4B56FDB405CD332F2E4AE6AEC0BFEE05#uuid:serviceCall$42559486</t>
  </si>
  <si>
    <t>Лосева Мария Викторовна</t>
  </si>
  <si>
    <t>У-19-40003</t>
  </si>
  <si>
    <t>https://smp.sfurf.office/sd/operator/index.jsp;jsessionid=4B56FDB405CD332F2E4AE6AEC0BFEE05#uuid:serviceCall$42559479</t>
  </si>
  <si>
    <t>Прокопов Яков Алексеевич</t>
  </si>
  <si>
    <t>У-19-39995</t>
  </si>
  <si>
    <t>https://smp.sfurf.office/sd/operator/index.jsp;jsessionid=4B56FDB405CD332F2E4AE6AEC0BFEE05#uuid:serviceCall$42559471</t>
  </si>
  <si>
    <t>Хабибуллина Регина Ирековна</t>
  </si>
  <si>
    <t>У-19-39993</t>
  </si>
  <si>
    <t>https://smp.sfurf.office/sd/operator/index.jsp;jsessionid=4B56FDB405CD332F2E4AE6AEC0BFEE05#uuid:serviceCall$42559469</t>
  </si>
  <si>
    <t>Оганезов Сергей Сергеевич</t>
  </si>
  <si>
    <t>У-19-39991</t>
  </si>
  <si>
    <t>https://smp.sfurf.office/sd/operator/index.jsp;jsessionid=4B56FDB405CD332F2E4AE6AEC0BFEE05#uuid:serviceCall$42559467</t>
  </si>
  <si>
    <t>Лопатин Андрей Николаевич</t>
  </si>
  <si>
    <t>У-19-40776</t>
  </si>
  <si>
    <t>https://smp.sfurf.office/sd/operator/index.jsp;jsessionid=4B56FDB405CD332F2E4AE6AEC0BFEE05#uuid:serviceCall$43416200</t>
  </si>
  <si>
    <t>Вагнер Александр Юрьевич</t>
  </si>
  <si>
    <t>У-19-40775</t>
  </si>
  <si>
    <t>https://smp.sfurf.office/sd/operator/index.jsp;jsessionid=4B56FDB405CD332F2E4AE6AEC0BFEE05#uuid:serviceCall$43416199</t>
  </si>
  <si>
    <t>Баиев Мурат Рашидович</t>
  </si>
  <si>
    <t>У-19-40773</t>
  </si>
  <si>
    <t>https://smp.sfurf.office/sd/operator/index.jsp;jsessionid=4B56FDB405CD332F2E4AE6AEC0BFEE05#uuid:serviceCall$43416197</t>
  </si>
  <si>
    <t>Елисеенко Олег Олегович</t>
  </si>
  <si>
    <t>У-19-40770</t>
  </si>
  <si>
    <t>https://smp.sfurf.office/sd/operator/index.jsp;jsessionid=4B56FDB405CD332F2E4AE6AEC0BFEE05#uuid:serviceCall$43416194</t>
  </si>
  <si>
    <t>Бондарева Наталья Васильевна</t>
  </si>
  <si>
    <t>У-19-40767</t>
  </si>
  <si>
    <t>https://smp.sfurf.office/sd/operator/index.jsp;jsessionid=4B56FDB405CD332F2E4AE6AEC0BFEE05#uuid:serviceCall$43416191</t>
  </si>
  <si>
    <t>Губин Сергей Геннадиевич</t>
  </si>
  <si>
    <t>У-19-41542</t>
  </si>
  <si>
    <t>https://smp.sfurf.office/sd/operator/index.jsp;jsessionid=4B56FDB405CD332F2E4AE6AEC0BFEE05#uuid:serviceCall$44346295</t>
  </si>
  <si>
    <t>Крамаренко Юрий Алексеевич</t>
  </si>
  <si>
    <t>У-19-41541</t>
  </si>
  <si>
    <t>https://smp.sfurf.office/sd/operator/index.jsp;jsessionid=4B56FDB405CD332F2E4AE6AEC0BFEE05#uuid:serviceCall$44346294</t>
  </si>
  <si>
    <t>Хеж Адам Байзетович</t>
  </si>
  <si>
    <t>САО ЭРГО</t>
  </si>
  <si>
    <t>У-19-41539</t>
  </si>
  <si>
    <t>https://smp.sfurf.office/sd/operator/index.jsp;jsessionid=4B56FDB405CD332F2E4AE6AEC0BFEE05#uuid:serviceCall$44346292</t>
  </si>
  <si>
    <t>Сидоренко Анастасия Петровна</t>
  </si>
  <si>
    <t>У-19-41538</t>
  </si>
  <si>
    <t>https://smp.sfurf.office/sd/operator/index.jsp;jsessionid=4B56FDB405CD332F2E4AE6AEC0BFEE05#uuid:serviceCall$44346291</t>
  </si>
  <si>
    <t>Богатко Сергей Витальевич</t>
  </si>
  <si>
    <t>У-19-41534</t>
  </si>
  <si>
    <t>https://smp.sfurf.office/sd/operator/index.jsp;jsessionid=4B56FDB405CD332F2E4AE6AEC0BFEE05#uuid:serviceCall$44346287</t>
  </si>
  <si>
    <t>Гобадзе Темур Важаевич</t>
  </si>
  <si>
    <t>У-19-41532</t>
  </si>
  <si>
    <t>https://smp.sfurf.office/sd/operator/index.jsp;jsessionid=4B56FDB405CD332F2E4AE6AEC0BFEE05#uuid:serviceCall$44346285</t>
  </si>
  <si>
    <t>Чадаханов Муслим Адланович</t>
  </si>
  <si>
    <t>DescriptionDtp</t>
  </si>
  <si>
    <t xml:space="preserve">
</t>
  </si>
  <si>
    <t>(далее – Договор ОСАГО)</t>
  </si>
  <si>
    <t>(далее – Транспортное средство)</t>
  </si>
  <si>
    <t>А31 - Перенос на новую строку</t>
  </si>
  <si>
    <t>ЭЗ</t>
  </si>
  <si>
    <t>ЭЗ согласование</t>
  </si>
  <si>
    <t>ЭЗ согласовано</t>
  </si>
  <si>
    <t>ЭЗ ПР согласование</t>
  </si>
  <si>
    <t>РЕШ</t>
  </si>
  <si>
    <t>РЕШ согласование</t>
  </si>
  <si>
    <t>РЕШ согласовано</t>
  </si>
  <si>
    <t>РЕШ подписано</t>
  </si>
  <si>
    <t>Status</t>
  </si>
  <si>
    <t>Заявитель обратился в</t>
  </si>
  <si>
    <t>с заявлением о страховом возмещении по Договору ОСАГО</t>
  </si>
  <si>
    <t>с заявлением о прямом возмещении убытков</t>
  </si>
  <si>
    <t>ОБРАЩЕНИЕ В ФО</t>
  </si>
  <si>
    <t>ОСМОТР</t>
  </si>
  <si>
    <t>проведен осмотр принадлежащего Заявителю Транспортного средства</t>
  </si>
  <si>
    <t>с привлечением независимой экспертной организации</t>
  </si>
  <si>
    <t>НТЭ ФО</t>
  </si>
  <si>
    <t>от</t>
  </si>
  <si>
    <t>независимой экспертной организацией</t>
  </si>
  <si>
    <t>без учета износа составила</t>
  </si>
  <si>
    <t>с учетом износа составила</t>
  </si>
  <si>
    <t>подписано Соглашение о выплате страхового возмещения (далее – Соглашение), согласно которому стороны пришли к согласию о сумме денежной выплаты по страховому случаю в размере</t>
  </si>
  <si>
    <t>, которую</t>
  </si>
  <si>
    <t>должно осуществить в случае признания случая страховым.</t>
  </si>
  <si>
    <t>Выплата по Заявлению</t>
  </si>
  <si>
    <t>Направление на ремонт</t>
  </si>
  <si>
    <t>выдало Заявителю направление №</t>
  </si>
  <si>
    <t>(далее – СТОА) для осуществления восстановительного ремонта поврежденного Транспортного средства</t>
  </si>
  <si>
    <t>Отказ (Трасса)</t>
  </si>
  <si>
    <t>, в котором сообщалось</t>
  </si>
  <si>
    <t>, что согласно выводам проведенной экспертизы, все повреждения Транспортного средства Заявителя не могли образоваться при заявленных обстоятельствах ДТП</t>
  </si>
  <si>
    <t>, в связи с чем, правовых оснований для урегулирования данного убытка у</t>
  </si>
  <si>
    <t>не имеется</t>
  </si>
  <si>
    <t>Заявление о смене формы</t>
  </si>
  <si>
    <t>с заявлением о смене формы возмещения с натуральной на денежную</t>
  </si>
  <si>
    <t>письмом №</t>
  </si>
  <si>
    <t>отказало Заявителю в удовлетворении заявленных требований</t>
  </si>
  <si>
    <t>Ответ ФО</t>
  </si>
  <si>
    <t>Выплата</t>
  </si>
  <si>
    <t>Суть</t>
  </si>
  <si>
    <t>№ ПП</t>
  </si>
  <si>
    <t>СТОА</t>
  </si>
  <si>
    <t>, предоставив все документы, предусмотренные Правилами обязательного страхования гражданской ответственности владельцев транспортных средств, утвержденными Положением Банка России от 19.09.2014 № 431-П (далее – Правила ОСАГО)</t>
  </si>
  <si>
    <t>Организация</t>
  </si>
  <si>
    <t>БЕЗ</t>
  </si>
  <si>
    <t>С</t>
  </si>
  <si>
    <t>Рынок</t>
  </si>
  <si>
    <t>Годные</t>
  </si>
  <si>
    <t>УТС</t>
  </si>
  <si>
    <t>Тип</t>
  </si>
  <si>
    <t>Заявление</t>
  </si>
  <si>
    <t>Претензия</t>
  </si>
  <si>
    <t>123-ФЗ</t>
  </si>
  <si>
    <t>Смена формы</t>
  </si>
  <si>
    <t>Акт осмотра ФО</t>
  </si>
  <si>
    <t>Траса</t>
  </si>
  <si>
    <t>ВЫПЛАТА</t>
  </si>
  <si>
    <t>Экспертиза Заявителя УЩЕРБ</t>
  </si>
  <si>
    <t>Экспертиза Заявителя УТС</t>
  </si>
  <si>
    <t>Экспертиза ФУ ТРАСА</t>
  </si>
  <si>
    <t>Экспертиза ФУ УЩЕРБ (+ТРАСА)</t>
  </si>
  <si>
    <t>Вопросы</t>
  </si>
  <si>
    <t>Эксперт</t>
  </si>
  <si>
    <t>СУД Первая инстанция</t>
  </si>
  <si>
    <t>СУД Апелляционная инстанция</t>
  </si>
  <si>
    <t>СУД Кассационная инстанция</t>
  </si>
  <si>
    <t>СУД</t>
  </si>
  <si>
    <t>ВЗЫСКАНО СУД 1 ИНСТ</t>
  </si>
  <si>
    <t>ВЗЫСКАНО СУД 2ИНСТ</t>
  </si>
  <si>
    <t>Исполнительный лист</t>
  </si>
  <si>
    <t>Дата ПП</t>
  </si>
  <si>
    <t>Сумма</t>
  </si>
  <si>
    <t>ОБРАЩЕНИЕ №1</t>
  </si>
  <si>
    <t>Экспертиза ФО УЩЕРБ</t>
  </si>
  <si>
    <t>Экспертиза ФО УТС</t>
  </si>
  <si>
    <t>ОБРАЩЕНИЕ №2</t>
  </si>
  <si>
    <t>ОБРАЩЕНИЕ №3</t>
  </si>
  <si>
    <t>ОБРАЩЕНИЕ №4</t>
  </si>
  <si>
    <t>ОБРАЩЕНИЕ №5</t>
  </si>
  <si>
    <t>ОБРАЩЕНИЕ №6</t>
  </si>
  <si>
    <t>Выплата по суду</t>
  </si>
  <si>
    <t>подготовлено экспертное заключение от</t>
  </si>
  <si>
    <t>, согласно которому стоимость восстановительного ремонта Транспортного средства</t>
  </si>
  <si>
    <t>На основании результатов осмотра от</t>
  </si>
  <si>
    <t>Прекращение. Был суд</t>
  </si>
  <si>
    <t>ТОТАЛ</t>
  </si>
  <si>
    <t>ТРАСА</t>
  </si>
  <si>
    <t>РЕМОНТ</t>
  </si>
  <si>
    <t>Об обязании выдать направление на ремонт. Направление выдали в срок</t>
  </si>
  <si>
    <t>ЗДОРОВЬЕ</t>
  </si>
  <si>
    <t>средняя рыночная стоимость Транспортного средства до повреждения по состоянию на дату ДТП составляла</t>
  </si>
  <si>
    <t>стоимость годных остатков поврежденного Транспортного средства составила</t>
  </si>
  <si>
    <t>Подписано соглашение о выплате страхового возмещения. Не расторгнуто. Но после подписания обнаружились скрытые повреждения, о которых на момент осмотра ТС ни Заявитлья, ни ФО не знали.</t>
  </si>
  <si>
    <t>НЕУСТОЙКА</t>
  </si>
  <si>
    <t>, что подтверждается платежным поручением от</t>
  </si>
  <si>
    <t>Неустойка каскадная. Прекращение - более 3х лет с момента нарушенного права (обратился с заявлением в ФО 19.05.2016, к ФУ - 01.10.2019)</t>
  </si>
  <si>
    <t>ОТКАЗ</t>
  </si>
  <si>
    <t>Дней</t>
  </si>
  <si>
    <t>Прекращение - нет решения суда, невозможно определить период начисления неустойки. Неустойка по решению суда</t>
  </si>
  <si>
    <t>Неустойка по решению суда. Нет платежного поручения</t>
  </si>
  <si>
    <t>Соглашение</t>
  </si>
  <si>
    <t>КАЧЕСТВО</t>
  </si>
  <si>
    <t>СОГЛАШЕНИЕ</t>
  </si>
  <si>
    <t>Направление</t>
  </si>
  <si>
    <t>Лично</t>
  </si>
  <si>
    <t>№/Дата</t>
  </si>
  <si>
    <t>Трасология</t>
  </si>
  <si>
    <t>Отказ</t>
  </si>
  <si>
    <t>направило Заявителю письмо №</t>
  </si>
  <si>
    <t>Отказ (Немотивированный)</t>
  </si>
  <si>
    <t>должно осуществить в случае признания случая страховым</t>
  </si>
  <si>
    <t>Application1</t>
  </si>
  <si>
    <t>Application2</t>
  </si>
  <si>
    <t>Application3</t>
  </si>
  <si>
    <t>Application4</t>
  </si>
  <si>
    <t>с претензией</t>
  </si>
  <si>
    <t>о несогласии с размером выплаченного</t>
  </si>
  <si>
    <t>в выплате</t>
  </si>
  <si>
    <t>страхового возмещения</t>
  </si>
  <si>
    <t>, содержащей требование о</t>
  </si>
  <si>
    <t>выплате</t>
  </si>
  <si>
    <t>доплате</t>
  </si>
  <si>
    <t>НТЭ Заявителя</t>
  </si>
  <si>
    <t>В обоснование своих требований Заявитель предоставил экспертное заключение</t>
  </si>
  <si>
    <t>, в соответствии с которым стоимость восстановительного ремонта Транспортного средства</t>
  </si>
  <si>
    <t>Есть Решение ФУ по тому же спору между теми же сторонами</t>
  </si>
  <si>
    <t>Выплатили по НТЭ Заявителя. Просит также стоимость НТЭ, представителя, нотариуса</t>
  </si>
  <si>
    <t>РЕШЕНИЕ ФУ</t>
  </si>
  <si>
    <t>ДОБР ИСП</t>
  </si>
  <si>
    <t>Пришла. Отказ по трасе. Трасса + комплекс</t>
  </si>
  <si>
    <t>Взять шаблон у Наташи Вычугжаниной. Цессия. Есть уведомление о расторжении, подписанное Заявителем, но нет соглашения о расторжении. Направили на ремонт, СТОА отказалась на основании того, что не успевает в срок. Выплатили цессионарию деньгами. Просил 28000 (Ущерб) + 10000 (НТЭ) + 8960 (Неустойка). Выплатили 38200</t>
  </si>
  <si>
    <t>Хочет неустойку. Зеленая карта. Направление на ремонт</t>
  </si>
  <si>
    <t>ННР в СРОК</t>
  </si>
  <si>
    <t>ВОЗВРАТ ПРЕМИИ</t>
  </si>
  <si>
    <t>Продал ТС 25.06.2019, Обратился с заявлением о расторжении договора 27.06.2019. В акте приема-передачи ТС отсутствует дата, в силу чего невозможно установить момент перехода права собственности, который имеет значение для рассмотрения настоящего дела. Также не приложены правила страхования, действующие на момент заключения договора КАСКО.</t>
  </si>
  <si>
    <t>ЦЕССИЯ</t>
  </si>
  <si>
    <t>Продление сроков</t>
  </si>
  <si>
    <t>Предоставление на осмотр</t>
  </si>
  <si>
    <t>Запрос документов</t>
  </si>
  <si>
    <t>Неустойка по суду</t>
  </si>
  <si>
    <t>Нет документов от ФО. Прекращение за отсутствием документов. Отказ в выплате</t>
  </si>
  <si>
    <t>Отказ, т.к. просит по 395 ГК РФ</t>
  </si>
  <si>
    <t>Сведений о выплате или ответе нет</t>
  </si>
  <si>
    <t>Сведений об осуществлении выплаты страхового возмещения или направления Заявителю мотивированного отказа на</t>
  </si>
  <si>
    <t>заявление</t>
  </si>
  <si>
    <t>претензию</t>
  </si>
  <si>
    <t>заявление (претензию)</t>
  </si>
  <si>
    <t>Заявителя от</t>
  </si>
  <si>
    <t>не предоставлено</t>
  </si>
  <si>
    <t>с заявлением (претензией)</t>
  </si>
  <si>
    <t>с заявлением</t>
  </si>
  <si>
    <t>с заявлением о смене формы страхового возмещения с натуральной на денежную</t>
  </si>
  <si>
    <t>о несогласии с отказом</t>
  </si>
  <si>
    <t>У-19-32516</t>
  </si>
  <si>
    <t>Валова Марина Валерьевна</t>
  </si>
  <si>
    <t>СОВПАДЕНИЕ</t>
  </si>
  <si>
    <t>Юлькино. Совпадение должника и кредитора в одном лице (передал управление на основании устной доверенности) Совпадения не установлено</t>
  </si>
  <si>
    <t>СУД 2</t>
  </si>
  <si>
    <t>СУД 1</t>
  </si>
  <si>
    <t>УЩЕРБ</t>
  </si>
  <si>
    <t>333 ГК РФ</t>
  </si>
  <si>
    <t>Очное рассмотрение</t>
  </si>
  <si>
    <t>МУЖ</t>
  </si>
  <si>
    <t>ЖЕН</t>
  </si>
  <si>
    <t>109028, г. Москва, наб. Серебряническая, д. 29, эт. 5, к. 97-139; 153-164</t>
  </si>
  <si>
    <t>Елисеева Татьяна Павловна</t>
  </si>
  <si>
    <t>У-19-42282</t>
  </si>
  <si>
    <t>СМЕНА ФОРМЫ</t>
  </si>
  <si>
    <t>Юлькино. Направление на ремонт направили в срок</t>
  </si>
  <si>
    <t>У-19-34548</t>
  </si>
  <si>
    <t>https://smp.sfurf.office/sd/operator/index.jsp;jsessionid=4B56FDB405CD332F2E4AE6AEC0BFEE05#uuid:serviceCall$36551310</t>
  </si>
  <si>
    <t>Лошкарев Владислав Владимирович</t>
  </si>
  <si>
    <t>https://smp.sfurf.office/sd/operator/index.jsp;jsessionid=4B56FDB405CD332F2E4AE6AEC0BFEE05#uuid:serviceCall$45322451</t>
  </si>
  <si>
    <t>У-19-42131</t>
  </si>
  <si>
    <t>У-19-42132</t>
  </si>
  <si>
    <t>У-19-42151</t>
  </si>
  <si>
    <t>Николашина Юлия Анатольевна</t>
  </si>
  <si>
    <t>Схашок Артём Адамович</t>
  </si>
  <si>
    <t>АО «ОСК»</t>
  </si>
  <si>
    <t>Сопов Александр Владимирович</t>
  </si>
  <si>
    <t>https://smp.sfurf.office/sd/operator/index.jsp;jsessionid=4B56FDB405CD332F2E4AE6AEC0BFEE05#uuid:serviceCall$45118387</t>
  </si>
  <si>
    <t>https://smp.sfurf.office/sd/operator/index.jsp;jsessionid=4B56FDB405CD332F2E4AE6AEC0BFEE05#uuid:serviceCall$45118388</t>
  </si>
  <si>
    <t>https://smp.sfurf.office/sd/operator/index.jsp;jsessionid=4B56FDB405CD332F2E4AE6AEC0BFEE05#uuid:serviceCall$45220011</t>
  </si>
  <si>
    <t>У-19-42961</t>
  </si>
  <si>
    <t>У-19-42971</t>
  </si>
  <si>
    <t>У-19-42981</t>
  </si>
  <si>
    <t>У-19-42993</t>
  </si>
  <si>
    <t>У-19-43004</t>
  </si>
  <si>
    <t>Харитоненко Алексей Александрович</t>
  </si>
  <si>
    <t>Артемьев Александр Вячеславович</t>
  </si>
  <si>
    <t>Субботина Елена Георгиевна</t>
  </si>
  <si>
    <t>Токаев Максим Александрович</t>
  </si>
  <si>
    <t>Шмидт Владимир Эрвинович</t>
  </si>
  <si>
    <t>https://smp.sfurf.office/sd/operator/index.jsp;jsessionid=4B56FDB405CD332F2E4AE6AEC0BFEE05#uuid:serviceCall$45897527</t>
  </si>
  <si>
    <t>https://smp.sfurf.office/sd/operator/index.jsp;jsessionid=4B56FDB405CD332F2E4AE6AEC0BFEE05#uuid:serviceCall$45897537</t>
  </si>
  <si>
    <t>https://smp.sfurf.office/sd/operator/index.jsp;jsessionid=4B56FDB405CD332F2E4AE6AEC0BFEE05#uuid:serviceCall$45897547</t>
  </si>
  <si>
    <t>https://smp.sfurf.office/sd/operator/index.jsp;jsessionid=4B56FDB405CD332F2E4AE6AEC0BFEE05#uuid:serviceCall$45897559</t>
  </si>
  <si>
    <t>https://smp.sfurf.office/sd/operator/index.jsp;jsessionid=4B56FDB405CD332F2E4AE6AEC0BFEE05#uuid:serviceCall$45897570</t>
  </si>
  <si>
    <t>443099, Самарская обл., Самара, ул. Молодогвардейская, д. 94</t>
  </si>
  <si>
    <t>Пришла. Комплекс</t>
  </si>
  <si>
    <t>ВИНА</t>
  </si>
  <si>
    <t>ЗДОРОВЬЕ, ТОТАЛ</t>
  </si>
  <si>
    <t>Пришла. 4 участника. Вина не установлена. Отказ в акцепте (ФО направила запрос в ФО одного из участников). Возможно взыскивать 3/4 доли</t>
  </si>
  <si>
    <t>об уменьшении неустойки на основании пункта 1 статьи 333 ГК РФ удовлетворению не подлежит, в силу того, что согласно положениям указанной статьи, вопрос о снижении неустойки находится в исключительной компетенции суда.</t>
  </si>
  <si>
    <t>НТЭ ЗАЯВИТЕЛЯ</t>
  </si>
  <si>
    <t>ClaimForApp</t>
  </si>
  <si>
    <t>страхового возмещения по договору КАСКО в размере</t>
  </si>
  <si>
    <t>страхового возмещения по договору КАСКО в части УТС в размере</t>
  </si>
  <si>
    <t>неустойки за несоблюдение срока выплаты страхового возмещения по договору ОСАГО в размере</t>
  </si>
  <si>
    <t>неустойки за несоблюдение срока выплаты страхового возмещения по договору КАСКО в размере</t>
  </si>
  <si>
    <t>неустойки за несоблюдение срока выплаты страхового возмещения по договору ОСАГО в части УТС в размере</t>
  </si>
  <si>
    <t>в ответ на</t>
  </si>
  <si>
    <t>Срок ответа на заявление (претензию) по 123-ФЗ</t>
  </si>
  <si>
    <t>должно рассмотреть заявление (претензию) и направить Заявителю ответ не позднее</t>
  </si>
  <si>
    <t>Ходатайства ФО</t>
  </si>
  <si>
    <t>СУД П1</t>
  </si>
  <si>
    <t>Не согласившись с отказом в выплате страхового возмещения, Заявитель обратился в суд с исковыми требованиями к</t>
  </si>
  <si>
    <t>о взыскании</t>
  </si>
  <si>
    <t>СУД П2 (1я инстанция)</t>
  </si>
  <si>
    <t>по делу</t>
  </si>
  <si>
    <t>вынесено решение</t>
  </si>
  <si>
    <t>об отказе в удовлетворении исковых требований Заявителя.</t>
  </si>
  <si>
    <t>в пользу Заявителя взыскано</t>
  </si>
  <si>
    <t>СУД П3 (2я инстанция)</t>
  </si>
  <si>
    <t>решение от</t>
  </si>
  <si>
    <t>, вынесенное по делу</t>
  </si>
  <si>
    <t>оставлено без изменения</t>
  </si>
  <si>
    <t>изменено в части взыскания</t>
  </si>
  <si>
    <t>неустойки</t>
  </si>
  <si>
    <t>Исполнение решения суда</t>
  </si>
  <si>
    <t>указанное решение суда было исполнено в полном объеме, что подтверждается платежным поручением от</t>
  </si>
  <si>
    <t>Переход к мотивировке</t>
  </si>
  <si>
    <t>Рассмотрев предоставленные Заявителем и</t>
  </si>
  <si>
    <t>документы, Финансовый уполномоченный считает, что</t>
  </si>
  <si>
    <t>(эксперт</t>
  </si>
  <si>
    <t>(эксперт-техник</t>
  </si>
  <si>
    <t>), предметом которой являлось исследование стоимости восстановительного ремонта Транспортного средства Заявителя. На разрешение специалисту поставлены следующие вопросы:</t>
  </si>
  <si>
    <t>Согласно экспертному заключению</t>
  </si>
  <si>
    <t>Мотивировка</t>
  </si>
  <si>
    <t>стоимость восстановительного ремонта Транспортного средства</t>
  </si>
  <si>
    <t>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В пункте 3 статьи 12.1 Закона № 40-ФЗ указано, что независимая техническая экспертиза проводится с использованием «Единой Методики определения размера расходов на восстановительный ремонт в отношении поврежденного транспортного средства», утвержденной Банком России от 19.09.2014 № 432 П (далее – Положение № 432-П). 
Согласно пункту 39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по договору ОСАГО размер страхового возмещения, подлежащего выплате потерпевшему в результате повреждения транспортного средства, по страховым случаям, наступившим начиная с 17.10.2014, определяется только в соответствии с Положением № 432-П.
Расходы, необходимые для восстановительного ремонта и оплаты работ, связанных с таким ремонтом, не предусмотренные Положением № 432-П, не включаются в размер страхового возмещения.</t>
  </si>
  <si>
    <t>Резолютивная часть</t>
  </si>
  <si>
    <t>о взыскании с</t>
  </si>
  <si>
    <t>удовлетворить</t>
  </si>
  <si>
    <t>частично</t>
  </si>
  <si>
    <t>Взыскать с</t>
  </si>
  <si>
    <t>в пользу</t>
  </si>
  <si>
    <t>в размере</t>
  </si>
  <si>
    <t>рублей</t>
  </si>
  <si>
    <t>копеек</t>
  </si>
  <si>
    <t>(</t>
  </si>
  <si>
    <t>)</t>
  </si>
  <si>
    <t>Взыскать</t>
  </si>
  <si>
    <t>отказать</t>
  </si>
  <si>
    <t>прекратить рассмотрение Обращения</t>
  </si>
  <si>
    <t>на основании пункта 2 части 1 статьи 27 Закона № 123-ФЗ</t>
  </si>
  <si>
    <t>на основании пункта 1 части 1 статьи 27 Закона № 123-ФЗ</t>
  </si>
  <si>
    <t>Решение вступает в силу по истечении десяти рабочих дней после даты его подписания</t>
  </si>
  <si>
    <t>Решение подлежит исполнению</t>
  </si>
  <si>
    <t>в течение 10 рабочих дней после дня вступления в силу</t>
  </si>
  <si>
    <t>В случае несогласия с решением Финансового уполномоченного в соответствии с частью 1 статьи 26 Закона № 123-ФЗ</t>
  </si>
  <si>
    <t>В соответствии с частью 2 статьи 26 Закона № 123-ФЗ финансовая организация при обращении в суд вправе направить финансовому уполномоченному ходатайство о приостановлении исполнения его решения. При получении ходатайства финансовый уполномоченный выносит решение о приостановлении исполнения решения, которое оспаривается финансовой организацией, до вынесения решения судом</t>
  </si>
  <si>
    <t>вправе в течение десяти рабочих дней после дня вступления в силу решения Финансового уполномоченного обратиться в суд в порядке, установленном законодательством Российской Федерации. В случае обращения финансовой организации в суд копия заявления подлежит направлению финансовому уполномоченному, рассматривавшему дело, и потребителю финансовых услуг, в отношении обращения которого принято решение Финансового уполномоченного, в течение одного дня со дня подачи указанного заявления</t>
  </si>
  <si>
    <t>Переход к резолютивке</t>
  </si>
  <si>
    <t>Руководствуясь статьей 22 Закона № 123-ФЗ, Финансовый уполномоченный</t>
  </si>
  <si>
    <t>Руководствуясь пунктом 1 части 1 статьи 27 Закона № 123-ФЗ, Финансовый уполномоченный</t>
  </si>
  <si>
    <t>Руководствуясь пунктом 2 части 1 статьи 27 Закона № 123-ФЗ, Финансовый уполномоченный</t>
  </si>
  <si>
    <t>Application5</t>
  </si>
  <si>
    <t>Application6</t>
  </si>
  <si>
    <t>Motivation</t>
  </si>
  <si>
    <t>Resulative</t>
  </si>
  <si>
    <t>в удовлетворении требований</t>
  </si>
  <si>
    <t>требования</t>
  </si>
  <si>
    <t>, содержащим требование о</t>
  </si>
  <si>
    <t>требования Заявителя подлежат удовлетворению в связи со следующим</t>
  </si>
  <si>
    <t>требования Заявителя подлежат частичному удовлетворению в связи со следующим</t>
  </si>
  <si>
    <t>требования Заявителя не подлежат удовлетворению в связи со следующим</t>
  </si>
  <si>
    <t>рассмотрение по Обращению Заявителя подлежит прекращению в связи со следующим</t>
  </si>
  <si>
    <t>(паспорт серия</t>
  </si>
  <si>
    <t>заключен договор ОСАГО серия</t>
  </si>
  <si>
    <t>в рамках договора ОСАГО серия</t>
  </si>
  <si>
    <t>(документ, удостоверяющий личность, не предоставлен</t>
  </si>
  <si>
    <t>В случае несогласия с вступившим в силу решением Финансового уполномоченного Заявитель в соответствии с частью 3 статьи 25 Закона № 123-ФЗ вправе в течение тридцати дней после дня вступления в силу указанного решения обратиться в суд и заявить требования к финансовой организации по предмету, содержащемуся в обращении, в порядке, установленном законодательством Российской Федерации. Копия обращения в суд подлежит направлению Финансовому уполномоченному</t>
  </si>
  <si>
    <t>Для решения вопросов, связанных с рассмотрением Обращения, Финансовым уполномоченным назначено проведение независимой транспортно-трасологической экспертизы поврежденного Транспортного средства в</t>
  </si>
  <si>
    <t>), предметом которой являлось исследование следов на транспортном средстве и месте дорожно-транспортного происшествия (транспортно-трасологическая диагностика). Вопросы, подлежащие разрешению экспертом в рамках проводимого им исследования:</t>
  </si>
  <si>
    <t>Согласно выводам экспертного заключения</t>
  </si>
  <si>
    <t>СМЕНА ФОРМЫ (НРР ВЫДАЛИ В СРОК)</t>
  </si>
  <si>
    <t>Пунктом 15.1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(за исключением случаев, установленных пунктом 16.1 Закона № 40-ФЗ) в соответствии с пунктом 15.2 Закона № 40-ФЗ или в соответствии с пунктом 15.3 Закона № 40-ФЗ путем организации и (или) оплаты восстановительного ремонта поврежденного транспортного средства потерпевшего (возмещение причиненного вреда в натуре).
Страховщик после осмотра поврежденного транспортного средства потерпевшего и (или) проведения его независимой технической экспертизы выдает потерпевшему направление на ремонт на станцию технического обслуживания и осуществляет оплату стоимости проводимого такой станцией восстановительного ремонта поврежденного транспортного средства потерпевшего в размере, определенном в соответствии с единой методикой определения размера расходов на восстановительный ремонт в отношении поврежденного транспортного средства, с учетом положений абзаца второго пункта 19 Закона № 40-ФЗ.
При проведении восстановительного ремонта в соответствии с пунктами 15.2 и 15.3 Закона № 40-ФЗ не допускается использование бывших в употреблении или восстановленных комплектующих изделий (деталей, узлов, агрегатов), если в соответствии с единой методикой определения размера расходов на восстановительный ремонт в отношении поврежденного транспортного средства требуется замена комплектующих изделий (деталей, узлов, агрегатов). Иное может быть определено соглашением страховщика и потерпевшего.
В соответствии с разъяснениями, содержащимися в пункте 53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 58), обращение к страховщику с заявлением о страховом возмещении в виде организации и оплаты восстановительного ремонта поврежденного транспортного средства на станции технического обслуживания является реализацией права потерпевшего на выбор способа возмещения вреда. До установления факта нарушения его прав станцией технического обслуживания потерпевший не вправе изменить способ возмещения причиненного вреда. 
В пункте 66 Постановления Пленума ВС РФ № 58 указано, что страховое возмещение вреда, причиненного повреждением легкового автомобиля, находящегося в собственности гражданина и зарегистрированного в Российской Федерации, в том числе индивидуального предпринимателя, осуществляется путем выдачи суммы страховой выплаты в случаях, предусмотренных пунктом 16.1 статьи 12 Закона № 40-ФЗ, а также в случаях, когда восстановительный ремонт поврежденного транспортного средства по той или иной причине невозможен.</t>
  </si>
  <si>
    <t>Из предоставленных Заявителем и</t>
  </si>
  <si>
    <t>документов следует, что в выплате страхового возмещения путем организации и оплаты восстановительного ремонта Транспортного средства на СТОА Заявителю</t>
  </si>
  <si>
    <t>отказано не было, обязательство по организации восстановительного ремонта Транспортного средства</t>
  </si>
  <si>
    <t>исполнено путем выдачи Заявителю направления на СТОА.</t>
  </si>
  <si>
    <t>Документов, подтверждающих обращение Заявителя на СТОА, а также отказ СТОА в проведении восстановительного ремонта поврежденного Транспортного средства, Заявителем не предоставлено.</t>
  </si>
  <si>
    <t>Таким образом, поскольку Заявитель не вправе по своему усмотрению изменять форму страхового возмещения, а оснований, предоставляющих Заявителю право на получение страхового возмещения вреда в денежной форме, не установлено, требования Заявителя о выплате страхового возмещения по Договору ОСАГО в денежной форме удовлетворению не подлежат.</t>
  </si>
  <si>
    <t>165.1 ГК РФ</t>
  </si>
  <si>
    <t>В силу части 1 статьи 165.1. ГК РФ заявления, уведомления, извещения, требования или иные юридически значимые сообщения, с которыми закон или сделка связывает гражданско-правовые последствия для другого лица, влекут для этого лица такие последствия с момента доставки соответствующего сообщения ему или его представителю. Сообщение считается доставленным и в тех случаях, если оно поступило лицу, которому оно направлено (адресату), но по обстоятельствам, зависящим от него, не было ему вручено или адресат не ознакомился с ним.
В соответствии с пунктом 63 Постановления Пленума Верховного Суда Российской Федерации от 23.06.2015 № 25 юридически значимое сообщение, адресованное гражданину, должно быть направлено по адресу его регистрации по месту жительства или пребывания, либо по адресу, который гражданин указал сам, либо его представителю.</t>
  </si>
  <si>
    <t>Доводы Заявителя о неполучении им ответа на заявление о выплате страхового возмещения, не принимаются Финансовым уполномоченным, так как опровергаются представленным</t>
  </si>
  <si>
    <t>почтовым отправлением о выдаче направления на ремонт, направленного по адресу, указанному Заявителем в заявлении о выплате страхового возмещения.</t>
  </si>
  <si>
    <t>С учетом сведений официального сайта ФГУП «Почта России» в информационно-телекоммуникационной сети «Интернет» (www.pochta.ru) о том, что почтовое отправление Заявителем не получено и возвращено отправителю, направление считается доставленным Заявителю.</t>
  </si>
  <si>
    <t>Отказ в акцепте</t>
  </si>
  <si>
    <t>НЕАКЦЕПТ</t>
  </si>
  <si>
    <t>- каковы перечень и характер повреждений транспортного средства потерпевшего;
- какие повреждения получило ТС потерпевшего при обстоятельствах, указанных в заявлении о страховом случае, документах, оформленных компетентными органами, и в иных документах, содержащих информацию относительно указанных обстоятельств;
- какие методы и технологии восстановительного ремонта применимы к повреждениям транспортного средства потерпевшего, относящимся к рассматриваемому ДТП;
- каков размер расходов на восстановительный ремонт в отношении повреждений транспортного средства потерпевшего, возникших в результате рассматриваемого ДТП;
- какова стоимость транспортного средства потерпевшего до повреждения на дату ДТП и стоимость годных остатков в случае полной (конструктивной) гибели транспортного средства</t>
  </si>
  <si>
    <t>Пришла. Трасса, Комплексная, Рыночная, годники, Осмотр. Выплатили больше, чем по НТЭ ФУ</t>
  </si>
  <si>
    <t>, год выпуска</t>
  </si>
  <si>
    <t>Заявитель обратилась в</t>
  </si>
  <si>
    <t>Рабочие страницы</t>
  </si>
  <si>
    <t>Рубли прописью</t>
  </si>
  <si>
    <t>Рубли</t>
  </si>
  <si>
    <t>Копейки</t>
  </si>
  <si>
    <t>ForResulative</t>
  </si>
  <si>
    <t>неустойку за несоблюдение срока выплаты страхового возмещения по договору ОСАГО в размере</t>
  </si>
  <si>
    <t>неустойку за несоблюдение срока выплаты страхового возмещения по договору КАСКО в размере</t>
  </si>
  <si>
    <t>неустойку за несоблюдение срока выплаты страхового возмещения по договору ОСАГО в части УТС в размере</t>
  </si>
  <si>
    <t>неустойку за несоблюдение срока выплаты страхового возмещения по договору КАСКО в части УТС в размере</t>
  </si>
  <si>
    <t>финансовую санкцию за несоблюдение срока направления мотивированного отказа в страховом возмещении в размере</t>
  </si>
  <si>
    <t>расходы на проведение независимой технической экспертизы в размере</t>
  </si>
  <si>
    <t>расходы на проведение независимой экспертизы по определению величины УТС в размере</t>
  </si>
  <si>
    <t>расходы на оказание юридических услуг в размере</t>
  </si>
  <si>
    <t>расходы на составление досудебной претензии в размере</t>
  </si>
  <si>
    <t>расходы на оплату услуг аварийного комиссара в размере</t>
  </si>
  <si>
    <t>расходы на нотариальные услуги в размере</t>
  </si>
  <si>
    <t>почтовые расходы в размере</t>
  </si>
  <si>
    <t>расходы по оплате услуг курьера в размере</t>
  </si>
  <si>
    <t>расходы на дефектовку в размере</t>
  </si>
  <si>
    <t>У-19-35778</t>
  </si>
  <si>
    <t>Ульянова Кристина Семеновна</t>
  </si>
  <si>
    <t>https://smp.sfurf.office/sd/operator/index.jsp;jsessionid=4B56FDB405CD332F2E4AE6AEC0BFEE05#uuid:serviceCall$37588862</t>
  </si>
  <si>
    <t>У-19-43791</t>
  </si>
  <si>
    <t>https://smp.sfurf.office/sd/operator/index.jsp;jsessionid=4B56FDB405CD332F2E4AE6AEC0BFEE05#uuid:serviceCall$46838373</t>
  </si>
  <si>
    <t>Горшков Андрей Николаевич</t>
  </si>
  <si>
    <t>Юлькино. Собственник Юр лицо, вред автомобилю и здоровью</t>
  </si>
  <si>
    <t>Пришла. Комплекс + Трасса</t>
  </si>
  <si>
    <t>НТЭ после 01.06.2019</t>
  </si>
  <si>
    <t>Таким образом, законом установлен претензионный порядок, который не требует проведение независимой экспертизы для подтверждения заявленных требований. Соответственно, расходы Заявителя на проведение независимой экспертизы в размере</t>
  </si>
  <si>
    <t>, не являлись необходимыми для подтверждения обоснованности требований Заявителя в рамках соблюдения досудебного порядка и возмещению не подлежат.</t>
  </si>
  <si>
    <t>Для решения вопросов, связанных с рассмотрением Обращения, Финансовым уполномоченным назначено проведение независимой технической экспертизы повреждённого транспортного средства, проводимой в соответствии с требованиями Закона № 40-ФЗ в</t>
  </si>
  <si>
    <t>НТЭ средняя</t>
  </si>
  <si>
    <t>В части требования Заявителя о взыскании расходов на проведение независимой экспертизы, Финансовым уполномоченным установлено следующее.
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t>
  </si>
  <si>
    <t>Согласно пункту 1 статьи 16.1 Закона № 40-ФЗ в редакции, действовавшей на дату проведения независимой экспертизы по инициативе Заявителя (</t>
  </si>
  <si>
    <t>), при наличии разногласий между потерпевшим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направляет страховщику претензию с документами, приложенными к ней и обосновывающими требование потерпевшего.
В соответствии с абзацем 3 пункта 3.12 Правил ОСАГО стоимость независимой технической экспертизы, независимой экспертизы (оценки), на основании которой осуществлено страховое возмещение, включается в состав убытков, подлежащих возмещению страховщиком по договору обязательного страхования. 
Таким образом, понесенные расходы по проведению независимой экспертизы являлись необходимыми для подтверждения обоснованности требований Заявителя в рамках соблюдения досудебного порядка, указанные расходы входят в состав убытков и подлежат возмещению</t>
  </si>
  <si>
    <t>среднерыночная стоимость услуг за оформление экспертного заключения независимой технической экспертизы по ОСАГО составляет</t>
  </si>
  <si>
    <t>Рубли и копейки</t>
  </si>
  <si>
    <t>Регион НТЭ</t>
  </si>
  <si>
    <t>Пермского края</t>
  </si>
  <si>
    <t>Поскольку стоимость восстановительного ремонта превышает стоимость Транспортного средства на дату ДТП, восстановление Транспортного средства экономически нецелесообразно.
В соответствии с пунктом 18 статьи 12 Закона № 40-ФЗ, в случае полной гибели имущества потерпевшего размер подлежащих возмещению страховщиком убытков при причинении вреда имуществу потерпевшего определяется в размере действительной стоимости имущества на день наступления страхового случая за вычетом стоимости годных остатков. Под полной гибелью понимаются случаи, при которых ремонт поврежденного имущества невозможен либо стоимость ремонта поврежденного имущества равна стоимости имущества на дату наступления страхового случая или превышает указанную стоимость.</t>
  </si>
  <si>
    <t>Таким образом, сумма страхового возмещения при полной гибели Транспортного средства составляет</t>
  </si>
  <si>
    <t>, из расчета стоимости Транспортного средства на дату ДТП за вычетом стоимости годных остатков Транспортного средства (</t>
  </si>
  <si>
    <t>Таким образом, требования Заявителя о взыскании расходов на проведение независимой технической экспертизы подлежат удовлетворению Финансовым уполномоченным в размере</t>
  </si>
  <si>
    <t>о проведении очного рассмотрения обращения, уведомляет об отказе в его удовлетворении.</t>
  </si>
  <si>
    <t>заявлено ходатайство о рассмотрении обращения в очном порядке (далее – Ходатайство).
На основании части 5 статьи 20 Закона № 123-ФЗ Финансовый уполномоченный, рассмотрев ходатайство</t>
  </si>
  <si>
    <t>запрошенные сведения и документы предоставлены.</t>
  </si>
  <si>
    <t>УДВ после НТЭ ФУ</t>
  </si>
  <si>
    <t>НТЭ ФУ КОМПЛЕКС</t>
  </si>
  <si>
    <t>НТЭ ФУ ТРАСА</t>
  </si>
  <si>
    <t>произвело выплату страхового возмещения Заявителю в счет восстановительного ремонта в размере</t>
  </si>
  <si>
    <t>РАЗНИЦА 10%</t>
  </si>
  <si>
    <t>, на</t>
  </si>
  <si>
    <t>ШТРАФ 50%</t>
  </si>
  <si>
    <t>МОРАЛЬНЫЙ ВРЕД</t>
  </si>
  <si>
    <t>НЕУСТОЙКА БЕЗ РАССМОТРЕНИЯ</t>
  </si>
  <si>
    <t>процентов.</t>
  </si>
  <si>
    <t>ИСПОЛНЕНИЕ</t>
  </si>
  <si>
    <t>СУММА</t>
  </si>
  <si>
    <t>Прекращение. Нет сведений от ФО. Прекращение, если до 16.00 от ФО нет документов. ФО направило документы 22.10.2019</t>
  </si>
  <si>
    <t>Давлетшина Фания Кашиповна</t>
  </si>
  <si>
    <t>Выплачено ФО добровольно</t>
  </si>
  <si>
    <t>Подлежит взысканию ФУ</t>
  </si>
  <si>
    <t>ИМЕЕТ ПРАВО НА</t>
  </si>
  <si>
    <t>115184, г. Москва, ул. Малая Ордынка, д. 50</t>
  </si>
  <si>
    <t>В.В. Климов</t>
  </si>
  <si>
    <t>С.В. Никитина</t>
  </si>
  <si>
    <t>Е.Л. Писаревский</t>
  </si>
  <si>
    <t>У-19-43304</t>
  </si>
  <si>
    <t>У-19-43825</t>
  </si>
  <si>
    <t>У-19-43844</t>
  </si>
  <si>
    <t>У-19-43845</t>
  </si>
  <si>
    <t>У-19-43852</t>
  </si>
  <si>
    <t>У-19-43857</t>
  </si>
  <si>
    <t>Тетерин Артем Иванович</t>
  </si>
  <si>
    <t>Малиновский Александр Юрьевич</t>
  </si>
  <si>
    <t>Саяпин Александр Евгеньевич</t>
  </si>
  <si>
    <t>ООО СК «Паритет-СК»</t>
  </si>
  <si>
    <t>Глечян Ренард Владимирович</t>
  </si>
  <si>
    <t>Ермолин Александр Николаевич</t>
  </si>
  <si>
    <t>Шутылева Оксана Валерьевна</t>
  </si>
  <si>
    <t>У-19-44588</t>
  </si>
  <si>
    <t>У-19-44813</t>
  </si>
  <si>
    <t>У-19-44845</t>
  </si>
  <si>
    <t>У-19-44853</t>
  </si>
  <si>
    <t>У-19-44887</t>
  </si>
  <si>
    <t>У-19-44891</t>
  </si>
  <si>
    <t>У-19-44895</t>
  </si>
  <si>
    <t>У-19-44902</t>
  </si>
  <si>
    <t>У-19-45273</t>
  </si>
  <si>
    <t>У-19-47112</t>
  </si>
  <si>
    <t>У-19-47129</t>
  </si>
  <si>
    <t>У-19-47166</t>
  </si>
  <si>
    <t>У-19-47206</t>
  </si>
  <si>
    <t>У-19-47209</t>
  </si>
  <si>
    <t>У-19-46325</t>
  </si>
  <si>
    <t>У-19-46327</t>
  </si>
  <si>
    <t>У-19-46330</t>
  </si>
  <si>
    <t>У-19-46333</t>
  </si>
  <si>
    <t>У-19-46339</t>
  </si>
  <si>
    <t>У-19-47502</t>
  </si>
  <si>
    <t>У-19-47513</t>
  </si>
  <si>
    <t>У-19-47518</t>
  </si>
  <si>
    <t>У-19-47521</t>
  </si>
  <si>
    <t>У-19-47531</t>
  </si>
  <si>
    <t>У-19-48948</t>
  </si>
  <si>
    <t>У-19-48957</t>
  </si>
  <si>
    <t>У-19-49082</t>
  </si>
  <si>
    <t>https://smp.sfurf.office/sd/operator/#uuid:serviceCall$46227164</t>
  </si>
  <si>
    <t>https://smp.sfurf.office/sd/operator/#uuid:serviceCall$46944908</t>
  </si>
  <si>
    <t>https://smp.sfurf.office/sd/operator/#uuid:serviceCall$46944927</t>
  </si>
  <si>
    <t>https://smp.sfurf.office/sd/operator/#uuid:serviceCall$46944928</t>
  </si>
  <si>
    <t>https://smp.sfurf.office/sd/operator/#uuid:serviceCall$46944935</t>
  </si>
  <si>
    <t>https://smp.sfurf.office/sd/operator/#uuid:serviceCall$46944943</t>
  </si>
  <si>
    <t>ЖИЗНЬ</t>
  </si>
  <si>
    <t>ДОБРОВОЛЬНОЕ ИСПОЛНЕНИЕ</t>
  </si>
  <si>
    <t>Согласно части 2 статьи 22 Закона № 123-ФЗ по результатам рассмотрения обращения финансовый уполномоченный принимает решение о его полном или частичном удовлетворении, или об отказе в его удовлетворении.</t>
  </si>
  <si>
    <t>В ответ на Запрос</t>
  </si>
  <si>
    <t>предоставлены платежные поручения</t>
  </si>
  <si>
    <t xml:space="preserve"> №_______ от ________ и №_______ от _______, подтверждающие выплату страхового возмещения в пользу Заявителя в совокупном размере</t>
  </si>
  <si>
    <t>+</t>
  </si>
  <si>
    <t>Таким образом,</t>
  </si>
  <si>
    <t>, осуществив страховую выплату в размере</t>
  </si>
  <si>
    <t>обязательства.</t>
  </si>
  <si>
    <t>ЮРИДИЧЕСКИЕ УСЛУГИ</t>
  </si>
  <si>
    <t>ПОЧТОВЫЕ РАСХОДЫ</t>
  </si>
  <si>
    <t>Требования Заявителя о возмещении расходов по оплате почтовых услуг в общей сумме</t>
  </si>
  <si>
    <t>удовлетворению не подлежат, поскольку обязанность по возмещению страховщиком расходов на оплату услуг связи не предусмотрена Законом № 40-ФЗ.</t>
  </si>
  <si>
    <t>Требование Заявителя о возмещении расходов на оказание юридических услуг удовлетворению не подлежит по следующим основаниям.
С 01.06.2019 обязательный претензионный порядок урегулирования разногласий между потребителем и страховой организацией, установленный статьей 16.1 Закона № 40-ФЗ, предусматривает, что потерпевший должен направить страховщику письменное заявление в порядке, установленном Законом № 123-ФЗ.
Статьей 16 Закона № 123-ФЗ установлено, что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Таким образом, законом установлен простой претензионный порядок, не требующий от потребителя специальных познаний в юридической сфере. Соответственно, расходы Заявителя по оплате юридических услуг, связанных с составлением заявления в финансовую организацию, не являются необходимыми и возмещению не подлежат.</t>
  </si>
  <si>
    <t>, исполнило свое обязательство по Договору ОСАГО в надлежащем размере, в связи с чем, требования Заявителя о взыскании страхового возмещения по договору ОСАГО удовлетворению не подлежат в связи с добровольным исполнением</t>
  </si>
  <si>
    <t>ФО Выплатила возмещение по НТЭ Заявителя и экспертизу в полном объеме</t>
  </si>
  <si>
    <t>Учитывая, что Соглашение, подписанное Заявителем, исполнено</t>
  </si>
  <si>
    <t>в полном объеме, требование Заявителя о взыскании страхового возмещения удовлетворению не подлежит.</t>
  </si>
  <si>
    <t>649002, Республика Алтай, г. Горно-Алтайск, пр-кт Коммунистический, д. 9, оф. 1</t>
  </si>
  <si>
    <t>Подписано соглашение о признании случая не страховым, в связи с тем, что повреждения не соответствуют ДТП</t>
  </si>
  <si>
    <t>117152, г. Москва, ш. Загородное, д. 6, к. 5</t>
  </si>
  <si>
    <t>Нет документов от ФО</t>
  </si>
  <si>
    <t>НЕТ ДОКУМЕНТОВ</t>
  </si>
  <si>
    <t>ВИНА 50%</t>
  </si>
  <si>
    <t>Учитывая вышеизложенное, требование Заявителя о взыскании страхового возмещения удовлетворению не подлежит.</t>
  </si>
  <si>
    <t>ПРЕКРАЩЕНИЕ НЕТ ДОКУМЕНТОВ</t>
  </si>
  <si>
    <t xml:space="preserve">Сашкино Вдовенко. Вина не установлена. По НТЭ ФО больше, чем по НТЭ Заявителя. Две НТЭ по инициативе ФО. Не установлена вина 50%, разница 10%, отложенная финансовая санкция, отложенная неустойка, каскадная неустойка, направление заявления (претензии) по электронной форме, </t>
  </si>
  <si>
    <t>Направление НТЭ ФУ</t>
  </si>
  <si>
    <t>Направляю в Ваш адрес экспертное заключение</t>
  </si>
  <si>
    <t>1 файл</t>
  </si>
  <si>
    <t>2 файла</t>
  </si>
  <si>
    <t>экспертное заключение</t>
  </si>
  <si>
    <t>Киракосян Лусик Пашиковна</t>
  </si>
  <si>
    <t>https://smp.sfurf.office/sd/operator/#uuid:serviceCall$47872702</t>
  </si>
  <si>
    <t>NTE_FU_1</t>
  </si>
  <si>
    <t>NTE_FU_2</t>
  </si>
  <si>
    <t>Тувик Александр Маркович</t>
  </si>
  <si>
    <t>https://smp.sfurf.office/sd/operator/#uuid:serviceCall$48067363</t>
  </si>
  <si>
    <t>Гаврилин Геннадий Николаевич</t>
  </si>
  <si>
    <t>https://smp.sfurf.office/sd/operator/index.jsp;jsessionid=4B56FDB405CD332F2E4AE6AEC0BFEE05#uuid:serviceCall$48158218</t>
  </si>
  <si>
    <t>Асатрян Анаит Грачиковна</t>
  </si>
  <si>
    <t>https://smp.sfurf.office/sd/operator/index.jsp;jsessionid=4B56FDB405CD332F2E4AE6AEC0BFEE05#uuid:serviceCall$48158229</t>
  </si>
  <si>
    <t>Предоставленные</t>
  </si>
  <si>
    <t>также не позволяют сделать однозначный вывод о степени виновности участников в данном ДТП.</t>
  </si>
  <si>
    <t>Учитывая вышеизложенное, размер страхового возмещения, причитающийся к выплате Заявителю составляет</t>
  </si>
  <si>
    <t>, выплатив Заявителю страховое возмещение в размере</t>
  </si>
  <si>
    <t>, исполнило свои обязательства по Договору ОСАГО в надлежащем размере.</t>
  </si>
  <si>
    <t>Поскольку</t>
  </si>
  <si>
    <t>произвело Заявителю выплату страхового возмещения в размере, определенном абзацем четвертым пункта 22 статьи 12 Закона № 40-ФЗ в срок, установленный пунктом 21 статьи 12 Закона № 40-ФЗ, а определение степени вины участников ДТП находится в компетенции суда, оснований для взыскания с</t>
  </si>
  <si>
    <t>доплаты страхового возмещения в указанном Заявителем размере не имеется.</t>
  </si>
  <si>
    <t>Вина 50%</t>
  </si>
  <si>
    <t>, ненадлежащим образом исполнило свои обязательства по Договору ОСАГО в части выплаты страхового возмещения в полном объеме.</t>
  </si>
  <si>
    <t>Учитывая вышеизложенное, требование Заявителя о взыскании страхового возмещения</t>
  </si>
  <si>
    <t xml:space="preserve"> подлежит частичному удовлетворению в размере</t>
  </si>
  <si>
    <t>13 400 рублей 00 копеек (29 200 рублей 00 копеек – 15 800 рублей 00 копеек).</t>
  </si>
  <si>
    <t xml:space="preserve"> подлежит удовлетворению в размере</t>
  </si>
  <si>
    <t>Разница</t>
  </si>
  <si>
    <t>https://smp.sfurf.office/sd/operator/index.jsp;jsessionid=4B56FDB405CD332F2E4AE6AEC0BFEE05#uuid:serviceCall$34005752</t>
  </si>
  <si>
    <t>Сашкино. Пришла. Комплексная</t>
  </si>
  <si>
    <t>Сашкино. НТЭ есть. комплексная</t>
  </si>
  <si>
    <t>Сашкино. После НТЭ ФУ. Экспертиза не пришла, продлили срок</t>
  </si>
  <si>
    <t>Шварёв Александр Николаевич</t>
  </si>
  <si>
    <t>Страхование имущества</t>
  </si>
  <si>
    <t>Тигиев Алан Зелимханович</t>
  </si>
  <si>
    <t>Ионин Алексей Владимирович</t>
  </si>
  <si>
    <t>Цапков Игорь Александрович</t>
  </si>
  <si>
    <t>Бойко Владимир Сергеевич</t>
  </si>
  <si>
    <t>Вершинин Владимир Александрович</t>
  </si>
  <si>
    <t>Воробьева Елена Петровна</t>
  </si>
  <si>
    <t>ООО «Страховое общество «Сургутнефтегаз»</t>
  </si>
  <si>
    <t>Шубникова Татьяна Михайловна</t>
  </si>
  <si>
    <t>Найбауэр Альберт Евгеньевич</t>
  </si>
  <si>
    <t>Календжян Артур Варткезович</t>
  </si>
  <si>
    <t>Изместьев Андрей Кириллович</t>
  </si>
  <si>
    <t>Быков Юрий Алексеевич</t>
  </si>
  <si>
    <t>Мубинов Гавиз Харисович</t>
  </si>
  <si>
    <t>Бухаров Андрей Геннадьевич</t>
  </si>
  <si>
    <t>Гасанов Расул Гасанович</t>
  </si>
  <si>
    <t>Букреев Денис Андреевич</t>
  </si>
  <si>
    <t>Потапов Олег Николаевич</t>
  </si>
  <si>
    <t>Трутнева Лидия Владимировна</t>
  </si>
  <si>
    <t>Ибрагимов Тимур Мустафаевич</t>
  </si>
  <si>
    <t>Морозов Андрей Викторович</t>
  </si>
  <si>
    <t>https://smp.sfurf.office/sd/operator/#uuid:serviceCall$48158270</t>
  </si>
  <si>
    <t>https://smp.sfurf.office/sd/operator/#uuid:serviceCall$48158274</t>
  </si>
  <si>
    <t>https://smp.sfurf.office/sd/operator/#uuid:serviceCall$48158278</t>
  </si>
  <si>
    <t>https://smp.sfurf.office/sd/operator/#uuid:serviceCall$48158285</t>
  </si>
  <si>
    <t>https://smp.sfurf.office/sd/operator/#uuid:serviceCall$48634810</t>
  </si>
  <si>
    <t>https://smp.sfurf.office/sd/operator/#uuid:serviceCall$50793155</t>
  </si>
  <si>
    <t>https://smp.sfurf.office/sd/operator/#uuid:serviceCall$50793172</t>
  </si>
  <si>
    <t>Васильев Юрий Александрович</t>
  </si>
  <si>
    <t>https://smp.sfurf.office/sd/operator/#uuid:serviceCall$50929009</t>
  </si>
  <si>
    <t>https://smp.sfurf.office/sd/operator/#uuid:serviceCall$51086616</t>
  </si>
  <si>
    <t>https://smp.sfurf.office/sd/operator/#uuid:serviceCall$51086621</t>
  </si>
  <si>
    <t>https://smp.sfurf.office/sd/operator/#uuid:serviceCall$49960798</t>
  </si>
  <si>
    <t>https://smp.sfurf.office/sd/operator/#uuid:serviceCall$49960800</t>
  </si>
  <si>
    <t>https://smp.sfurf.office/sd/operator/#uuid:serviceCall$50160803</t>
  </si>
  <si>
    <t>https://smp.sfurf.office/sd/operator/#uuid:serviceCall$50160806</t>
  </si>
  <si>
    <t>https://smp.sfurf.office/sd/operator/#uuid:serviceCall$50160812</t>
  </si>
  <si>
    <t>https://smp.sfurf.office/sd/operator/#uuid:serviceCall$51384556</t>
  </si>
  <si>
    <t>https://smp.sfurf.office/sd/operator/#uuid:serviceCall$51384567</t>
  </si>
  <si>
    <t>https://smp.sfurf.office/sd/operator/#uuid:serviceCall$51384572</t>
  </si>
  <si>
    <t>https://smp.sfurf.office/sd/operator/#uuid:serviceCall$51384575</t>
  </si>
  <si>
    <t>https://smp.sfurf.office/sd/operator/#uuid:serviceCall$51384585</t>
  </si>
  <si>
    <t>https://smp.sfurf.office/sd/operator/#uuid:serviceCall$53561856</t>
  </si>
  <si>
    <t>https://smp.sfurf.office/sd/operator/#uuid:serviceCall$53561865</t>
  </si>
  <si>
    <t>https://smp.sfurf.office/sd/operator/#uuid:serviceCall$53713690</t>
  </si>
  <si>
    <t>Пришла. НТЭ ФУ. Тотал по НТЭ ФО</t>
  </si>
  <si>
    <t>Пришла. Провели НТЭ ФУ по повреждениям от другого ДТП (30.06.2019), т.к. ФО предоставила материалы дела по факту ДТП от 30.06.2019. Направил запрос в ФО о предоставлении материалов дела по ДТП от 05.06.2019</t>
  </si>
  <si>
    <t>Пришла. Трасса, Комплексная</t>
  </si>
  <si>
    <t>Добровольное исполнение, взыскание неустойки</t>
  </si>
  <si>
    <t>Год ТС</t>
  </si>
  <si>
    <t>Согласно пункту 3.5 Положения № 432-П расхождение в результатах расчетов размера расходов на восстановительный ремонт, выполненных различными специалистами, следует признавать находящимся в пределах статистической достоверности за счет использования различных технологических решений и погрешностей расчета, если оно не превышает 10 процентов.
Стоимость восстановительного ремонта Транспортного средства, принадлежащего Заявителю, согласно экспертному заключению, составленному по инициативе Финансового уполномоченного, превышает стоимость страхового возмещения, согласно экспертному заключению, составленному по инициативе</t>
  </si>
  <si>
    <t>Рассмотрев требования Заявителя о взыскании с</t>
  </si>
  <si>
    <t>неустойки за несоблюдение срока выплаты страхового возмещения по договору ОСАГО, Финансовый уполномоченный приходит к следующему.</t>
  </si>
  <si>
    <t>В соответствии со статьей 193 ГК РФ если последний день срока приходится на нерабочий день, днем окончания срока считается ближайший следующий за ним рабочий день.</t>
  </si>
  <si>
    <t>, а неустойка подлежит начислению с</t>
  </si>
  <si>
    <t>осуществило выплату страхового возмещения в размере</t>
  </si>
  <si>
    <t>дней).</t>
  </si>
  <si>
    <t>В соответствии с требованиями, установленными пунктом 21 статьи 12 Закона № 40-ФЗ, размер неустойки, подлежащий выплате за период с</t>
  </si>
  <si>
    <t>составляет</t>
  </si>
  <si>
    <t>НЕУСТОЙКА ОТЛОЖЕННАЯ</t>
  </si>
  <si>
    <t>Пришла. Комплекс, рыночная, годники</t>
  </si>
  <si>
    <t>Пришла. Траса, Комплексная, рыночная, годники</t>
  </si>
  <si>
    <t>Ломакин Сергей Сергеевич</t>
  </si>
  <si>
    <t>Хазиков Умид Акрам Угли</t>
  </si>
  <si>
    <t>Расходы на телеграмму</t>
  </si>
  <si>
    <t>расходов на отправку телеграмм в размере</t>
  </si>
  <si>
    <t>расходов на отправку телеграмм</t>
  </si>
  <si>
    <t>расходы на отправку телеграмм</t>
  </si>
  <si>
    <t>Прекращение Fiat Ducato, коммерческий транспорт</t>
  </si>
  <si>
    <t>КОММЕРЧ</t>
  </si>
  <si>
    <t>Пришла. Комплексная, Рыночная, годники. НТЭ не направлять</t>
  </si>
  <si>
    <t>ОПИСАНИЕ</t>
  </si>
  <si>
    <t>НАЗВАНИЕ</t>
  </si>
  <si>
    <t>НОТАРИУС</t>
  </si>
  <si>
    <t>Требования Заявителя в части взыскания денежной суммы в размере</t>
  </si>
  <si>
    <t>в счет понесенных расходов за оформление нотариальной доверенности на представителя, а также расходов за изготовление нотариально заверенных копий документов Финансовый уполномоченный считает неподлежащими удовлетворению по следующим причинам.</t>
  </si>
  <si>
    <t>Расходы Заявителя по оформлению нотариально удостоверенной доверенности на представителя и расходов по нотариальному удостоверению копий документов не подлежат возмещению в связи с тем, что указанные расходы не включаются в состав страхового возмещения по договору ОСАГО, а также не могут быть признаны необходимыми расходами Заявителя, направленными на защиту его права и подлежащими возмещению</t>
  </si>
  <si>
    <t>, поскольку Закон № 40-ФЗ и Правила ОСАГО не обязывают Заявителя для обращения к страховщику прибегать к помощи нотариуса или изготавливать нотариальные копии документов.</t>
  </si>
  <si>
    <t>АВАРКОМ</t>
  </si>
  <si>
    <t>Из материалов дела следует, что в результате ДТП Заявителем были понесены расходы на оплату услуг аварийного комиссара в размере</t>
  </si>
  <si>
    <t>Согласно пункту 1 статьи 12 Закона № 40-ФЗ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Законом № 40-ФЗ, путем предъявления страховщику заявления о страховой выплате или прямом возмещении убытков и документов, предусмотренных правилами обязательного страхования.
Пунктом 3.1 Правил ОСАГО предусмотрено, что при наступлении страхового случая (ДТП) водители - участники этого происшествия должны принять меры и исполнить обязанности, предусмотренные Правилами дорожного движения, а также принять необходимые в сложившихся обстоятельствах меры с целью уменьшения возможных убытков от происшествия, записать фамилии и адреса очевидцев и указать их в извещении о ДТП, принять меры по оформлению документов о происшествии в соответствии с Правилами ОСАГО.
Согласно пункту 3.4 Правил ОСАГО оформление документов о ДТП может осуществляться в присутствии страховщика (представителя страховщика) для определения обстоятельств ДТП и причиненного ущерба (повреждений) по сообщению страхователя или потерпевшего. Для этого водитель - участник ДТП сообщает страховщику, застраховавшему его гражданскую ответственность, или его представителю любым доступным способом о месте и времени ДТП, а также об обстоятельствах, его повлекших, для принятия страховщиком решения о необходимости выезда на место ДТП.
В соответствии с пунктом 3.5 Правил ОСАГО водители транспортных средств, причастные к ДТП, обязаны заполнить бланки извещений о ДТП, выданные страховщиками, независимо от оформления документов прибывшими на место ДТП сотрудниками полиции.
При отсутствии разногласий в обстоятельствах причинения вреда и ДТП, характере и перечне видимых повреждений транспортных средств осуществляется совместное заполнение двумя водителями одного бланка.
Таким образом, Закон № 40-ФЗ и Правила ОСАГО не содержат требований, обязывающих участников ДТП привлекать аварийных комиссаров для оформления документов о ДТП.
В следствие чего требования Заявителя о компенсации расходов на оплату услуг аварийного комиссара удовлетворению не подлежат.</t>
  </si>
  <si>
    <t>Аварком</t>
  </si>
  <si>
    <t>Эвакуатор</t>
  </si>
  <si>
    <t>Нотариус</t>
  </si>
  <si>
    <t>Почта</t>
  </si>
  <si>
    <t>Курьер</t>
  </si>
  <si>
    <t>Неустойка 1%</t>
  </si>
  <si>
    <t>Последний день</t>
  </si>
  <si>
    <t>Начисление с</t>
  </si>
  <si>
    <t>Начисление по</t>
  </si>
  <si>
    <t>Количество дней</t>
  </si>
  <si>
    <t>Поскольку Заявитель предоставил необходимые для осуществления страхового возмещения документы в</t>
  </si>
  <si>
    <t>Таким образом, неустойка на сумму в размере</t>
  </si>
  <si>
    <t>НЕУСТОЙКА 1% (+ КАСКАДНАЯ)</t>
  </si>
  <si>
    <t>Таким образом, общий размер неустойки, подлежащей выплате, составляет</t>
  </si>
  <si>
    <t>, выплата страхового возмещения подлежала осуществлению не позднее</t>
  </si>
  <si>
    <t>подлежит расчету за период с</t>
  </si>
  <si>
    <t>дней × 1%)</t>
  </si>
  <si>
    <t>Учитывая вышеизложенное, требование Заявителя о взыскании неустойки в связи с нарушением срока выплаты страхового возмещения подлежит удовлетворению в размере</t>
  </si>
  <si>
    <t>Путь к шаблону</t>
  </si>
  <si>
    <t>Неустойка, Фин санкция</t>
  </si>
  <si>
    <t>Неустойка, аварком, юридические, нотариус</t>
  </si>
  <si>
    <t>Белгородской области</t>
  </si>
  <si>
    <t>ОСМОТР ПО МЕСТУ НАХОЖДЕНИЯ ТС (ПРИ УКАЗАНИИ ЗАЯВИТЕЛЕМ В ЗАЯВЛЕНИИ О НЕВОЗМОЖНОСТИ ЕГО ПРЕДОСТАВЛЕНИЯ ДЛЯ ОСМОТРА ПО МЕСТУ НАХОЖДЕНИЮ СТРАХОВЩИКА)</t>
  </si>
  <si>
    <t>В соответствии с абзацем 3 пункта 10 статьи 12 Закона № 40-ФЗ в случае, если характер повреждений или особенности поврежденного транспортного средства, иного имущества исключают его представление для осмотра и независимой технической экспертизы, независимой экспертизы (оценки) по месту нахождения страховщика и (или) эксперта (например, повреждения транспортного средства, исключающие его участие в дорожном движении), об этом указывается в заявлении и указанные осмотр и независимая техническая экспертиза, независимая экспертиза (оценка) проводятся по месту нахождения поврежденного имущества в срок не более чем пять рабочих дней со дня подачи заявления о страховом возмещении и прилагаемых к нему в соответствии с правилами обязательного страхования документов.
В заявлении от 21.01.2019 Заявителем указано, что характер повреждений Транспортного средства исключает его представление для осмотра по месту нахождения страховщика, указав при этом место нахождения Транспортного средства.
Вместе с тем, АО «АльфаСтрахование» не было организовано проведение осмотра по месту нахождения Транспортного средства.
Учитывая вышеизложенное, Финансовый уполномоченный приходит к выводу о неисполнении АО «АльфаСтрахование» обязанности по организации осмотра Транспортного средства надлежащим образом.</t>
  </si>
  <si>
    <t>Таким образом, Финансовый уполномоченный приходит к выводу о наступлении страхового случая в результате ДТП от</t>
  </si>
  <si>
    <t>УДОВЛЕТВОРЕНИЕ</t>
  </si>
  <si>
    <t xml:space="preserve">Учитывая вышеизложенное, требование Заявителя о взыскании страхового возмещения удовлетворению не подлежит. </t>
  </si>
  <si>
    <t>Республики Адыгея</t>
  </si>
  <si>
    <t>628418, Ханты-Мансийский автономный округ - Югра, г. Сургут, ул. Лермонтова, д. 9/1</t>
  </si>
  <si>
    <t>НЕУСТОЙКА НА РЕМОНТ</t>
  </si>
  <si>
    <t>НЕУСТОЙКА СРОК ПРОВЕДЕНИЯ РЕМОНТА</t>
  </si>
  <si>
    <t>ПРЕКРАЩЕНИЕ (КОММЕРЧЕСКИЙ ТРАНСПОРТ)</t>
  </si>
  <si>
    <t>Согласно выписке из Единого государственного реестра индивидуальных предпринимателей, Заявитель зарегистрирован в качестве индивидуального предпринимателя (ОГРНИП</t>
  </si>
  <si>
    <t>), основным видом деятельности которого является</t>
  </si>
  <si>
    <t>Как следует из материалов Обращения, Транспортное средство, которому причинен вред в результате ДТП, является</t>
  </si>
  <si>
    <t>и имеет следующие характеристики (согласно свидетельству о регистрации ТС):</t>
  </si>
  <si>
    <t>, разрешенная максимальная масса</t>
  </si>
  <si>
    <t>Разреш масса</t>
  </si>
  <si>
    <t>ОГРНИП</t>
  </si>
  <si>
    <t>ОВД</t>
  </si>
  <si>
    <t>Тип ТС</t>
  </si>
  <si>
    <t>Аркадий. Пришла. Комплексная. По НТЭ ФУ меньше, чем по НТЭ ФО</t>
  </si>
  <si>
    <t>Татьяна. Пришла. Комплекс, рыночная, годники. По НТЭ ФУ меньше, чем по НТЭ ФО, но второй платеж с нарушением срока. НТЭ ФО как производная</t>
  </si>
  <si>
    <t>Аркадий. Неустойка после суда. Каскадная, 3 выплаты</t>
  </si>
  <si>
    <t>Заявителем не представлено доказательств использования Транспортного средства в целях, не связанных с осуществлением предпринимательской деятельности. Характеристики транспортного средства как грузового, позволяют Финансовому уполномоченному прийти к выводу о том, что в момент причинения вреда оно использовалось именно в предпринимательских целях.
Указанные обстоятельства не позволяют признать Заявителя потребителем финансовых услуг по смыслу Закона № 123-ФЗ.
Правовая позиция о необходимости оценки имущества с точки зрения целей его использования отражена в Обзоре практики рассмотрения судами дел, связанных с обязательным страхованием гражданской ответственности владельцев транспортных средств (утв. Президиумом Верховного Суда РФ 22.06.2016), в Определении Судебной коллегии по гражданским делам Верховного Суда Российской Федерации от 17 мая 2016 по делу № 41-КГ16-16.
Таким образом, основания для рассмотрения Обращения в порядке, предусмотренном Законом № 123-ФЗ, отсутствуют.
Согласно пункту 1 части 1 статьи 27 Закона № 123-ФЗ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t>
  </si>
  <si>
    <t>Неустойка на страховую премию. Документы ФО по другому событию?</t>
  </si>
  <si>
    <t>Аркадий. ФО добровольно оплатила по НТЭ Заявителя. В удовлетворении расходов отказала.</t>
  </si>
  <si>
    <t>Татьяна. Написано, нужно поправить. Пришло. Трасса + комплекс</t>
  </si>
  <si>
    <t>Татьяна. Написано, нужно поправить. Поправили. Пришло. Отказ по трасе. Трасса + комплекс</t>
  </si>
  <si>
    <t>Татьяна. Отписано, поправлено. Неустойка после суда</t>
  </si>
  <si>
    <t>Пришло. Комплекс</t>
  </si>
  <si>
    <t>Татьяна. Пришла. НТЭ ФУ еще нет. Комплексная</t>
  </si>
  <si>
    <t>Татьяна. Пришла. Выдали направление на ремонт, в качестве доказательства направления есть только почтовый идентификатор. Хочет страховое возмещение и неустойку</t>
  </si>
  <si>
    <t>АО «Страховая Компания «ПОЛИС-ГАРАНТ»</t>
  </si>
  <si>
    <t>119334, г. Москва, ул. Вавилова, д. 24, корп. 1, пом. XI</t>
  </si>
  <si>
    <t>Пришла, но появилась задача о приостановке сроков. Уточнить. Комплексная. Выплатили 47600, хочет еще 352400</t>
  </si>
  <si>
    <t>Не смогли провести НТЭ. Комплексная. Направление на ремонт выдали в срок. 165.1. Нужно определить стоимость ремонта, если больше 400000, то взыскать, если меньше, то отказать</t>
  </si>
  <si>
    <t>Пришла. Комплексная, направили на повторную , т.к. конфликт интересов</t>
  </si>
  <si>
    <t>Пришла. Комплекс. 50%</t>
  </si>
  <si>
    <t>Пришла. Тотал, Комплексная</t>
  </si>
  <si>
    <t>НТЭ ФУ УТС</t>
  </si>
  <si>
    <t>Для решения вопросов, связанных с рассмотрением Обращения, Финансовым уполномоченным принято решение об организации независимой технической экспертизы в</t>
  </si>
  <si>
    <t>На разрешение эксперта поставлены следующие вопросы:</t>
  </si>
  <si>
    <t>На основании вышеизложенного, требования Заявителя о взыскании величины УТС Транспортного средства подлежат частичному удовлетворению в размере</t>
  </si>
  <si>
    <t>величина УТС Транспортного средства Заявителя составила</t>
  </si>
  <si>
    <t>На основании вышеизложенного, требования Заявителя о взыскании величины УТС Транспортного средства удовлетворению не подлежат.</t>
  </si>
  <si>
    <t>В соответствии с пунктом 37 Постановления Пленума Верховного Суда № 58 к реальному ущербу, возникшему в результате дорожно-транспортного происшествия, наряду со стоимостью ремонта и запасных частей относится также утрата товарной стоимости, которая представляет собой уменьшение стоимости транспортного средства, вызванное преждевременным ухудшением товарного (внешнего) вида транспортного средства и его эксплуатационных качеств в результате снижения прочности и долговечности отдельных деталей, узлов и агрегатов, соединений и защитных покрытий вследствие дорожно-транспортного происшествия и последующего ремонта.
При определении величины УТС необходимо руководствоваться «Методическими рекомендациями по проведению судебных автотехнических экспертиз и исследований колесных транспортных средств (далее – КТС) в целях определения размера ущерба, стоимости восстановительного ремонта и оценки» (ФБУ РФРЦСЭ при Минюсте России, 2018) (далее – Методические рекомендации). Данная методика используется экспертами судебных лабораторий при назначении экспертизы в рамках судебного разбирательства, если в поставленном перед экспертом вопросе нет указания на применение другой методологии расчета.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</si>
  <si>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t>Сашкино. Вред здоровью. Медицинская экспертиза. При выплате не учли 250 рублей в счет вреда здоровью, неверно расчитали утраченный заработок</t>
  </si>
  <si>
    <t>Сашкино. ТОТАЛ. Экспертиза ущерб, рыночная, годники</t>
  </si>
  <si>
    <t>Сашкино. Качество ремонта. НТЭ ФУ пришла. НЭО просил продлоить сроки. Запросил статус экспертизы. Возможно приостановление</t>
  </si>
  <si>
    <t>Сашкино. Комплексная. По НТЭ ФУ отказ по трасе.</t>
  </si>
  <si>
    <t>Сашкино. Трасса + комплекс + стоимость ветрового стекла</t>
  </si>
  <si>
    <t>Сашкино. Комплексная. По НТЭ ТОТАЛ</t>
  </si>
  <si>
    <t>Татьяна. Пришла. Траса, Комплекс</t>
  </si>
  <si>
    <t>Татьяна. Пришла. Комплекс</t>
  </si>
  <si>
    <t>У-19-48715</t>
  </si>
  <si>
    <t>У-19-48863</t>
  </si>
  <si>
    <t>У-19-48833</t>
  </si>
  <si>
    <t>У-19-48874</t>
  </si>
  <si>
    <t>Мазуров Алексей Николаевич</t>
  </si>
  <si>
    <t>https://smp.sfurf.office/sd/operator/#uuid:serviceCall$53414671</t>
  </si>
  <si>
    <t>https://smp.sfurf.office/sd/operator/#uuid:serviceCall$53414641</t>
  </si>
  <si>
    <t>https://smp.sfurf.office/sd/operator/#uuid:serviceCall$53414682</t>
  </si>
  <si>
    <t>Таранец Юрий Николаевич</t>
  </si>
  <si>
    <t>Попа Юрий Сергеевич</t>
  </si>
  <si>
    <t>Надиров Гамлет Гахраман Оглы</t>
  </si>
  <si>
    <t>https://smp.sfurf.office/sd/operator/#uuid:serviceCall$53204923</t>
  </si>
  <si>
    <t>Прекращение, нет платежки</t>
  </si>
  <si>
    <t>РАСХОДЫ</t>
  </si>
  <si>
    <t>Экспертиза и Юр услуги</t>
  </si>
  <si>
    <t>Татьяна. Пришла. ТОТАЛ. Комплексная + рынок + годники, неустойка, НТЭ как производная</t>
  </si>
  <si>
    <t>У-19-49679</t>
  </si>
  <si>
    <t>Виноградова Татьяна Григорьевна</t>
  </si>
  <si>
    <t>У-19-49686</t>
  </si>
  <si>
    <t>Муханько Михаил Григорьевич</t>
  </si>
  <si>
    <t>У-19-49687</t>
  </si>
  <si>
    <t>Демидов Виталий Вячеславович</t>
  </si>
  <si>
    <t>У-19-49692</t>
  </si>
  <si>
    <t>Мартиросян Гарик Гагикович</t>
  </si>
  <si>
    <t>У-19-49697</t>
  </si>
  <si>
    <t>Зайпулаев Альберт Магомедрассулович</t>
  </si>
  <si>
    <t>У-19-50089</t>
  </si>
  <si>
    <t>Ярыжников Александр Викторович</t>
  </si>
  <si>
    <t>У-19-50122</t>
  </si>
  <si>
    <t>Двойников Сергей Викторович</t>
  </si>
  <si>
    <t>АО СГ «Спасские ворота»</t>
  </si>
  <si>
    <t>У-19-50123</t>
  </si>
  <si>
    <t>Вербицкая Наталья Владимировна</t>
  </si>
  <si>
    <t>https://smp.sfurf.office/sd/operator/#uuid:serviceCall$54586017</t>
  </si>
  <si>
    <t>https://smp.sfurf.office/sd/operator/#uuid:serviceCall$54586024</t>
  </si>
  <si>
    <t>https://smp.sfurf.office/sd/operator/#uuid:serviceCall$54586025</t>
  </si>
  <si>
    <t>https://smp.sfurf.office/sd/operator/#uuid:serviceCall$54586031</t>
  </si>
  <si>
    <t>https://smp.sfurf.office/sd/operator/#uuid:serviceCall$54586035</t>
  </si>
  <si>
    <t>https://smp.sfurf.office/sd/operator/#uuid:serviceCall$55070031</t>
  </si>
  <si>
    <t>https://smp.sfurf.office/sd/operator/#uuid:serviceCall$55070064</t>
  </si>
  <si>
    <t>https://smp.sfurf.office/sd/operator/#uuid:serviceCall$55070065</t>
  </si>
  <si>
    <t>У-19-50842</t>
  </si>
  <si>
    <t>Гришин Сергей Анатольевич</t>
  </si>
  <si>
    <t>У-19-50889</t>
  </si>
  <si>
    <t>Магомедзагидов Рамазан Патхулаевич</t>
  </si>
  <si>
    <t>https://smp.sfurf.office/sd/operator/#uuid:serviceCall$55967739</t>
  </si>
  <si>
    <t>https://smp.sfurf.office/sd/operator/#uuid:serviceCall$55842591</t>
  </si>
  <si>
    <t>Прекращение (отсутствующие документы)</t>
  </si>
  <si>
    <t>заявление о выплате страхового возмещения с приложением документов, предусмотренных Правилами ОСАГО</t>
  </si>
  <si>
    <t>документы компетентных органов по факту рассматриваемого ДТП</t>
  </si>
  <si>
    <t>акт осмотра Транспортного средства Заявителя с приложением фотоматериалов</t>
  </si>
  <si>
    <t>платежные документы, подтверждающие выплату страхового возмещения</t>
  </si>
  <si>
    <t>Квитанция</t>
  </si>
  <si>
    <t>Реестр</t>
  </si>
  <si>
    <t>Требования (краткие совсем)</t>
  </si>
  <si>
    <t>Ущерб</t>
  </si>
  <si>
    <t>Фин санкция</t>
  </si>
  <si>
    <t>Экспертиза</t>
  </si>
  <si>
    <t>Юридические</t>
  </si>
  <si>
    <t>Телеграмма</t>
  </si>
  <si>
    <t>Штраф</t>
  </si>
  <si>
    <t>величина УТС составила</t>
  </si>
  <si>
    <t>Отписано. Аркадий. Пришла. Трасса + комплексная</t>
  </si>
  <si>
    <t>Вывод</t>
  </si>
  <si>
    <t>Соответствуют</t>
  </si>
  <si>
    <t>Не соответствуют</t>
  </si>
  <si>
    <t xml:space="preserve">Учитывая вышеизложенное, требование Заявителя о взыскании страхового возмещения подлежит частичному удовлетворению в размере 13 400 рублей 00 копеек (29 200 рублей 00 копеек – 15 800 рублей 00 копеек). </t>
  </si>
  <si>
    <t>Неустойка. Прекращение. Нет платежного поручения</t>
  </si>
  <si>
    <t>Таким образом, СПАО «Ингосстрах», выплатив Заявителю страховое возмещение в размере 162 300 рублей 00 копеек, ненадлежащим образом исполнило свои обязательства по Договору ОСАГО в части выплаты страхового возмещения в полном объеме.</t>
  </si>
  <si>
    <t>Отписано. Аркадий. Пришла. Комплекс</t>
  </si>
  <si>
    <t>Отписано. Аркадий. Пришла. Ушло на повторную 25.10.2019. Нет НТЭ. ХОДАТАЙСТВО об очном рассмотрении. ФО не надлежащим образом организовало осмотр тс. Заявитель указывал, что ТС не может передвигаться своим ходом. Направление на НТЭ было выдано не по адресу нахождения ТС на 26.05.2019. При этом составлен акт осмотра ТС от 28.05.2019, согласно которому ТС на осмотр не предоставлено. Уведомления о проведении осмотра 28.05.2019 Заявителю не направлялось. При этом, вторично ФО не организовало проведение осмотра ТС.</t>
  </si>
  <si>
    <t>Учитывая вышеизложенное, требование Заявителя о взыскании страхового возмещения подлежит частичному удовлетворению в размере</t>
  </si>
  <si>
    <t>Учитывая вышеизложенное, требование Заявителя о взыскании страхового возмещения подлежит удовлетворению в размере</t>
  </si>
  <si>
    <t>(далее – ДТП), вследствие действий</t>
  </si>
  <si>
    <t>При рассмотрении требования Заявителя о взыскании неустойки за нарушение сроков выплаты страхового возмещения, Финансовым уполномоченным установлено следующее.
Согласно статье 12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В соответствии с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Пунктом 6 статьи 16.1 Закона № 40-ФЗ установлено, что общий размер неустойки (пени),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
В соответствии со статьей 193 ГК РФ если последний день срока приходится на нерабочий день, днем окончания срока считается ближайший следующий за ним рабочий день.</t>
  </si>
  <si>
    <t>Поскольку Заявитель предоставил в</t>
  </si>
  <si>
    <t>необходимые для осуществления страхового возмещения документы</t>
  </si>
  <si>
    <t>В соответствии с пунктом 65 постановления Пленума Верховного Суда РФ от 24.03.2016 № 7 «О применении судами некоторых положений Гражданского кодекса Российской Федерации об ответственности за нарушение обязательств» по смыслу статьи 330 ГК РФ, истец вправе требовать присуждения неустойки по день фактического исполнения обязательства (в частности, фактической уплаты кредитору денежных средств, передачи товара, завершения работ).
В силу пункта 6 статьи 16.1 Закона № 40-ФЗ общий размер неустойки (пени), суммы финансовой санкции, которые подлежат выплате потерпевшему - физическому лицу, не может превышать размер страховой суммы по виду причиненного вреда, установленный Законом № 40-ФЗ.</t>
  </si>
  <si>
    <t>Соответственно, удовлетворению подлежит требование Заявителя о взыскании неустойки начиная с</t>
  </si>
  <si>
    <t>по дату фактического исполнения</t>
  </si>
  <si>
    <t>своего обязательства перед Заявителем по выплате страхового возмещения в размере</t>
  </si>
  <si>
    <t>, подлежит взысканию только в случае неисполнения (неисполнения в установленные сроки)</t>
  </si>
  <si>
    <t>решения Финансового уполномоченного по настоящему спору в части удовлетворения основного требования (о взыскании страхового возмещения).</t>
  </si>
  <si>
    <t>В случае неисполнения</t>
  </si>
  <si>
    <t>пункта 1 резолютивной части настоящего решения в срок, установленный в пункте 5 резолютивной части настоящего решения, взыскать с</t>
  </si>
  <si>
    <t>в пользу Заявителя неустойку за период, начиная с</t>
  </si>
  <si>
    <t>Волгоградской области</t>
  </si>
  <si>
    <t>ПРЕДОСТАВЛЕНИЕ ПОЛНОГО КОМПЛЕКТА ДОКУМЕНТОВ (СРТС, ПТС)</t>
  </si>
  <si>
    <t>15.01.2019 АО «АльфаСтрахование» в ответ на 15.01.2019 письмом № 7100-04-10-68 отказало Заявителю в удовлетворении заявленных требований, указав, что Заявителем не предоставлена нотариально заверенная копия ПТС.</t>
  </si>
  <si>
    <t>о взыскании неустойки за несоблюдение срока выплаты страхового возмещения, установленного статьей 16 Закона № 123-ФЗ, данное требование не подлежит рассмотрению.</t>
  </si>
  <si>
    <t>Пришла. Комплекс. В пределах статистической достоверности 10%</t>
  </si>
  <si>
    <t>ОТКАЗ НТЭ</t>
  </si>
  <si>
    <t>ЮР ЛИЦО</t>
  </si>
  <si>
    <t>ВОЗВРАТ ДОКУМЕНТОВ</t>
  </si>
  <si>
    <t>ПРОПУЩЕН СРОК</t>
  </si>
  <si>
    <t>Дважды не предоставил на осмотр. ФО вернула документы. Не соблюден досудебный порядок</t>
  </si>
  <si>
    <t>Возврат документов</t>
  </si>
  <si>
    <t>ПРЕКРАЩЕНИЕ (ПОСЛЕ ВОЗВРАТА ДОКУМЕНТОВ)</t>
  </si>
  <si>
    <t>Пришла. Комплекс. ФО отказа в выплате на основании 14.1, т.к. собственник ТС оформил доверенность на иное лицо, которое заключило договор страхования на основани доверенности. Получается, что на момент ДТП ответственность собственника застрахована не была. Тем не менее, доверенность есть, значит владельцем ТС на момент ДТП была не собственник, а лицо по доверенности</t>
  </si>
  <si>
    <t>Вопросы НТЭ</t>
  </si>
  <si>
    <t>Тип НТЭ</t>
  </si>
  <si>
    <t>Комплекс (без УТС)</t>
  </si>
  <si>
    <t>Комплекс (с УТС)</t>
  </si>
  <si>
    <t>- каковы перечень и характер повреждений транспортного средства потерпевшего;
- какие повреждения получило ТС потерпевшего при обстоятельствах, указанных в заявлении о страховом случае, документах, оформленных компетентными органами, и в иных документах, содержащих информацию относительно указанных обстоятельств;
- какие методы и технологии восстановительного ремонта применимы к повреждениям транспортного средства потерпевшего, относящимся к рассматриваемому ДТП;
- каков размер расходов на восстановительный ремонт в отношении повреждений транспортного средства потерпевшего, возникших в результате рассматриваемого ДТП;
- какова стоимость транспортного средства потерпевшего до повреждения на дату ДТП и стоимость годных остатков в случае полной (конструктивной) гибели транспортного средства;
- какова величина утраты товарной стоимости (УТС) транспортного средства потерпевшего, если возмещение УТС возможно</t>
  </si>
  <si>
    <t>ОБОСНОВАНИЕ (ПВУ работает, выдана доверенность на водителя)</t>
  </si>
  <si>
    <t>Для решения вопросов, связанных с рассмотрением Обращения, Финансовым уполномоченным назначено проведение независимой медицинской экспертизы в</t>
  </si>
  <si>
    <t>(эксперт-врач</t>
  </si>
  <si>
    <t>), предметом которой являлось исследование документов медицинских и иных организаций, медико-социальных и судебно-медицинских экспертиз, свидетельствующих о причинении вреда жизни или здоровью (медицинская экспертиза). Вопросы, подлежащие разрешению экспертом в рамках проводимого им исследования:</t>
  </si>
  <si>
    <t>УЩЕРБ, УТС</t>
  </si>
  <si>
    <t>У-19-36363</t>
  </si>
  <si>
    <t>Муллагалиев Вадим Эдикович</t>
  </si>
  <si>
    <t>У-19-43499</t>
  </si>
  <si>
    <t>Кирпичева Елена Юрьевна</t>
  </si>
  <si>
    <t>У-19-46264</t>
  </si>
  <si>
    <t>Коник Виталий Владимирович</t>
  </si>
  <si>
    <t>У-19-51370</t>
  </si>
  <si>
    <t>Самойлов Максим Евгеньевич</t>
  </si>
  <si>
    <t>У-19-51437</t>
  </si>
  <si>
    <t>Матреничева Ольга Сергеевна</t>
  </si>
  <si>
    <t>У-19-51569</t>
  </si>
  <si>
    <t>Муллахметов Амир Маратович</t>
  </si>
  <si>
    <t>У-19-52556</t>
  </si>
  <si>
    <t>Корешков Иван Михайлович</t>
  </si>
  <si>
    <t>У-19-52571</t>
  </si>
  <si>
    <t>Булдаков Бронислав Сергеевич</t>
  </si>
  <si>
    <t>У-19-52840</t>
  </si>
  <si>
    <t>Труханкин Виктор Васильевич</t>
  </si>
  <si>
    <t>У-19-52841</t>
  </si>
  <si>
    <t>Зинюхина Екатерина Валентиновна</t>
  </si>
  <si>
    <t>У-19-53093</t>
  </si>
  <si>
    <t>Дубровин Денис Александрович</t>
  </si>
  <si>
    <t>У-19-54137</t>
  </si>
  <si>
    <t>Осия Джансух Арзадинович</t>
  </si>
  <si>
    <t>У-19-54139</t>
  </si>
  <si>
    <t>Смирнов Юрий Михайлович</t>
  </si>
  <si>
    <t>У-19-54150</t>
  </si>
  <si>
    <t>Есипов Вячеслав Викторович</t>
  </si>
  <si>
    <t>ООО «СФ «Адонис»</t>
  </si>
  <si>
    <t>У-19-54161</t>
  </si>
  <si>
    <t>Хохлов Алексей Викторович</t>
  </si>
  <si>
    <t>У-19-54180</t>
  </si>
  <si>
    <t>У-19-54236</t>
  </si>
  <si>
    <t>Генюк Михаил Иванович</t>
  </si>
  <si>
    <t>https://smp.sfurf.office/sd/operator/index.jsp;jsessionid=4B56FDB405CD332F2E4AE6AEC0BFEE05#uuid:serviceCall$38305853</t>
  </si>
  <si>
    <t>https://smp.sfurf.office/sd/operator/index.jsp;jsessionid=4B56FDB405CD332F2E4AE6AEC0BFEE05#uuid:serviceCall$46451381</t>
  </si>
  <si>
    <t>https://smp.sfurf.office/sd/operator/index.jsp;jsessionid=4B56FDB405CD332F2E4AE6AEC0BFEE05#uuid:serviceCall$56712020</t>
  </si>
  <si>
    <t>https://smp.sfurf.office/sd/operator/index.jsp;jsessionid=4B56FDB405CD332F2E4AE6AEC0BFEE05#uuid:serviceCall$56712087</t>
  </si>
  <si>
    <t>https://smp.sfurf.office/sd/operator/index.jsp;jsessionid=4B56FDB405CD332F2E4AE6AEC0BFEE05#uuid:serviceCall$56936821</t>
  </si>
  <si>
    <t>Качество ремонта</t>
  </si>
  <si>
    <t>- какие операции, методы и технологии восстановительного ремонта ТС потерпевшего применены не обоснованно;
- весь ли объем ремонтных работ, необходимый для устранения последствий рассматриваемого ДТП, был выполнен исполнителем во время ремонта ТС потерпевшего? Если нет, то указать допущенные нарушения;
- соответствуют ли выполненные работы установленной технологической документации, требованиям технических и нормативно-правовых документов? Если нет, то указать допущенные нарушения;
- соответствуют ли фактически замененные запасные части заявленным исполнителем ремонта? Если нет, то указать допущенные нарушения;
- соответствуют ли фактически выполненные ремонтные работы заявленным исполнителем ремонта? Если нет, то указать допущенные нарушения;
- являются ли выявленные недостатки ремонта ТС потерпевшего устранимыми и каковы методы и технологии их устранения;
- какова стоимость устранения выявленных недостатков ремонта с учетом износа и без учета износа</t>
  </si>
  <si>
    <t>Пришла. Комплекс, траса (спор по повреждениям)</t>
  </si>
  <si>
    <t>Пришла. Комплекс. Направили запрос ФО виновника (Альфа). Два разных полиса у виновника. В одном вобственником указана Молчун Н.И., во втором Молчун А.П.</t>
  </si>
  <si>
    <t>После НТЭ ФУ</t>
  </si>
  <si>
    <t>Неустойка после суда</t>
  </si>
  <si>
    <t>ФИНАНСОВАЯ САНКЦИЯ</t>
  </si>
  <si>
    <t>Пришла. НТЭ ФУ не пришла, продлили сроки. Комплексная</t>
  </si>
  <si>
    <t>Пришла. Комплексная, траса</t>
  </si>
  <si>
    <t>https://smp.sfurf.office/sd/operator/index.jsp;jsessionid=4B56FDB405CD332F2E4AE6AEC0BFEE05#uuid:serviceCall$58113766</t>
  </si>
  <si>
    <t>https://smp.sfurf.office/sd/operator/index.jsp;jsessionid=4B56FDB405CD332F2E4AE6AEC0BFEE05#uuid:serviceCall$58245713</t>
  </si>
  <si>
    <t>компенсации морального вреда в размере</t>
  </si>
  <si>
    <t>компенсации морального вреда</t>
  </si>
  <si>
    <t>компенсацию морального вреда в размере</t>
  </si>
  <si>
    <t>Не согласившись с отказом в доплате страхового возмещения, Заявитель обратился в суд с исковыми требованиями к</t>
  </si>
  <si>
    <t>неустойка за несоблюдение срока выплаты страхового возмещения по договору ОСАГО в размере</t>
  </si>
  <si>
    <t>неустойка за несоблюдение срока выплаты страхового возмещения по договору КАСКО в размере</t>
  </si>
  <si>
    <t>неустойка за несоблюдение срока выплаты страхового возмещения по договору ОСАГО в части УТС в размере</t>
  </si>
  <si>
    <t>неустойка за несоблюдение срока выплаты страхового возмещения по договору КАСКО в части УТС в размере</t>
  </si>
  <si>
    <t>финансовая санкция за несоблюдение срока направления мотивированного отказа в страховом возмещении в размере</t>
  </si>
  <si>
    <t>компенсация морального вреда в размере</t>
  </si>
  <si>
    <t>штраф в размере 50% от взысканной суммы за неисполнение в добровольном порядке требований потерпевшего</t>
  </si>
  <si>
    <t>расходы на отправку телеграмм в размере</t>
  </si>
  <si>
    <t>неустойка за несоблюдение срока выплаты страхового возмещения по договору ОСАГО за период с</t>
  </si>
  <si>
    <t>неустойка за несоблюдение срока выплаты страхового возмещения по договору КАСКО за период с</t>
  </si>
  <si>
    <t>неустойка за несоблюдение срока выплаты страхового возмещения по договору ОСАГО в части УТС за период с</t>
  </si>
  <si>
    <t>неустойки за несоблюдение срока выплаты страхового возмещения по договору ОСАГО за период с</t>
  </si>
  <si>
    <t>неустойки за несоблюдение срока выплаты страхового возмещения по договору КАСКО за период с</t>
  </si>
  <si>
    <t>неустойки за несоблюдение срока выплаты страхового возмещения по договору ОСАГО в части УТС за период с</t>
  </si>
  <si>
    <t>неустойки за несоблюдение срока выплаты страхового возмещения по договору КАСКО в части УТС за период с</t>
  </si>
  <si>
    <t>ТС на данный момент находится на ремонте. Прекращение. Просит урегулировать страховой случай и неустойку. ТС все еще на СТОА, ФО говорит, что Заявитель сдал автомобиль не в ремонт, а на дефектовку. Противоречие</t>
  </si>
  <si>
    <t>Пришла. Комплексная. Выплатили достаточно</t>
  </si>
  <si>
    <t>КОМПЕНСАЦИОННАЯ ВЫПЛАТА</t>
  </si>
  <si>
    <t>Пришла. Комплекс, рыночная, годные. Отозвана лицензия у НАСКО, РСА назначило Альфа исполнять обязанности. Альфа производит выплату, но пишет, что Заявитель предоставила не полный комплект документов. Аналогичные дела. 49815, 43777.</t>
  </si>
  <si>
    <t>Пришла. Комплекс. Стандартная недоплата. Сначала выдали ННР, но потом произвели выплату деньгами. Фин санкция</t>
  </si>
  <si>
    <t>У-19-54318</t>
  </si>
  <si>
    <t>Гришин Вячеслав Игоревич</t>
  </si>
  <si>
    <t>У-19-54338</t>
  </si>
  <si>
    <t>Чашкин Александр Геннадьевич</t>
  </si>
  <si>
    <t>У-19-55576</t>
  </si>
  <si>
    <t>У-19-55592</t>
  </si>
  <si>
    <t>Золоторев Сергей Анатольевич</t>
  </si>
  <si>
    <t>АО «Страховая бизнес группа»</t>
  </si>
  <si>
    <t>У-19-55596</t>
  </si>
  <si>
    <t>Арбиева Оксана Витальевна</t>
  </si>
  <si>
    <t>АО «СО «Талисман»</t>
  </si>
  <si>
    <t>У-19-55617</t>
  </si>
  <si>
    <t>Маликова Людмила Александровна</t>
  </si>
  <si>
    <t>У-19-55619</t>
  </si>
  <si>
    <t>Евтушенко Александр Владимирович</t>
  </si>
  <si>
    <t>У-19-56208</t>
  </si>
  <si>
    <t>Бутнарь Мария Викторовна</t>
  </si>
  <si>
    <t>Иная</t>
  </si>
  <si>
    <t>У-19-56220</t>
  </si>
  <si>
    <t>Шульженко Сергей Владимирович</t>
  </si>
  <si>
    <t>У-19-56271</t>
  </si>
  <si>
    <t>Исупов Евгений Сергеевич</t>
  </si>
  <si>
    <t>У-19-56281</t>
  </si>
  <si>
    <t>Исаева Татьяна Александровна</t>
  </si>
  <si>
    <t>У-19-56286</t>
  </si>
  <si>
    <t>Слюсаренко Олеся Николаевна</t>
  </si>
  <si>
    <t>У-19-56289</t>
  </si>
  <si>
    <t>Баранов Григорий Михайлович</t>
  </si>
  <si>
    <t>У-19-56295</t>
  </si>
  <si>
    <t>Темирсултанов Вахажи Баудинович</t>
  </si>
  <si>
    <t>У-19-56299</t>
  </si>
  <si>
    <t>Сигов Леонид Михайлович</t>
  </si>
  <si>
    <t>https://smp.sfurf.office/sd/operator/index.jsp;jsessionid=4B56FDB405CD332F2E4AE6AEC0BFEE05#uuid:serviceCall$58537119</t>
  </si>
  <si>
    <t>https://smp.sfurf.office/sd/operator/index.jsp;jsessionid=4B56FDB405CD332F2E4AE6AEC0BFEE05#uuid:serviceCall$58537120</t>
  </si>
  <si>
    <t>https://smp.sfurf.office/sd/operator/index.jsp;jsessionid=4B56FDB405CD332F2E4AE6AEC0BFEE05#uuid:serviceCall$58747473</t>
  </si>
  <si>
    <t>https://smp.sfurf.office/sd/operator/index.jsp;jsessionid=4B56FDB405CD332F2E4AE6AEC0BFEE05#uuid:serviceCall$61785456</t>
  </si>
  <si>
    <t>Отзыв Заявления</t>
  </si>
  <si>
    <t>394018, Воронежская обл., г.Воронеж, ул. Платонова, д. 16</t>
  </si>
  <si>
    <t>Пришла. Стоимость имущества, расходы на ремонт имущества. Сделан запрос ФО. Обвес полностью или задний бампер.</t>
  </si>
  <si>
    <t>Пришла. Траса. Комплекс</t>
  </si>
  <si>
    <t>Неустойка после решения суда. Частично взыскана судом</t>
  </si>
  <si>
    <t>ННР выдали в срок. Доказательств о предоставлении ТС на СТОА не предоставлено</t>
  </si>
  <si>
    <t>ОБОСНОВАНИЕ (С УЧЕТОМ ИЗНОСА)</t>
  </si>
  <si>
    <t>Пришла. Комплекс. Шаблон заполнен. Просит без износа.</t>
  </si>
  <si>
    <t>- соответствуют ли повреждения транспортном средстве потерпевшего обстоятельствам рассматриваемого дорожно-транспортного происшествия;
- какие повреждения возникли на транспортном средстве потерпевшего в результате рассматриваемого дорожно-транспортного происшествия</t>
  </si>
  <si>
    <t>ТИП ДЕЛА</t>
  </si>
  <si>
    <t>Регион НТЭ (род паж)</t>
  </si>
  <si>
    <t>Алтайский край</t>
  </si>
  <si>
    <t>Амурская область</t>
  </si>
  <si>
    <t>Архангельская область</t>
  </si>
  <si>
    <t>Астраханская область</t>
  </si>
  <si>
    <t>Белгородская область</t>
  </si>
  <si>
    <t>Брянская область</t>
  </si>
  <si>
    <t>Владимирская область</t>
  </si>
  <si>
    <t>Волгоградская область</t>
  </si>
  <si>
    <t>Вологодская область</t>
  </si>
  <si>
    <t>Воронежская область</t>
  </si>
  <si>
    <t>г. Москва</t>
  </si>
  <si>
    <t>Еврейская автономная область</t>
  </si>
  <si>
    <t>Забайкальский край</t>
  </si>
  <si>
    <t>Ивановская область</t>
  </si>
  <si>
    <t>Иркутская область</t>
  </si>
  <si>
    <t>Кабардино-Балкарская Республика</t>
  </si>
  <si>
    <t>Калининградская область</t>
  </si>
  <si>
    <t>Калужская область</t>
  </si>
  <si>
    <t>Камчатский край</t>
  </si>
  <si>
    <t>Карачаево-Черкесская Республика</t>
  </si>
  <si>
    <t>Кемеровская область</t>
  </si>
  <si>
    <t>Кировская область</t>
  </si>
  <si>
    <t>Костромская область</t>
  </si>
  <si>
    <t>Краснодарский край</t>
  </si>
  <si>
    <t>Красноярский край</t>
  </si>
  <si>
    <t>Курганская область</t>
  </si>
  <si>
    <t>Курская область</t>
  </si>
  <si>
    <t>Ленинградская область</t>
  </si>
  <si>
    <t>Липецкая область</t>
  </si>
  <si>
    <t>Магаданская область</t>
  </si>
  <si>
    <t>Московская область</t>
  </si>
  <si>
    <t>Мурманская область</t>
  </si>
  <si>
    <t>Ненецкий автономный округ</t>
  </si>
  <si>
    <t>Нижегородская область</t>
  </si>
  <si>
    <t>Новгородская область</t>
  </si>
  <si>
    <t>Новосибирская область</t>
  </si>
  <si>
    <t>Омская область</t>
  </si>
  <si>
    <t>Оренбургская область</t>
  </si>
  <si>
    <t>Орловская область</t>
  </si>
  <si>
    <t>Пензенская область</t>
  </si>
  <si>
    <t>Пермский край</t>
  </si>
  <si>
    <t>Приморский край</t>
  </si>
  <si>
    <t>Псковская область</t>
  </si>
  <si>
    <t>Республика Адыгея (Адыгея)</t>
  </si>
  <si>
    <t>Республика Алтай</t>
  </si>
  <si>
    <t>Республика Башкортостан</t>
  </si>
  <si>
    <t>Республика Бурятия</t>
  </si>
  <si>
    <t>Республика Дагестан</t>
  </si>
  <si>
    <t>Республика Ингушетия</t>
  </si>
  <si>
    <t>Республика Калмыкия</t>
  </si>
  <si>
    <t>Республика Карелия</t>
  </si>
  <si>
    <t>Республика Коми</t>
  </si>
  <si>
    <t>Республика Крым</t>
  </si>
  <si>
    <t>Республика Марий Эл</t>
  </si>
  <si>
    <t>Республика Мордовия</t>
  </si>
  <si>
    <t>Республика Саха (Якутия)</t>
  </si>
  <si>
    <t>Республика Северная Осетия - Алания</t>
  </si>
  <si>
    <t>Республика Тыва</t>
  </si>
  <si>
    <t>Республика Хакасия</t>
  </si>
  <si>
    <t>Ростовская область</t>
  </si>
  <si>
    <t>Рязанская область</t>
  </si>
  <si>
    <t>Самарская область</t>
  </si>
  <si>
    <t>Саратовская область</t>
  </si>
  <si>
    <t>Сахалинская область</t>
  </si>
  <si>
    <t>Свердловская область</t>
  </si>
  <si>
    <t>Смоленская область</t>
  </si>
  <si>
    <t>Ставропольский край</t>
  </si>
  <si>
    <t>Тамбовская область</t>
  </si>
  <si>
    <t>Тверская область</t>
  </si>
  <si>
    <t>Томская область</t>
  </si>
  <si>
    <t>Тульская область</t>
  </si>
  <si>
    <t>Тюменская область</t>
  </si>
  <si>
    <t>Удмуртская Республика</t>
  </si>
  <si>
    <t>Ульяновская область</t>
  </si>
  <si>
    <t>Хабаровский край</t>
  </si>
  <si>
    <t>Ханты-Мансийский автономный округ - Югра</t>
  </si>
  <si>
    <t>Челябинская область</t>
  </si>
  <si>
    <t>Чеченская Республика</t>
  </si>
  <si>
    <t>Чувашская Республика - Чувашия</t>
  </si>
  <si>
    <t>Чукотский автономный округ</t>
  </si>
  <si>
    <t>Ямало-Ненецкий автономный округ</t>
  </si>
  <si>
    <t>Ярославская область</t>
  </si>
  <si>
    <t>Алтайского края</t>
  </si>
  <si>
    <t>города Москвы</t>
  </si>
  <si>
    <t>города Санкт-Петербург</t>
  </si>
  <si>
    <t>города Севастополь</t>
  </si>
  <si>
    <t>г. Севастополь</t>
  </si>
  <si>
    <t>г. Санкт-Петербург</t>
  </si>
  <si>
    <t>Амурской области</t>
  </si>
  <si>
    <t>Архангельской области</t>
  </si>
  <si>
    <t>Астраханской области</t>
  </si>
  <si>
    <t>Брянской области</t>
  </si>
  <si>
    <t>Владимирской области</t>
  </si>
  <si>
    <t>Вологодской области</t>
  </si>
  <si>
    <t>Воронежской области</t>
  </si>
  <si>
    <t>Еврейской автономная области</t>
  </si>
  <si>
    <t>Забайкальского края</t>
  </si>
  <si>
    <t>Ивановской области</t>
  </si>
  <si>
    <t>https://smp.sfurf.office/sd/operator/#uuid:serviceCall$49960737</t>
  </si>
  <si>
    <t>https://smp.sfurf.office/sd/operator/#uuid:serviceCall$59947475</t>
  </si>
  <si>
    <t>https://smp.sfurf.office/sd/operator/#uuid:serviceCall$59947478</t>
  </si>
  <si>
    <t>https://smp.sfurf.office/sd/operator/#uuid:serviceCall$59947493</t>
  </si>
  <si>
    <t>https://smp.sfurf.office/sd/operator/#uuid:serviceCall$60034109</t>
  </si>
  <si>
    <t>https://smp.sfurf.office/sd/operator/#uuid:serviceCall$60034138</t>
  </si>
  <si>
    <t>https://smp.sfurf.office/sd/operator/index.jsp;jsessionid=4B56FDB405CD332F2E4AE6AEC0BFEE05#uuid:serviceCall$60034161</t>
  </si>
  <si>
    <t>https://smp.sfurf.office/sd/operator/index.jsp;jsessionid=4B56FDB405CD332F2E4AE6AEC0BFEE05#uuid:serviceCall$60247413</t>
  </si>
  <si>
    <t>https://smp.sfurf.office/sd/operator/index.jsp;jsessionid=4B56FDB405CD332F2E4AE6AEC0BFEE05#uuid:serviceCall$60247436</t>
  </si>
  <si>
    <t>В соответствии со статьей 16 Закона № 123-ФЗ</t>
  </si>
  <si>
    <t>Пунктом 2 части 1 статьи 27 Закона № 123-ФЗ установлено, что финансовый уполномоченный прекращает рассмотрение обращения в случае непредоставления потребителем финансовых услуг документов, разъяснений и (или) сведений в соответствии с Законом № 123-ФЗ, если это влечет невозможность рассмотрения по существу.</t>
  </si>
  <si>
    <t>В соответствии с абзацем 2 пункта 21 статьи 12 Закона № 40-ФЗ при возмещении вреда на основании пунктов 15.1 - 15.3 статьи 12 Закона № 40-ФЗ в случае нарушения установленного абзацем вторым пункта 15.2 статьи 12 Закона № 40-ФЗ срока проведения восстановительного ремонта поврежденного транспортного средства или срока, согласованного страховщиком и потерпевшим и превышающего установленный абзацем вторым пункта 15.2 настоящей статьи срок проведения восстановительного ремонта поврежденного транспортного средства, страховщик за каждый день просрочки уплачивает потерпевшему неустойку (пеню) в размере 0,5 процента от определенной в соответствии с Законом № 40-ФЗ суммы страхового возмещения, но не более суммы такого возмещения.
Согласно абзацу второму пункта 15.2 статьи 12 Закона № 40-ФЗ срок проведения восстановительного ремонта поврежденного транспортного средства составляет не более 30 рабочих дней со дня представления потерпевшим такого транспортного средства на станцию технического обслуживания или передачи такого транспортного средства страховщику для организации его транспортировки до места проведения восстановительного ремонта.
Поскольку Заявитель представил Транспортное средство на СТОА 17.06.2019, последним днем срока проведения восстановительного ремонта является 16.07.2019.
Вместе с тем, как установлено Финансовым уполномоченным 28.06.2019 ООО «Имя-А» выдало, а Заявитель принял Транспортное средство после осуществления восстановительного ремонта.
Учитывая вышеизложенное, неустойка в связи с нарушением срока осуществления восстановительного ремонта начислению не подлежит.</t>
  </si>
  <si>
    <t>В соответствии с пунктом 1 статьи 12 Закона № 40-ФЗ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Законом № 40-ФЗ, путем предъявления страховщику заявления о страховом возмещении или прямом возмещении убытков и документов, предусмотренных Правилами ОСАГО.
Согласно пункту 4.13 при причинении вреда имуществу потерпевшего (транспортным средствам, зданиям, сооружениям, постройкам, иному имуществу физических, юридических лиц) кроме документов, предусмотренных пунктом 3.10 настоящих Правил, потерпевший представляет в том числе документы, подтверждающие право собственности потерпевшего на поврежденное имущество либо право на страховое возмещение при повреждении имущества, находящегося в собственности другого лица.
При этом, перечень документов, подтверждающих право собственности потерпевшего на поврежденное имущество является открытым.
Пунктом 3.10 Правил ОСАГО установлено, что страховщик не вправе требовать от потерпевшего документы, не предусмотренные Правилами ОСАГО.
Как установлено Финансовым уполномоченным, в качестве документа, подтверждающего право собственности на Транспортное средство Заявителем было предоставлена в АО «АльфаСтрахование» нотариально заверенная копия свидетельства о регистрации Транспортного средства от 06.08.2016 серия 2344 № 370194.
Таким образом, Финансовый уполномоченный приходит к выводу о предоставлении Заявителем документов в АО «АльфаСтрахование» в полном объеме в соответствии с Правилами ОСАГО.</t>
  </si>
  <si>
    <t>Согласно пункту 1 статьи 14.1 Закона № 40-ФЗ потерпевший предъявляет требование о возмещении вреда, причиненного его имуществу, страховщику, который застраховал гражданскую ответственность потерпевшего, в случае наличия одновременно следующих обстоятельств:
а) в результате дорожно-транспортного происшествия вред причинен только транспортным средствам, указанным в подпункте "б" настоящего пункта;
б) дорожно-транспортное происшествие произошло в результате взаимодействия (столкновения) двух и более транспортных средств (включая транспортные средства с прицепами к ним), гражданская ответственность владельцев которых застрахована по договору обязательного страхования в соответствии с Законом № 40-ФЗ.
В соответствии с абзацем 2 пункта 1 статьи 1079 Гражданского кодекса Российской Федерации владельцем транспортного средства является юридическое лицо или гражданин, которые владеют транспортным средством на праве собственности, праве хозяйственного ведения или праве оперативного управления либо на ином законном основании (на праве аренды, по доверенности на право управления транспортным средством, в силу распоряжения соответствующего органа о передаче ему источника повышенной опасности и т.п.).
Как установлено Финансовым уполномоченным, Заявитель передала Субботину В.Н. права управления и распоряжения Транспортным средством на основании доверенности от 17.05.2019 № 50/2-н/50-2019-1-1486.
На момент ДТП, лицом, управлявшим транспортным средством был Субботин В.Н., что подтверждается административными материалам дела.
Таким образом, Финансовый уполномоченный приходит к выводу о том, что на момент ДТП владельцем Транспортного средства, действующим на основании доверенности, был Субботин В.Н., чья гражданская ответственность застрахована по Договору ОСАГО, в силу чего у АО «АльфаСтрахование» не было оснований для отказа в урегулировании страхового случая в рамках прямого возмещения убытков.</t>
  </si>
  <si>
    <t>Порядок осуществления страхового возмещения, причиненного потерпевшему вреда определен в статье 12 Закона № 40-ФЗ.
Согласно пункту 12 статьи 12 Закона № 40-ФЗ в случае, если по результатам проведенного страховщиком осмотра поврежденного имущества или его остатков страховщик и потерпевший согласились о размере страхового возмещения и не настаивают на организации независимой технической экспертизы или независимой (оценки) поврежденного имущества или его остатков, экспертиза не проводится.
В соответствии со подпунктом «ж» пункта 16.1. статьи 12 Закона № 40-ФЗ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путем выдачи суммы страховой выплаты потерпевшему (выгодоприобретателю) в кассе страховщика или перечисления суммы страховой выплаты на банковский счет потерпевшего (выгодоприобретателя) (наличный или безналичный расчет) в случае наличия соглашения в письменной форме между страховщиком и потерпевшим (выгодоприобретателем).
Как указано в пункте 43 Постановления Пленума Верховного Суда РФ от 26 декабря 2017 года № 58 «О применении судами законодательства об обязательном страховании гражданской ответственности владельцев транспортных средств» в случае, если по результатам проведенного страховщиком осмотра поврежденного имущества страховщик и потерпевший достигли согласие о размере страховой выплаты и не настаивают на организации независимой технической экспертизы транспортного средства или независимой экспертизы (оценки) поврежденного имущества, такая экспертиза, в силу пункта 12 статьи 12 Закона № 40-ФЗ, может не проводиться.
При заключении соглашения об урегулировании страхового случая без проведения независимой технической экспертизы транспортного средства или независимой экспертизы (оценки) поврежденного имущества потерпевший и страховщик договариваются о размере, порядке и сроках подлежащего выплате потерпевшему страхового возмещения. После осуществления страховщиком оговоренной страховой выплаты его обязанность считается исполненной в полном объеме и надлежащим образом, что прекращает соответствующее обязательство страховщика (пункт 1 статьи 408 ГК РФ).
Заключение со страховщиком соглашения об урегулировании страхового случая без проведения независимой технической экспертизы транспортного средства или независимой экспертизы (оценки) поврежденного имущества является реализацией права потерпевшего на получение страхового возмещения, вследствие чего после исполнения страховщиком обязательства по страховой выплате в размере, согласованном сторонами, основания для взыскания каких-либо дополнительных убытков отсутствуют. Вместе с тем при наличии оснований для признания указанного соглашения недействительным потерпевший вправе обратиться в суд с иском об оспаривании такого соглашения и о взыскании суммы страхового возмещения в ином размере.
Финансовым уполномоченным установлено, что Соглашение Заявителем в установленном законом порядке не оспорено и не признано недействительным.</t>
  </si>
  <si>
    <t>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Согласно п. 46. Постановления Пленума Верховного Суда РФ от 26 декабря 2017 г. № 58 «О применении судами законодательства об обязательном страховании гражданской ответственности владельцев транспортных средств» если из документов, составленных сотрудниками полиции, невозможно установить вину застраховавшего ответственность лица в наступлении страхового случая или определить степень вины каждого из водителей - участников дорожно-транспортного происшествия, лицо, обратившееся за страховой выплатой, не лишается права на ее получение.
В таком случае страховые организации производят страховые выплаты в равных долях от размера ущерба, понесенного каждым потерпевшим (абзац четвертый пункта 22 статьи 12 Закона № 40-ФЗ.
Страховщик освобождается от обязанности уплаты неустойки, суммы финансовой санкции, штрафа и компенсации морального вреда, если обязательства по выплате страхового возмещения в равных долях от размера, понесенного каждым из водителей – участников дорожно-транспортного происшествия ущерба им исполнены.
В случае несогласия с такой выплатой лицо, получившее страховое возмещение, вправе обратиться в суд с иском о взыскании страхового возмещения в недостающей части. При рассмотрении спора суд обязан установить степень вины лиц, признанных ответственными за причиненный вред, и взыскать со страховой организации страховую выплату с учетом установленной судом степени вины лиц, гражданская ответственность которых застрахована. Обращение с самостоятельным заявлением об установлении степени вины законодательством не предусмотрено.
Согласно документам о ДТП, составленным сотрудниками ГИБДД, невозможно установить вину кого-либо из участников ДТП.</t>
  </si>
  <si>
    <r>
      <t xml:space="preserve">Согласно статье 12 Гражданского кодекса Российской Федерации (далее </t>
    </r>
    <r>
      <rPr>
        <sz val="11"/>
        <color theme="1"/>
        <rFont val="Calibri"/>
        <family val="2"/>
        <charset val="204"/>
      </rPr>
      <t>–</t>
    </r>
    <r>
      <rPr>
        <sz val="11"/>
        <color theme="1"/>
        <rFont val="Calibri"/>
        <family val="2"/>
        <charset val="204"/>
        <scheme val="minor"/>
      </rPr>
      <t xml:space="preserve">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r>
  </si>
  <si>
    <t>Частью 1 статьи 19 Закона № 123-ФЗ установлено, что финансовый уполномоченный не рассматривает обращения, в том числе, если обращение не соответствует части 1 статьи 15 Закона № 123-ФЗ.
Согласно части 1 статьи 15 Закона № 123-ФЗ финансовый уполномоченный рассматривает обращения в отношении финансовых организаций, включённых в реестр, указанный в статье 29 Закона № 123-ФЗ (в отношении финансовых услуг, которые указаны в реестре), или перечень, указанный в статье 30 Закона № 123-ФЗ, если размер требований потребителя финансовых услуг о взыскании денежных сумм не превышает 500 тысяч рублей (за исключением обращений, указанных в статье 19 Закона № 123-ФЗ либо если требования потребителя финансовых услуг вытекают из нарушения страховщиком порядка осуществления страхового возмещения, установленного Законом № 40-ФЗ, и если со дня, когда потребитель финансовых услуг узнал или должен был узнать о нарушении своего права, прошло не более трёх лет.
В соответствии с частью 2 статьи 2 Закона № 123-ФЗ под потребителем финансовых услуг понимается физическое лицо, являющееся стороной договора, либо лицо, в пользу которого заключен договор, либо лицо, которому оказывается финансовая услуга в целях, не связанных с осуществлением предпринимательской деятельности.</t>
  </si>
  <si>
    <t>Пунктом 10 статьи 12 Закона № 40-ФЗ установлено, что при причинении вреда имуществу в целях выяснения обстоятельств причинения вреда и определения размера подлежащих возмещению страховщиком убытков потерпевший, намеренный воспользоваться своим правом на страховое возмещение или прямое возмещение убытков, в течение пяти рабочих дней с даты подачи заявления о страховом возмещении и прилагаемых к нему в соответствии с правилами обязательного страхования документов обязан представить поврежденное транспортное средство или его остатки для осмотра и (или) независимой технической экспертизы, проводимой в порядке, установленном статьей 12.1 Закона № 40-ФЗ, иное имущество для осмотра и (или) независимой экспертизы (оценки), проводимой в порядке, установленном законодательством Российской Федерации с учетом особенностей, установленных Законом № 40-ФЗ.
Согласно абзацу 2 пункта 11 статьи 12 Закона № 40-ФЗ в случае непредставления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страховщик согласовывает с потерпевшим новую дату осмотра и (или) независимой технической экспертизы, независимой экспертизы (оценки) поврежденного имущества или его остатков. При этом в случае неисполнения потерпевшим установленной пунктами 10 и 13 статьи 12 Закона № 40-ФЗ обязанности представить поврежденное имущество или его остатки для осмотра и (или) независимой технической экспертизы, независимой экспертизы (оценки) срок принятия страховщиком решения о страховом возмещении, определенный в соответствии с пунктом 21 указанной статьи, может быть продлен на период, не превышающий количества дней между датой представления потерпевшим поврежденного имущества или его остатков и согласованной с потерпевшим датой осмотра и (или) независимой технической экспертизы, независимой экспертизы (оценки), но не более чем на 20 календарных дней, за исключением нерабочих праздничных дней.
В случае непредставления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потерпевший не вправе самостоятельно организовывать независимую техническую экспертизу или независимую экспертизу (оценку) на основании абзаца второго пункта 13 статьи 12 Закона № 40-ФЗ, а страховщик вправе вернуть без рассмотрения представленное потерпевшим заявление о страховом возмещении или прямом возмещении убытков вместе с документами, предусмотренными Правилами ОСАГО.
Результаты самостоятельно организованной потерпевшим независимой технической экспертизы, независимой экспертизы (оценки) поврежденного имущества или его остатков не принимаются для определения размера страхового возмещения в случае, если потерпевший не представил поврежденное имущество или его остатки для осмотра и (или) независимой технической экспертизы, независимой экспертизы (оценки) в согласованные со страховщиком даты в соответствии с абзацами первым и вторым пункта 11 статьи 12 Закона № 40-ФЗ.
В случае возврата страховщиком потерпевшему на основании абзаца четвертого пункта 11 статьи 12 Закона № 40-Ф заявления о страховом возмещении или прямом возмещении убытков вместе с документами, предусмотренными Правилами ОСАГО, установленные Законом № 40-ФЗ сроки проведения страховщиком осмотра поврежденного имущества или его остатков и (или) организации их независимой технической экспертизы, независимой экспертизы (оценки), а также сроки осуществления страховщиком страховой выплаты или выдачи потерпевшему направления на ремонт либо направления ему мотивированного отказа в страховом возмещении исчисляются со дня повторного представления потерпевшим страховщику заявления о страховом возмещении или прямом возмещении убытков вместе с документами, предусмотренными Правилами ОСАГО.
В соответствии с разъяснениями, содержащимися в пункте 31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от 26.12.2017 № 58), если страховщиком заявление о страховом возмещении или прямом возмещении убытков в соответствии с абзацем четвертым пункта 11 статьи 12 Закона № 40-ФЗ было возвращено потерпевшему, он вправе повторно обратиться к страховщику с таким заявлением, приложив документы, предусмотренные Правилами ОСАГО. При этом сроки проведения страховщиком осмотра поврежденного имущества или его остатков и (или) организации их независимой технической экспертизы, независимой экспертизы (оценки), а также сроки осуществления страховой выплаты или выдачи потерпевшему направления на ремонт либо направления ему мотивированного отказа в страховом возмещении исчисляются со дня повторного обращения (абзац шестой пункта 11 статьи 12 Закона № 40-ФЗ.</t>
  </si>
  <si>
    <t>-</t>
  </si>
  <si>
    <t>Республика Татарстан</t>
  </si>
  <si>
    <t>Камчатского края</t>
  </si>
  <si>
    <t>Иркутской области</t>
  </si>
  <si>
    <t>Кабардино-Балкарской Республики</t>
  </si>
  <si>
    <t>Калининградской области</t>
  </si>
  <si>
    <t>Калужской области</t>
  </si>
  <si>
    <t>Карачаево-Черкесской Республики</t>
  </si>
  <si>
    <t>Кемеровской области</t>
  </si>
  <si>
    <t>Кировской области</t>
  </si>
  <si>
    <t>Костромской области</t>
  </si>
  <si>
    <t>Краснодарского края</t>
  </si>
  <si>
    <t>Красноярского края</t>
  </si>
  <si>
    <t>Курганской области</t>
  </si>
  <si>
    <t>Курской области</t>
  </si>
  <si>
    <t>Ленинградской области</t>
  </si>
  <si>
    <t>Липецкой области</t>
  </si>
  <si>
    <t>Магаданской области</t>
  </si>
  <si>
    <t>Московской области</t>
  </si>
  <si>
    <t>Мурманской области</t>
  </si>
  <si>
    <t>Ненецкого автономного округа</t>
  </si>
  <si>
    <t>Нижегородской области</t>
  </si>
  <si>
    <t>Новосибирской области</t>
  </si>
  <si>
    <t>Омской области</t>
  </si>
  <si>
    <t>Новгородской области</t>
  </si>
  <si>
    <t>Оренбургской области</t>
  </si>
  <si>
    <t>Орловской области</t>
  </si>
  <si>
    <t>Пензенской области</t>
  </si>
  <si>
    <t>Приморского края</t>
  </si>
  <si>
    <t>Псковской области</t>
  </si>
  <si>
    <t>Республики Алтай</t>
  </si>
  <si>
    <t>Республики Башкортостан</t>
  </si>
  <si>
    <t>Республики Бурятия</t>
  </si>
  <si>
    <t>Республики Дагестан</t>
  </si>
  <si>
    <t>Республики Ингушетия</t>
  </si>
  <si>
    <t>Республики Калмыкия</t>
  </si>
  <si>
    <t>Республики Карелия</t>
  </si>
  <si>
    <t>Республики Коми</t>
  </si>
  <si>
    <t>Республики Крым</t>
  </si>
  <si>
    <t>Республики Марий Эл</t>
  </si>
  <si>
    <t>Республики Мордовия</t>
  </si>
  <si>
    <t>Республики Саха (Якутия)</t>
  </si>
  <si>
    <t>Республики Северная Осетия - Алания</t>
  </si>
  <si>
    <t>Республики Татарстан</t>
  </si>
  <si>
    <t>Республики Тыва</t>
  </si>
  <si>
    <t>Республики Хакасия</t>
  </si>
  <si>
    <t>Ростовской области</t>
  </si>
  <si>
    <t>Рязанской области</t>
  </si>
  <si>
    <t>Самарской области</t>
  </si>
  <si>
    <t>Саратовской области</t>
  </si>
  <si>
    <t>Сахалинской области</t>
  </si>
  <si>
    <t>Свердловской области</t>
  </si>
  <si>
    <t>Смоленской области</t>
  </si>
  <si>
    <t>Ставропольского края</t>
  </si>
  <si>
    <t>Тамбовской области</t>
  </si>
  <si>
    <t>Тверской области</t>
  </si>
  <si>
    <t>Томской области</t>
  </si>
  <si>
    <t>Тульской области</t>
  </si>
  <si>
    <t>Тюменской области</t>
  </si>
  <si>
    <t>Удмуртской Республики</t>
  </si>
  <si>
    <t>Ульяновской области</t>
  </si>
  <si>
    <t>Хабаровского края</t>
  </si>
  <si>
    <t>Ханты-Мансийского автономного округа - Югра</t>
  </si>
  <si>
    <t>Челябинской области</t>
  </si>
  <si>
    <t>Чеченской Республики</t>
  </si>
  <si>
    <t>Чувашской Республики</t>
  </si>
  <si>
    <t>Чукотского автономного округа</t>
  </si>
  <si>
    <t>Ямало-Ненецкого автономного округа</t>
  </si>
  <si>
    <t>Ярославской области</t>
  </si>
  <si>
    <t>- каковы обстоятельства ДТП, в результате которого повреждено ТС и причины повреждений, обнаруженных на рассматриваемом ТС;
- какие повреждения ТС относятся к рассматриваемому ДТП;
- какие технологии и методы восстановительного ремонта применимы к повреждениям, относящимся к ДТП;
- какой размер расходов на восстановительный ремонт ТС с учётом износа запасных частей и без такового, относящийся к ДТП, в соответствии с расценками установленными правилами страхования КАСКО? (на основании имеющихся актов осмотра и актов согласования скрытых дефектов с СТОА);
- какова стоимость ТС в неповреждённом состоянии на момент ДТП</t>
  </si>
  <si>
    <t>КАСКО (без УТС)</t>
  </si>
  <si>
    <t>КАСКО (с УТС)</t>
  </si>
  <si>
    <t>- каковы обстоятельства ДТП, в результате которого повреждено Транспортного средства и причины повреждений, обнаруженных на рассматриваемом Транспортном средстве
- какие повреждения Транспортного средства относятся к рассматриваемому ДТП;
- какие технологии и методы восстановительного ремонта применимы к повреждениям, относящимся к ДТП;
- какой размер расходов на восстановительный ремонт Транспортного средства с учётом износа запасных частей и без такового, относящийся к ДТП, в соответствии с расценками установленными правилами страхования КАСКО (на основании имеющихся актов осмотра и актов согласования скрытых дефектов с СТОА);
- какова стоимость Транспортного средства в неповреждённом состоянии на момент ДТП;
- какова величина утраты товарной стоимости (УТС) Транспортного средства</t>
  </si>
  <si>
    <t>Отписано. Загрузить. Хочет расходы на НТЭ после 01.06.2019 и неустойку</t>
  </si>
  <si>
    <t>614066, Пермский край, г. Пермь, ш. Космонавтов, д. 111, оф. 111</t>
  </si>
  <si>
    <t>Предоставил ТС на осмотр в отремонтированном состоянии. Долго устанавливал вину в судебном порядке.</t>
  </si>
  <si>
    <t>Наехал на собаку. ФО выдала направление на дефектовку. Добавить мотивировку взыскание после невыдачи направления на ремонт по КАСКО</t>
  </si>
  <si>
    <t>125040, г. Москва, ул. Скаковая, д. 17 стр. 2</t>
  </si>
  <si>
    <t>ПАО «МСЦ»</t>
  </si>
  <si>
    <t>Неустойка 1% после суда (неустойка взыскана частично)</t>
  </si>
  <si>
    <t>НЕУСТОЙКА (ПОСЛЕ СУДА)</t>
  </si>
  <si>
    <t>Согласно статье 12 Гражданского кодекса Российской Федерации (далее – ГК РФ) взыскание неустойки является одним из способов защиты нарушенного гражданского права.
По смыслу статьи 330 ГК РФ неустойкой (штрафом, пеней) признается определенная законом или договором денежная сумма, которую должник обязан уплатить кредитору в случае неисполнения или ненадлежащего исполнения обязательства, в частности в случае просрочки исполнения. По требованию об уплате неустойки кредитор не обязан доказывать причинение ему убытков.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В пункте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указано, что неустойка исчисляется со дня, следующего за днем, установленным для принятия решения о выплате страхового возмещения, то есть с 21-го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</si>
  <si>
    <t>вынесено решение о взыскании с</t>
  </si>
  <si>
    <t>суммы страхового возмещения в размере</t>
  </si>
  <si>
    <t>, неустойки за несоблюдение срока выплаты страхового возмещения по договору ОСАГО за период с</t>
  </si>
  <si>
    <t>Указанное решение суда было исполнено в полном объеме</t>
  </si>
  <si>
    <t>Таким образом, с</t>
  </si>
  <si>
    <t>подлежит взысканию неустойка на сумму страхового возмещения в размере</t>
  </si>
  <si>
    <t>, взысканную по решению суда, за период с</t>
  </si>
  <si>
    <t>×</t>
  </si>
  <si>
    <t>на расчетный счет Заявителя была произведена выплата неустойки за несоблюдение срока выплаты страхового возмещения по договору ОСАГО в размере</t>
  </si>
  <si>
    <t>(включительно) в размере</t>
  </si>
  <si>
    <t>В соответствии с требованиями, установленными пунктом 21 статьи 12 Закона № 40-ФЗ, размер неустойки, подлежащий взысканию за период с</t>
  </si>
  <si>
    <t>Учитывая вышеизложенное, требование Заявителя о взыскании неустойки за несоблюдение срока выплаты страхового возмещения по Договору ОСАГО подлежит удовлетворению в размере</t>
  </si>
  <si>
    <t>Отписано. Неустойка после суда с добровольной оплатой</t>
  </si>
  <si>
    <t>Иное Комплекс</t>
  </si>
  <si>
    <t>Иное Траса</t>
  </si>
  <si>
    <t>Еще не пришла. Комплексная. Документов от ФО нет. ФО предоставила документы только 13.11.2019 и 14.11.2019</t>
  </si>
  <si>
    <t>НЕ ПРЕДОСТАВИЛ НА ОСМОТР</t>
  </si>
  <si>
    <t>ОТКАЗ (НЕ ПРЕДОСТАВИЛ НА ОСМОТР)</t>
  </si>
  <si>
    <t>В соответствии с пунктом 1 статьи 1064 Гражданского кодекса Российской Федерации (далее – ГК РФ) вред, причиненный личности или имуществу гражданина, а также вред, причиненный имуществу юридического лица, подлежит возмещению в полном объеме лицом, причинившим вред.
Согласно части 4 статьи 931 ГК РФ в случае, когда ответственность за причинение вреда застрахована в силу того, что ее страхование обязательно, а также в других случаях, предусмотренных законом или договором страхования такой ответственности, лицо, в пользу которого считается заключенным договор страхования, вправе предъявить непосредственно страховщику требование о возмещении вреда в пределах страховой суммы.
В соответствии с абзацем 11 статьи 1 Закона № 40-ФЗ под страховым случаем понимается наступление гражданской ответственности страхователя, иных лиц, риск ответственности которых застрахован по договору обязательного страхования, за причинение вреда жизни, здоровью или имуществу потерпевших при использовании транспортного средства, которое влечет за собой обязанность страховщика произвести страховую выплату.
При предъявлении требования о страховой выплате факт наступления страхового случая подлежит доказыванию, бремя доказывания этого факта лежит на лице, предъявившем требование о страховой выплате, при этом страховщик вправе доказывать, что имели место обстоятельства, освобождающие его от обязанности произвести страховую выплату.
В соответствии с пунктом 10 статьи 12 Закона № 40-ФЗ при причинении вреда имуществу в целях выяснения обстоятельств причинения вреда и определения размера подлежащих возмещению страховщиком убытков потерпевший, намеренный воспользоваться своим правом на страховое возмещение или прямое возмещение убытков, в течение пяти рабочих дней с даты подачи заявления о страховом возмещении и прилагаемых к нему в соответствии с правилами обязательного страхования документов обязан представить поврежденное транспортное средство или его остатки для осмотра и (или) независимой технической экспертизы, проводимой в порядке, установленном статьей 12.1 Закона № 40-ФЗ, иное имущество для осмотра и (или) независимой экспертизы (оценки), проводимой в порядке, установленном законодательством Российской Федерации с учетом особенностей, установленных Законом № 40-ФЗ.
Согласно пункту 11 статьи 12 Закона № 40-ФЗ страховщик обязан осмотреть поврежденное транспортное средство, иное имущество или его остатки и (или) организовать их независимую техническую экспертизу, независимую экспертизу (оценку) в срок не более чем пять рабочих дней со дня поступления заявления о страховом возмещении или прямом возмещении убытков с приложенными документами, предусмотренными Правилами ОСАГО.
В пунктах 20, 31, 32 Постановления Пленума Верховного Суда Российской Федерации от 26.12.2017 года N 58 «О применении судами законодательства об обязательном страховании гражданской ответственности владельцев транспортных средств» разъяснено, что при наступлении страхового случая потерпевший обязан не только уведомить об этом страховщика в сроки, установленные Правилами страхования, но и направить страховщику заявление о страховой выплате и документы, предусмотренные Правилами страхования (пункт 3 статьи 11 Закона № 40-ФЗ), а также представить на осмотр поврежденное в результате дорожно-транспортного происшествия транспортное средство и/или иное поврежденное имущество (пункт 10 статьи 12 Закона № 40-ФЗ).
Если потерпевшим не представлено поврежденное имущество или его остатки для осмотра и (или) независимой технической экспертизы, независимой экспертизы (оценки) в согласованную со страховщиком дату, страховщик согласовывает с потерпевшим новую дату осмотра и (или) независимой технической экспертизы, независимой экспертизы (оценки) поврежденного имущества или его остатков.
При повторном непредставлении потерпевшим поврежденного имущества или его остатков для осмотра и (или) независимой технической экспертизы, независимой экспертизы (оценки) в согласованную со страховщиком дату страховщик вправе вернуть без рассмотрения представленное потерпевшим заявление о страховом возмещении или прямом возмещении убытков вместе с документами, предусмотренными Правилами ОСАГО (абзац четвертый пункта 11 статьи 12 Закона № 40-ФЗ).
Если потерпевший повторно не представил поврежденное имущество или его остатки для осмотра и (или) независимой технической экспертизы, независимой экспертизы (оценки) в согласованные со страховщиком даты, результаты самостоятельно организованной потерпевшим независимой технической экспертизы, независимой экспертизы (оценки) поврежденного имущества или его остатков не принимаются для определения размера страхового возмещения (абзац пятый пункта 11 статьи 12 Закона № 40-ФЗ).</t>
  </si>
  <si>
    <t>документов не следует, что Заявителем была исполнена обязанность по представлению Транспортного средства на осмотр.</t>
  </si>
  <si>
    <t>Таким образом у</t>
  </si>
  <si>
    <t>отсутствуют правовые основания для осуществления страхового возмещения, а требование Заявителя о взыскании страхового возмещения удовлетворению не подлежит.</t>
  </si>
  <si>
    <t>В удовлетворении остальной части требований отказать</t>
  </si>
  <si>
    <t>Ущерб здоровью ОСАГО</t>
  </si>
  <si>
    <t>Ущерб жизни ОСАГО</t>
  </si>
  <si>
    <t>страхового возмещения вследствие причинения вреда здоровью по договору ОСАГО</t>
  </si>
  <si>
    <t>страхового возмещения вследствие причинения вреда жизни по договору ОСАГО</t>
  </si>
  <si>
    <t>страхового возмещения вследствие причинения вреда здоровью по договору ОСАГО в размере</t>
  </si>
  <si>
    <t>страхового возмещения вследствие причинения вреда жизни по договору ОСАГО в размере</t>
  </si>
  <si>
    <t>страховое возмещение вследствие причинения вреда здоровью по договору ОСАГО в размере</t>
  </si>
  <si>
    <t>страховое возмещение вследствие причинения вреда жизни по договору ОСАГО в размере</t>
  </si>
  <si>
    <t>были причинены телесные повреждения Заявителю, являющейся пассажиром транспортного средства</t>
  </si>
  <si>
    <t>под управлением</t>
  </si>
  <si>
    <t>Бредова Ольга Викторовна</t>
  </si>
  <si>
    <t>Пришла. Комплекс. Выдали направление на ремонт, но почтового доказательства нет. Также нужно проверить стоимость ремонта, т.к. по экспертизе Заявителя она превышает 400000</t>
  </si>
  <si>
    <t>https://smp.sfurf.office/sd/operator/#uuid:serviceCall$61785439</t>
  </si>
  <si>
    <t>https://smp.sfurf.office/sd/operator/#uuid:serviceCall$61785459</t>
  </si>
  <si>
    <t>https://smp.sfurf.office/sd/operator/#uuid:serviceCall$61785480</t>
  </si>
  <si>
    <t>https://smp.sfurf.office/sd/operator/#uuid:serviceCall$61785482</t>
  </si>
  <si>
    <t>Просит УТС, но не обращался с заявлением, а только с претензией.</t>
  </si>
  <si>
    <t>Добровольное исполнение. Отказ в части расходов на юриста, нотариуса и почту</t>
  </si>
  <si>
    <t>Пришла. Комплекс, рыночная, годники, медицинская. Здоровье, ТОТАЛ</t>
  </si>
  <si>
    <t>Отписано, нужно дождаться платежек от РГС и вставить в текст. Ждем платежек, если есть, то отказ в связи с добровольным исполнением, если нет, то в НТЭ. Заявитель просит выплату в счет причинения вреда здоровью по обоим полисам виновников (оба в РГС). РГС по одному выплату произвела, по второму говорит, что произведет, но платежек пока нет.</t>
  </si>
  <si>
    <t>Отписано. ПП пришла. Ждем платежку от ФО на сумму 54800. РЕСО обещали прислать. НТЭ Пришла. Комплекс</t>
  </si>
  <si>
    <t>ООО «СК «СЕРВИСРЕЗЕРВ»</t>
  </si>
  <si>
    <t>601901, Владимирская обл., г. Ковров, ул. Чернышевского, д. 17</t>
  </si>
  <si>
    <t>ПРЕКРАЩЕНИЕ (НЕ СОБЛЮДЕН ДОСУДЕБНЫЙ ПОРЯДОК)</t>
  </si>
  <si>
    <t>В соответствии с пунктом 1 статьи 16.1 Закона № 40-ФЗ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Согласно пункту 5 части 1 статьи 17 Закона № 123-ФЗ обращение направляется в письменной или электронной форме и включает в себя сведения о направлении заявления в финансовую организацию, наличии ее ответа.
Таким образом,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установленном законом порядке. При направлении заявления в финансовую организацию следует учитывать, что финансовым уполномоченным подлежат рассмотрению требования имущественного характера, которые содержались в направленном финансовой организации заявлении.</t>
  </si>
  <si>
    <t>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t>
  </si>
  <si>
    <t>ПРЕКРАЩЕНИЕ (НЕ ЗАЯВЛЯЛ УТС ПРИ ОБРАЩЕНИИ)</t>
  </si>
  <si>
    <t>Филиппов Владислав Дмитриевич</t>
  </si>
  <si>
    <t>https://smp.sfurf.office/sd/operator/#uuid:serviceCall$62466995</t>
  </si>
  <si>
    <t>https://smp.sfurf.office/sd/operator/#uuid:serviceCall$62649507</t>
  </si>
  <si>
    <t>420061, Республика Татарстан, г. Казань, ул. Николая Ершова, д. 18</t>
  </si>
  <si>
    <t>ПРЕКРАЩЕНИЕ (БЫЛ СУД)</t>
  </si>
  <si>
    <t>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Пунктом 3 части 1 статьи 19 Закона № 123-ФЗ установлено, что Финансовый уполномоченный не рассматривает обращения, если в суде, третейском суде имеется либо рассмотрено дело по спору между теми же сторонами, о том же предмете и по тем же основаниям.</t>
  </si>
  <si>
    <t>Согласно информации, предоставленной</t>
  </si>
  <si>
    <t>об удовлетворении исковых требований Заявителя о взыскании с</t>
  </si>
  <si>
    <t>об отказе в удовлетворении исковых требований Заявителя о взыскании с</t>
  </si>
  <si>
    <t>по факту причинения вреда Транспортному средству Заявителя в результате ДТП от</t>
  </si>
  <si>
    <t>Учитывая вышеизложенное, рассмотрение Обращения подлежит прекращению Финансовым уполномоченным.</t>
  </si>
  <si>
    <t>по делу №</t>
  </si>
  <si>
    <t>, что также подтверждается информацией с официального сайта суда</t>
  </si>
  <si>
    <t>ООО «Зетта Страхование»</t>
  </si>
  <si>
    <t>121087, г. Москва, пр-д Багратионовский, д. 7, корп. 11</t>
  </si>
  <si>
    <t>Должна прийти 20.11.2019. Пришел ответ о том, что не удалось связаться с Заказчиком. Созвонились со Стариковым, решили направить на новый круг и сделать рецензию имеющегося заключения ЗАказчика. Поставить вопросы о том, правильная ли экспертиза и возможно ли по приложенным материалам составить новое заключение. Комплексная + УТС + Трасса (есть спор по элементам). Ушла на повторную экспертизу. Приостановить повторно. Выплата в срок в пределах статистической пограшности.</t>
  </si>
  <si>
    <t>Пришла. Комплекс. Недоплата страхового возмещения. Сам НТЭ не проводил. Просил только ущерб</t>
  </si>
  <si>
    <t>Пришла. Комплекс. СТОА отказалось делать ремонт, т.к. не укладывалась в 30дневный срок. Перечислили часть деньгами</t>
  </si>
  <si>
    <t>https://smp.sfurf.office/sd/operator/#uuid:serviceCall$62649558</t>
  </si>
  <si>
    <t>https://smp.sfurf.office/sd/operator/#uuid:serviceCall$62649573</t>
  </si>
  <si>
    <t>АО СК «Сибирский спас»</t>
  </si>
  <si>
    <t>654007, г. Новокузнецк, пр. Кузнецкстроевский, 13</t>
  </si>
  <si>
    <t>У-19-39984</t>
  </si>
  <si>
    <t>https://smp.sfurf.office/sd/operator/#uuid:serviceCall$42559460</t>
  </si>
  <si>
    <t>Шабанов Георгий Тамазиевич</t>
  </si>
  <si>
    <t>У-19-55899</t>
  </si>
  <si>
    <t>https://smp.sfurf.office/sd/operator/#uuid:serviceCall$62093576</t>
  </si>
  <si>
    <t>Судницына Дарья Игоревна</t>
  </si>
  <si>
    <t>Больше 3х лет. Обратилась с заявлением 27.09.2019, срок вышел 18.10.2019, к ФУ только 28.10.2019</t>
  </si>
  <si>
    <t>ОБОСНОВАНИЕ (ПЕРЕХОД С НАТУРАЛЬНОЙ НА ДЕНЕЖНУЮ ФОРМЕ ОБОСНОВАН)  - РАССТОЯНИЕ ДО СТОА БОЛЕЕ 50 КМ</t>
  </si>
  <si>
    <t>Пунктом 15.1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(за исключением случаев, установленных пунктом 16.1 Закона № 40-ФЗ) в соответствии с пунктом 15.2 Закона № 40-ФЗ или в соответствии с пунктом 15.3 Закона № 40-ФЗ путем организации и (или) оплаты восстановительного ремонта поврежденного транспортного средства потерпевшего (возмещение причиненного вреда в натуре).
Согласно абзацу 3 пункта 15.2 статьи 12 Закона № 40-ФЗ одним из требований к организации восстановительного ремонта является в том числе критерий доступности для потерпевшего места проведения восстановительного ремонта поврежденного транспортного средства (при этом по выбору потерпевшего максимальная длина маршрута, проложенного по дорогам общего пользования, от места дорожно-транспортного происшествия или места жительства потерпевшего до станции технического обслуживания не может превышать 50 километров, за исключением случая, если страховщик организовал и (или) оплатил транспортировку поврежденного транспортного средства до места проведения восстановительного ремонта и обратно).
В соответствии с абзацем 6 пункта 15.2 статьи 12 Закона № 40-ФЗ в случае, если ни одна из станций, с которыми у страховщика заключены договоры на организацию восстановительного ремонта, не соответствует установленным правилами обязательного страхования требованиям к организации восстановительного ремонта в отношении конкретного потерпевшего, страховщик с согласия потерпевшего в письменной форме может выдать потерпевшему направление на ремонт на одну из таких станций. В случае отсутствия указанного согласия возмещение вреда, причиненного транспортному средству, осуществляется в форме страховой выплаты.
Пунктом 16.1 пункта 15.2 статьи 12 Закона № 40-ФЗ установлено, что страховое возмещение вреда, причиненного легковому автомобилю, находящемуся в собственности гражданина и зарегистрированному в Российской Федерации, осуществляется путем выдачи суммы страховой выплаты потерпевшему (выгодоприобретателю) в кассе страховщика или перечисления суммы страховой выплаты на банковский счет потерпевшего (выгодоприобретателя) (наличный или безналичный расчет) в случае выбора потерпевшим возмещения вреда в форме страховой выплаты в соответствии с абзацем шестым пункта 15.2 статьи 12 Закона № 40-ФЗ.</t>
  </si>
  <si>
    <t>Как установлено Финансовым уполномоченным, Заявитель зарегистрирован по месту жительства по адресу: 352847, Краснодарский край, Туапсинский р-н, с. Лермонтово, ул. Зеленая, д. 14.
При этом, согласно направлению на ремонт, выданному АО «ГСК «Югория», СТОА находится по следующему адресу: 350007, г. Краснодар, ул. Воронежская, д. 118.
Согласно данным Яндекс-сервиса длина маршрута, проложенного по дорогам общего пользования от места жительства потерпевшего до СТОА превышает 50 километров.
23.08.2019 Заявитель обратился в АО «ГСК «Югория» с заявлением о смене формы страхового возмещения с натуральной на денежную.
Таким образом, Финансовый уполномоченный приходит к выводу о наличии оснований для выплаты страхового возмещения в денежной форме.</t>
  </si>
  <si>
    <t>После НТЭ ФУ. Обоснование смена формы обоснована, т.к. ННР выдали на СТОА, которое расположено на расстоянии более 50 км до места жительства Заявителя.</t>
  </si>
  <si>
    <t>Юрист</t>
  </si>
  <si>
    <t>Составление претензии</t>
  </si>
  <si>
    <t>Экспертиза по УТС</t>
  </si>
  <si>
    <t>Экспертиза по ущербу</t>
  </si>
  <si>
    <t>https://smp.sfurf.office/sd/operator/#uuid:serviceCall$62649568</t>
  </si>
  <si>
    <t>https://smp.sfurf.office/sd/operator/#uuid:serviceCall$62649576</t>
  </si>
  <si>
    <t>https://smp.sfurf.office/sd/operator/#uuid:serviceCall$62649582</t>
  </si>
  <si>
    <t>https://smp.sfurf.office/sd/operator/#uuid:serviceCall$62649586</t>
  </si>
  <si>
    <t>Просит без износа, ФО оплатила по НТЭ Заявителя с учетом износа</t>
  </si>
  <si>
    <t>В соответствии с абзацем 2 пункта 19 статьи 12 Закона № 40-ФЗ Размер расходов на запасные части определяется с учетом износа комплектующих изделий (деталей, узлов и агрегатов), подлежащих замене при восстановительном ремонте.
Таким образом, надлежащий размер страхового возмещения определяется исходя из стоимости восстановительного ремонта Транспортного средства с учетом износа комплектующих изделий и составляет</t>
  </si>
  <si>
    <t>Неустойка. Нет документов от ФО</t>
  </si>
  <si>
    <t>Технические значки</t>
  </si>
  <si>
    <t>(включительно) составляет</t>
  </si>
  <si>
    <t>ВРЕД ЖИЗНИ (ВЫПЛАТА ПО ВТОРОМУ ПОЛИСУ)</t>
  </si>
  <si>
    <t>Жизнь</t>
  </si>
  <si>
    <t>(далее – ДТП), вследствие столкновения транспортных средств</t>
  </si>
  <si>
    <t>, под управлением</t>
  </si>
  <si>
    <t>, причинен вред жизни</t>
  </si>
  <si>
    <t>(далее - Потерпевший)</t>
  </si>
  <si>
    <t>Виновным в совершении ДТП признан водитель</t>
  </si>
  <si>
    <t>Виновной в совершении ДТП признана водитель</t>
  </si>
  <si>
    <t>Согласно свидетельству о рождении серия</t>
  </si>
  <si>
    <t>(далее - Потерпевшая)</t>
  </si>
  <si>
    <t>с заявлением о страховом возмещении по Договору ОСАГО в связи с причинением вреда жизни</t>
  </si>
  <si>
    <t>На основании вышеизложенного, доводы</t>
  </si>
  <si>
    <t>о том, что в соответствии с пунктом 9.1 статьи 12 Закона № 40-ФЗ общий размер страховой выплаты, осуществленный страховщиками не может превышать размер страховой суммы, предусмотренный подпунктом «а» статьи 7 Закона № 40-ФЗ, являются несостоятельными, поскольку указанная норма Закона № 40-ФЗ была введена Федеральным законом от 01.05.2019 № 88-ФЗ «О внесении изменений в отдельные законодательные акты Российской Федерации» и не действовала на дату заключения Договора ОСАГО.
В соответствии с пунктом 7 статьи 12 Закона № 40-ФЗ, размер страховой выплаты за причинение вреда жизни потерпевшего составляет 475 000 рублей 00 копеек – выгодоприобретателям, указанным в пункте 6 статьи 12 Закона № 40-ФЗ.
В соответствии с пунктом 6 статьи 12 Закона № 40-ФЗ, в случае смерти потерпевшего право на возмещение вреда имеют лица, имеющие право в соответствии с гражданским законодательством на возмещение вреда в случае смерти кормильца, при отсутствии таких лиц – супруг, родители, дети потерпевшего, граждане, у которых потерпевший находился на иждивении, если он не имел самостоятельного дохода (выгодоприобретатели).</t>
  </si>
  <si>
    <t>Как установлено Финансовым уполномоченным, Заявитель является</t>
  </si>
  <si>
    <t>Таким образом, требования Заявителя о взыскании страхового возмещения в связи с причинением вреда жизни</t>
  </si>
  <si>
    <t>подлежат удовлетворению в размере</t>
  </si>
  <si>
    <t>и, соответственно, лицом, имеющим право на получение страхового возмещение в случае смерти</t>
  </si>
  <si>
    <t>, что подтверждается свидетельством о смерти серия</t>
  </si>
  <si>
    <t>Родство</t>
  </si>
  <si>
    <t>Потерпевший</t>
  </si>
  <si>
    <t>Потерпевшего</t>
  </si>
  <si>
    <t>Потерпевшей</t>
  </si>
  <si>
    <t>СоР</t>
  </si>
  <si>
    <t>Заявитель является</t>
  </si>
  <si>
    <t>СоС</t>
  </si>
  <si>
    <t>Вред жизни, выплата по второму полису</t>
  </si>
  <si>
    <t>Пришла. Относятся. Трасология</t>
  </si>
  <si>
    <t>Пришла. Комплекс, УТС</t>
  </si>
  <si>
    <t>Прекращение</t>
  </si>
  <si>
    <t>Коммерческий транспорт</t>
  </si>
  <si>
    <t>Нет документов</t>
  </si>
  <si>
    <t>Возврат документов ФО</t>
  </si>
  <si>
    <t>Есть решение суда</t>
  </si>
  <si>
    <t>Добровольное исполнение</t>
  </si>
  <si>
    <t>Не предоставил на осмотр</t>
  </si>
  <si>
    <t>Подписано соглашение</t>
  </si>
  <si>
    <t>документов, направления на осмотр Транспортного средства дважды направлялись Заявителю, однако Транспортное средство на осмотр предоставлено не было, в связи чем полученный комплект документов был возвращен Заявителю.
Повторное заявление о выплате страхового возмещения Заявителем в адрес</t>
  </si>
  <si>
    <t>не направлялось, Транспортное средство на осмотр не предоставлялось.
В связи с чем, Финансовый уполномоченный приходит к выводу, что обязанность по предоставлению Транспортного средства на осмотр не исполнена Заявителем намеренно, с целью лишения</t>
  </si>
  <si>
    <t>права на оценку ущерба и исполнения обязанностей, возложенных на него Законом № 40-ФЗ. Следовательно, возврат комплекта документов осуществлен</t>
  </si>
  <si>
    <t>заявления (претензии в порядке части 1 статьи 16 Закона № 123-ФЗ) не имеет правого значения, поскольку до обращения к страховщику ОСАГО в установленном порядке возникновение разногласий невозможно, следовательно, отсутствовали основания для направления заявления в порядке части 1 статьи 16 Закона № 123-ФЗ.
Факта уклонения</t>
  </si>
  <si>
    <t>Как следует из предоставленных Заявителем и</t>
  </si>
  <si>
    <t>от выполнения своих обязательств по Договору ОСАГО по урегулированию страхового случая и выплате страхового возмещения Финансовым уполномоченным не усматривается.
Согласно пункту 1 части 1 статьи 27 Закона № 123-ФЗ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Частью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Учитывая изложенное, рассмотрение Обращения подлежит прекращению Финансовым уполномоченным.</t>
  </si>
  <si>
    <t>на законном основании.
По смыслу пункта 10 статьи 12 Закона № 40-ФЗ, обязанность по выплате страхового возмещения возникает у страховщика не ранее предоставления потерпевшим заявления о страховом возмещении и документов, прилагаемых к нему в соответствии с Правилами ОСАГО, а также предоставления поврежденного Транспортного средства.
Согласно абзацу 1 пункта 1 статьи 16.1 Закона № 40-ФЗ до предъявления к страховщику иска, содержащего требование об осуществлении страхового возмещения, потерпевший обязан обратиться к страховщику с заявлением, содержащим требование о страховом возмещении или прямом возмещении убытков, с приложенными к нему документами, предусмотренными Правилами ОСАГО.
На дату вынесения решения Финансовым уполномоченным сведения о повторном обращении Заявителя в</t>
  </si>
  <si>
    <t>с заявлением о выплате страхового возмещения с предоставлением полного комплекта документов отсутствуют.
При этом в силу абзаца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Финансовая организация обязана рассмотреть заявление потребителя финансовых услуг и направить ему мотивированный ответ об удовлетворении, частичном удовлетворении или отказе в удовлетворении предъявленного требования.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Таким образом, процесс досудебного урегулирования, в том числе в части обращения в финансовую организацию с заявлением в порядке, установленном статьей 16 Закона № 123-ФЗ, возможен только после обращения потерпевшего в рамках ОСАГО с заявлением, содержащим требование о страховом возмещении или прямом возмещении убытков, с приложенными к нему документами, предусмотренными Правилами ОСАГО (первоначальным заявлением) и возникновения разногласий между страховщиком и потерпевшим.
По указанной причине направление Заявителем в</t>
  </si>
  <si>
    <r>
      <rPr>
        <sz val="11"/>
        <color rgb="FFFF0000"/>
        <rFont val="Calibri"/>
        <family val="2"/>
        <charset val="204"/>
        <scheme val="minor"/>
      </rPr>
      <t>31.05.2019 АО «ГСК «Югория»</t>
    </r>
    <r>
      <rPr>
        <sz val="11"/>
        <color theme="1"/>
        <rFont val="Calibri"/>
        <family val="2"/>
        <charset val="204"/>
        <scheme val="minor"/>
      </rPr>
      <t xml:space="preserve"> направило Заявителю </t>
    </r>
    <r>
      <rPr>
        <sz val="11"/>
        <color rgb="FFFF0000"/>
        <rFont val="Calibri"/>
        <family val="2"/>
        <charset val="204"/>
        <scheme val="minor"/>
      </rPr>
      <t>письмо № 06 07/903</t>
    </r>
    <r>
      <rPr>
        <sz val="11"/>
        <color theme="1"/>
        <rFont val="Calibri"/>
        <family val="2"/>
        <charset val="204"/>
        <scheme val="minor"/>
      </rPr>
      <t xml:space="preserve"> с приложением направления на осмотр № </t>
    </r>
    <r>
      <rPr>
        <sz val="11"/>
        <color rgb="FFFF0000"/>
        <rFont val="Calibri"/>
        <family val="2"/>
        <charset val="204"/>
        <scheme val="minor"/>
      </rPr>
      <t>012/19-48-002826 от 30.05.2019</t>
    </r>
    <r>
      <rPr>
        <sz val="11"/>
        <color theme="1"/>
        <rFont val="Calibri"/>
        <family val="2"/>
        <charset val="204"/>
        <scheme val="minor"/>
      </rPr>
      <t xml:space="preserve"> в </t>
    </r>
    <r>
      <rPr>
        <sz val="11"/>
        <color rgb="FFFF0000"/>
        <rFont val="Calibri"/>
        <family val="2"/>
        <charset val="204"/>
        <scheme val="minor"/>
      </rPr>
      <t>ООО «МЭТР»</t>
    </r>
    <r>
      <rPr>
        <sz val="11"/>
        <color theme="1"/>
        <rFont val="Calibri"/>
        <family val="2"/>
        <charset val="204"/>
        <scheme val="minor"/>
      </rPr>
      <t xml:space="preserve">, что подтверждается списком внутренних почтовых отправлений № </t>
    </r>
    <r>
      <rPr>
        <sz val="11"/>
        <color rgb="FFFF0000"/>
        <rFont val="Calibri"/>
        <family val="2"/>
        <charset val="204"/>
        <scheme val="minor"/>
      </rPr>
      <t>67 от 31.05.2019</t>
    </r>
    <r>
      <rPr>
        <sz val="11"/>
        <color theme="1"/>
        <rFont val="Calibri"/>
        <family val="2"/>
        <charset val="204"/>
        <scheme val="minor"/>
      </rPr>
      <t xml:space="preserve"> (почтовый идентификатор № </t>
    </r>
    <r>
      <rPr>
        <sz val="11"/>
        <color rgb="FFFF0000"/>
        <rFont val="Calibri"/>
        <family val="2"/>
        <charset val="204"/>
        <scheme val="minor"/>
      </rPr>
      <t>80085035166644).</t>
    </r>
    <r>
      <rPr>
        <sz val="11"/>
        <color theme="1"/>
        <rFont val="Calibri"/>
        <family val="2"/>
        <charset val="204"/>
        <scheme val="minor"/>
      </rPr>
      <t xml:space="preserve">
</t>
    </r>
    <r>
      <rPr>
        <sz val="11"/>
        <color rgb="FFFF0000"/>
        <rFont val="Calibri"/>
        <family val="2"/>
        <charset val="204"/>
        <scheme val="minor"/>
      </rPr>
      <t>05.06.2019 АО «ГСК «Югория»</t>
    </r>
    <r>
      <rPr>
        <sz val="11"/>
        <color theme="1"/>
        <rFont val="Calibri"/>
        <family val="2"/>
        <charset val="204"/>
        <scheme val="minor"/>
      </rPr>
      <t xml:space="preserve"> повторно направило Заявителю письмо №</t>
    </r>
    <r>
      <rPr>
        <sz val="11"/>
        <color rgb="FFFF0000"/>
        <rFont val="Calibri"/>
        <family val="2"/>
        <charset val="204"/>
        <scheme val="minor"/>
      </rPr>
      <t xml:space="preserve"> 06 07/947</t>
    </r>
    <r>
      <rPr>
        <sz val="11"/>
        <color theme="1"/>
        <rFont val="Calibri"/>
        <family val="2"/>
        <charset val="204"/>
        <scheme val="minor"/>
      </rPr>
      <t xml:space="preserve">, с приложением направления на осмотр № </t>
    </r>
    <r>
      <rPr>
        <sz val="11"/>
        <color rgb="FFFF0000"/>
        <rFont val="Calibri"/>
        <family val="2"/>
        <charset val="204"/>
        <scheme val="minor"/>
      </rPr>
      <t>012/19-48-002826 от 30.05.2019 в ООО «МЭТР»</t>
    </r>
    <r>
      <rPr>
        <sz val="11"/>
        <color theme="1"/>
        <rFont val="Calibri"/>
        <family val="2"/>
        <charset val="204"/>
        <scheme val="minor"/>
      </rPr>
      <t xml:space="preserve">, что подтверждается почтовыми конвертами (почтовые идентификаторы </t>
    </r>
    <r>
      <rPr>
        <sz val="11"/>
        <color rgb="FFFF0000"/>
        <rFont val="Calibri"/>
        <family val="2"/>
        <charset val="204"/>
        <scheme val="minor"/>
      </rPr>
      <t>№ 35093137843875 и № 35093137843882</t>
    </r>
    <r>
      <rPr>
        <sz val="11"/>
        <color theme="1"/>
        <rFont val="Calibri"/>
        <family val="2"/>
        <charset val="204"/>
        <scheme val="minor"/>
      </rPr>
      <t xml:space="preserve">).
Несмотря на получение Заявителем указанных направлений на осмотр, Транспортное средство на осмотр предоставлено не было.
</t>
    </r>
    <r>
      <rPr>
        <sz val="11"/>
        <color rgb="FFFF0000"/>
        <rFont val="Calibri"/>
        <family val="2"/>
        <charset val="204"/>
        <scheme val="minor"/>
      </rPr>
      <t>21.06.2019 АО «ГСК «Югория»</t>
    </r>
    <r>
      <rPr>
        <sz val="11"/>
        <color theme="1"/>
        <rFont val="Calibri"/>
        <family val="2"/>
        <charset val="204"/>
        <scheme val="minor"/>
      </rPr>
      <t xml:space="preserve"> 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 Факт возврата Заявителю документов подтверждается почтовыми квитанциями (почтовые идентификаторы № </t>
    </r>
    <r>
      <rPr>
        <sz val="11"/>
        <color rgb="FFFF0000"/>
        <rFont val="Calibri"/>
        <family val="2"/>
        <charset val="204"/>
        <scheme val="minor"/>
      </rPr>
      <t>35004031063702</t>
    </r>
    <r>
      <rPr>
        <sz val="11"/>
        <color theme="1"/>
        <rFont val="Calibri"/>
        <family val="2"/>
        <charset val="204"/>
        <scheme val="minor"/>
      </rPr>
      <t xml:space="preserve"> и № </t>
    </r>
    <r>
      <rPr>
        <sz val="11"/>
        <color rgb="FFFF0000"/>
        <rFont val="Calibri"/>
        <family val="2"/>
        <charset val="204"/>
        <scheme val="minor"/>
      </rPr>
      <t>35004031063719).</t>
    </r>
  </si>
  <si>
    <t>Статус</t>
  </si>
  <si>
    <t>Индекс</t>
  </si>
  <si>
    <t>Фильтр</t>
  </si>
  <si>
    <t>Статус2</t>
  </si>
  <si>
    <t>Индекс2</t>
  </si>
  <si>
    <t>Фильтр2</t>
  </si>
  <si>
    <t>Пока не пришла. Запрос в ВСК о неакцепте. Комплекс. Отказ, т.к. ВСК предоставила подтверждение о неакцепте</t>
  </si>
  <si>
    <t>Возврат страховой премии. Обратился с заявлнием о расторжении в срок 14 дней с момента начала действия договора КАСКО (с учетом 193 ГК РФ). Также подписано соглашение о расторжении договора.</t>
  </si>
  <si>
    <t>Неустойка. По решению суда. Платежка по исполнительнмоу листу есть. Обжалуется</t>
  </si>
  <si>
    <t>РЕГИОН</t>
  </si>
  <si>
    <t>Решение подписано</t>
  </si>
  <si>
    <t>Решение вступило в силу</t>
  </si>
  <si>
    <t>Срок обжалования</t>
  </si>
  <si>
    <t>Дата подачи иска в суд</t>
  </si>
  <si>
    <t>У-19-57744</t>
  </si>
  <si>
    <t>Побиткова Анна Владимировна</t>
  </si>
  <si>
    <t>У-19-57782</t>
  </si>
  <si>
    <t>Круг Надежда Абрамовна</t>
  </si>
  <si>
    <t>У-19-57809</t>
  </si>
  <si>
    <t>Яниев Игорь Геннадиевич</t>
  </si>
  <si>
    <t>У-19-57831</t>
  </si>
  <si>
    <t>Глазунова Татьяна Геннадьевна</t>
  </si>
  <si>
    <t>У-19-58281</t>
  </si>
  <si>
    <t>Гаспаров Роберт Вараздатович</t>
  </si>
  <si>
    <t>У-19-58302</t>
  </si>
  <si>
    <t>Татаров Назим Баширович</t>
  </si>
  <si>
    <t>У-19-58319</t>
  </si>
  <si>
    <t>Батраков Сергей Александрович</t>
  </si>
  <si>
    <t>У-19-58323</t>
  </si>
  <si>
    <t>Солнцева Ольга Викторовна</t>
  </si>
  <si>
    <t>У-19-58341</t>
  </si>
  <si>
    <t>Наумов Михаил Федорович</t>
  </si>
  <si>
    <t>У-19-58419</t>
  </si>
  <si>
    <t>Кудиевский Григорий Иосифович</t>
  </si>
  <si>
    <t>У-19-59761</t>
  </si>
  <si>
    <t>Иванова Анна Олеговна</t>
  </si>
  <si>
    <t>У-19-59774</t>
  </si>
  <si>
    <t>Янин Сергей Яковлевич</t>
  </si>
  <si>
    <t>У-19-59775</t>
  </si>
  <si>
    <t>Солодов Лев Дмитриевич</t>
  </si>
  <si>
    <t>У-19-59810</t>
  </si>
  <si>
    <t>Ахметгареев Раиль Равилович</t>
  </si>
  <si>
    <t>У-19-59824</t>
  </si>
  <si>
    <t>Филатов Валерий Анатольевич</t>
  </si>
  <si>
    <t>У-19-59837</t>
  </si>
  <si>
    <t>Арутюнян Артур Володяевич</t>
  </si>
  <si>
    <t>У-19-59875</t>
  </si>
  <si>
    <t>Сулимов Вячеслав Евгеньевич</t>
  </si>
  <si>
    <t>У-19-60237</t>
  </si>
  <si>
    <t>Михаелян Артем Валерьевич</t>
  </si>
  <si>
    <t>У-19-60319</t>
  </si>
  <si>
    <t>Староушник Петр Павлович</t>
  </si>
  <si>
    <t>У-19-60330</t>
  </si>
  <si>
    <t>Булгаков Валерий Анатольевич</t>
  </si>
  <si>
    <t>У-19-60331</t>
  </si>
  <si>
    <t>Быченков Михаил Михайлович</t>
  </si>
  <si>
    <t>У-19-60339</t>
  </si>
  <si>
    <t>Грошев Юрий Юрьевич</t>
  </si>
  <si>
    <t>У-19-60381</t>
  </si>
  <si>
    <t>Николаев Виталий Вячеславович</t>
  </si>
  <si>
    <t>У-19-60998</t>
  </si>
  <si>
    <t>Наприенко Галина Николаевна</t>
  </si>
  <si>
    <t>У-19-61003</t>
  </si>
  <si>
    <t>Ушаков Алексей Давидович</t>
  </si>
  <si>
    <t>У-19-61023</t>
  </si>
  <si>
    <t>Маркова Наталья Петровна</t>
  </si>
  <si>
    <t>У-19-61027</t>
  </si>
  <si>
    <t>Курбанова Эльмира Агабалаевна</t>
  </si>
  <si>
    <t>Пришла. Комплекс, рынок, годники</t>
  </si>
  <si>
    <t>Пришла. Траса + Комплекс</t>
  </si>
  <si>
    <t>https://smp.sfurf.office/sd/operator/#uuid:serviceCall$65226117</t>
  </si>
  <si>
    <t>https://smp.sfurf.office/sd/operator/#uuid:serviceCall$65226138</t>
  </si>
  <si>
    <t>https://smp.sfurf.office/sd/operator/#uuid:serviceCall$65226156</t>
  </si>
  <si>
    <t>https://smp.sfurf.office/sd/operator/#uuid:serviceCall$65226160</t>
  </si>
  <si>
    <t>https://smp.sfurf.office/sd/operator/#uuid:serviceCall$65226178</t>
  </si>
  <si>
    <t>https://smp.sfurf.office/sd/operator/#uuid:serviceCall$65367084</t>
  </si>
  <si>
    <t>https://smp.sfurf.office/sd/operator/#uuid:serviceCall$64488775</t>
  </si>
  <si>
    <t>https://smp.sfurf.office/sd/operator/#uuid:serviceCall$64639713</t>
  </si>
  <si>
    <t>https://smp.sfurf.office/sd/operator/#uuid:serviceCall$64639740</t>
  </si>
  <si>
    <t>https://smp.sfurf.office/sd/operator/#uuid:serviceCall$64639762</t>
  </si>
  <si>
    <t>https://smp.sfurf.office/sd/operator/#uuid:serviceCall$66902597</t>
  </si>
  <si>
    <t>https://smp.sfurf.office/sd/operator/#uuid:serviceCall$67044910</t>
  </si>
  <si>
    <t>https://smp.sfurf.office/sd/operator/#uuid:serviceCall$67044911</t>
  </si>
  <si>
    <t>https://smp.sfurf.office/sd/operator/#uuid:serviceCall$67044946</t>
  </si>
  <si>
    <t>https://smp.sfurf.office/sd/operator/#uuid:serviceCall$67044960</t>
  </si>
  <si>
    <t>https://smp.sfurf.office/sd/operator/#uuid:serviceCall$67044973</t>
  </si>
  <si>
    <t>https://smp.sfurf.office/sd/operator/#uuid:serviceCall$67183713</t>
  </si>
  <si>
    <t>https://smp.sfurf.office/sd/operator/#uuid:serviceCall$67670077</t>
  </si>
  <si>
    <t>ОТКАЗ (ПРОИЗВОДНЫЕ ТРЕБОВАНИЯ)</t>
  </si>
  <si>
    <t>Требования Заявителя о взыскании неустойки, расходов на проведение независимой технической экспертизы являются производными по отношению к требованию о взыскании страхового возмещения, во взыскании которого отказано, в связи с чем, в рассматриваемом случае также удовлетворению не подлежат.</t>
  </si>
  <si>
    <t>Неустойка после добровольной выплаты. Доводы: поздно предоставил на осмотр, поздно предоставил администратинвые материалы (оформление без участников)</t>
  </si>
  <si>
    <t>Расходы, утраченный заработок</t>
  </si>
  <si>
    <t>Неустойка после суда. Суд взыскал по 24.12.2018. Нет платежки</t>
  </si>
  <si>
    <t>НЕ ОБРАЩАЛСЯ</t>
  </si>
  <si>
    <t>ОТЗЫВ ЗАЯВЛЕНИЯ</t>
  </si>
  <si>
    <t>НЕТ ПЛАТЕЖКИ</t>
  </si>
  <si>
    <t>АО Страховое общество «Якорь»</t>
  </si>
  <si>
    <t>ЗДОРОВЬЕ, УЩЕРБ</t>
  </si>
  <si>
    <t>Медицинская, комплексная, РГ</t>
  </si>
  <si>
    <t>Комплекс, УТС</t>
  </si>
  <si>
    <t>Не оспаривается</t>
  </si>
  <si>
    <t>Отписана прекращалка. Уточнить у ИП. Нет документов от ФО. Прекращение за отсутствием документов. Выдали ННР, что не оспаривается Заявителем.</t>
  </si>
  <si>
    <t>Отписана прекращался. Согласовать с ИП. ФО предоставила только отзыв, документов не приложила. Спор по сумме ущерба и УТС. Фотоматериалов нет.</t>
  </si>
  <si>
    <t>Отписано. Пришла. Комплекс</t>
  </si>
  <si>
    <t>629003, Ямало-Ненецкий автономный округ, г. Салехард, ул. Маяковского, д. 4</t>
  </si>
  <si>
    <t>АО «СК ОПОРА»</t>
  </si>
  <si>
    <t>Добровольным исполнение. Трое выгодоприобретателей (2 дочери и сын). Выплата в равных долях. Неустойка</t>
  </si>
  <si>
    <t>ЖИЗНЬ, НЕУСТОЙКА</t>
  </si>
  <si>
    <t>Непредоставление на осмотр</t>
  </si>
  <si>
    <t>направило Заявителю</t>
  </si>
  <si>
    <t>письмо</t>
  </si>
  <si>
    <t>телеграмму №</t>
  </si>
  <si>
    <t>о вызове на осмотр поврежденного Транспортного средства на</t>
  </si>
  <si>
    <t>в</t>
  </si>
  <si>
    <t>с приложением направления на осмотр №</t>
  </si>
  <si>
    <t>, что подтверждается</t>
  </si>
  <si>
    <t>списком внутренних почтовых отправлений №</t>
  </si>
  <si>
    <t>почтовой квитанцией №</t>
  </si>
  <si>
    <t>описью вложения от</t>
  </si>
  <si>
    <t>(почтовый идентификатор №</t>
  </si>
  <si>
    <t>повторно</t>
  </si>
  <si>
    <t>Несмотря на получение Заявителем указанных направлений на осмотр, Транспортное средство на осмотр предоставлено не было.</t>
  </si>
  <si>
    <t>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 Факт возврата Заявителю документов подтверждается</t>
  </si>
  <si>
    <t>Не предоставил на осмотр (уточнить). Постановлении об отказе в возбуждении уголовного дела. Прекращаем, опоздал на 1 час.</t>
  </si>
  <si>
    <t>МАКС</t>
  </si>
  <si>
    <t>В соответствии с частью 7 статьи 16 Закона № 123-ФЗ потребитель финансовых услуг вправе повторно направить обращение финансовому уполномоченному в порядке, предусмотренном Законом № 123-ФЗ.</t>
  </si>
  <si>
    <t>У-19-60314</t>
  </si>
  <si>
    <t>https://smp.sfurf.office/sd/operator/index.jsp;jsessionid=4B56FDB405CD332F2E4AE6AEC0BFEE05#uuid:serviceCall$67670072</t>
  </si>
  <si>
    <t>Йощенко Валентина Олеговна</t>
  </si>
  <si>
    <t>https://smp.sfurf.office/sd/operator/#uuid:serviceCall$67547793</t>
  </si>
  <si>
    <t>https://smp.sfurf.office/sd/operator/#uuid:serviceCall$67670088</t>
  </si>
  <si>
    <t>https://smp.sfurf.office/sd/operator/#uuid:serviceCall$67670089</t>
  </si>
  <si>
    <t>https://smp.sfurf.office/sd/operator/#uuid:serviceCall$67670097</t>
  </si>
  <si>
    <t>https://smp.sfurf.office/sd/operator/#uuid:serviceCall$67811847</t>
  </si>
  <si>
    <t>У-19-61067</t>
  </si>
  <si>
    <t>Ермолаев Дмитрий Сергеевич</t>
  </si>
  <si>
    <t>https://smp.sfurf.office/sd/operator/index.jsp;jsessionid=4B56FDB405CD332F2E4AE6AEC0BFEE05#uuid:serviceCall$68503479</t>
  </si>
  <si>
    <t>https://smp.sfurf.office/sd/operator/index.jsp;jsessionid=4B56FDB405CD332F2E4AE6AEC0BFEE05#uuid:serviceCall$68503484</t>
  </si>
  <si>
    <t>https://smp.sfurf.office/sd/operator/index.jsp;jsessionid=4B56FDB405CD332F2E4AE6AEC0BFEE05#uuid:serviceCall$68598804</t>
  </si>
  <si>
    <t>АЛЕКСАНДРА</t>
  </si>
  <si>
    <t>ЭДУАРД. ОТП. ОК. Неустойка после суда. Направил с правками. Направил повторно на исправления</t>
  </si>
  <si>
    <t>У-19-50215</t>
  </si>
  <si>
    <t>У-19-58929</t>
  </si>
  <si>
    <t>Кузминкова Любовь Григорьевна</t>
  </si>
  <si>
    <t>https://smp.sfurf.office/sd/operator/#uuid:serviceCall$55334657</t>
  </si>
  <si>
    <t>Дело Лены</t>
  </si>
  <si>
    <t>https://smp.sfurf.office/sd/operator/#uuid:serviceCall$66006440</t>
  </si>
  <si>
    <t>Сельдюков Александр Николаевич</t>
  </si>
  <si>
    <t>МАКС. ОТП. ОК. Нет доков от ФО. Проверил. Ждем доки от ФО. Неустойка после суда. ФО предоставил только сопроводительное письмо</t>
  </si>
  <si>
    <t>ЭДУАРД. ОТП. ОК. Пришла. Частично соответствуют. Результаты пришли, подгрузят. Еще не пришла. Комплекс + Трасса. Направил на доработку</t>
  </si>
  <si>
    <t>КАЧЕСТВО, СУД</t>
  </si>
  <si>
    <t>САМ. Направил повторно. Пришла, но не та что нужна (обычная комплексная). После ремонта обратился с претензией по качеству ремонта. ФО ТС осмотрело, составили акт о том, что повреждения не относятся к ДТП. Прекращение, т.к. сам заявитель обратился в суд, недождавшись вынесения решения ФУ</t>
  </si>
  <si>
    <t>ЭДУАРД. ОТП.ОК. Добровольное исполнение</t>
  </si>
  <si>
    <t>Таким образом, выплата в размере</t>
  </si>
  <si>
    <t>произведена в установленный Законом № 40-ФЗ срок, в силу чего неустойка на указанную сумму не начисляется.</t>
  </si>
  <si>
    <t>уведомило Заявителя об отсутствии правовых оснований для осуществления выплаты страхового возмещения в рамках прямого возмещения убытков.</t>
  </si>
  <si>
    <t>Отказ (Неакцепт)</t>
  </si>
  <si>
    <t>В обоснование своего отказа</t>
  </si>
  <si>
    <t>сообщило, что в ответ на запрос, направленный в страховую компанию причинителя вреда в рамках рассмотрения заявления о прямом возмещении убытков от</t>
  </si>
  <si>
    <t>не подтвердило действие договора ОСАГО причинителя вреда на момент ДТП, и отклонило заявку</t>
  </si>
  <si>
    <t>вернуло Заявителю полный комплект документов в связи с тем, что им не исполнена обязанность по предоставлению Транспортного средства на осмотр страховщику. Дополнительно было разъяснено, что Заявитель вправе повторно обратиться с заявлением о выплате страхового возмещения в установленном законом порядке.</t>
  </si>
  <si>
    <t>Типы ответов ФО</t>
  </si>
  <si>
    <t>У-19-60326</t>
  </si>
  <si>
    <t>Грифанов Линар Забирович</t>
  </si>
  <si>
    <t>https://smp.sfurf.office/sd/operator/#uuid:serviceCall$67670083</t>
  </si>
  <si>
    <t>У-19-60329</t>
  </si>
  <si>
    <t>Шевцова Татьяна Васильевна</t>
  </si>
  <si>
    <t>https://smp.sfurf.office/sd/operator/#uuid:serviceCall$67670087</t>
  </si>
  <si>
    <t>У-19-60365</t>
  </si>
  <si>
    <t>https://smp.sfurf.office/sd/operator/#uuid:serviceCall$67811826</t>
  </si>
  <si>
    <t>Козловская Светлана Владимировна</t>
  </si>
  <si>
    <t>НЕУСТОЙКА (ЖИЗНЬ)</t>
  </si>
  <si>
    <t>Пунктом 8 статьи 12 Закона № 40-ФЗ установлено, что страховщик в течение 15 календарных дней, за исключением нерабочих праздничных дней, со дня принятия первого заявления о страховом возмещении в части возмещения вреда, причиненного жизни потерпевшего в результате страхового случая, принимает заявления о страховом возмещении и предусмотренные правилами обязательного страхования документы от других выгодоприобретателей. В течение пяти календарных дней, за исключением нерабочих праздничных дней, после окончания указанного срока принятия заявлений от лиц, имеющих право на возмещение вреда в случае смерти потерпевшего, страховщик осуществляет страховую выплату.
Согласно абзацу 2 пункта 21 статьи 12 Закона № 40-ФЗ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настоящим Федеральным законом размера страхового возмещения по виду причиненного вреда каждому потерпевшему.</t>
  </si>
  <si>
    <t>Отказ (жизнь, вина не установлена)</t>
  </si>
  <si>
    <t>В обоснование своего отказа САО «ВСК» сообщило, что в соответствии с представленными Заявителем документами компетентных органов, ответственность владельца транспортного средства, застрахованного в САО «ВСК», за причинение вреда жизни Потерпевшего в данном ДТП не установлена.</t>
  </si>
  <si>
    <t>У-19-61262</t>
  </si>
  <si>
    <t>Акопян Оганес Микаелович</t>
  </si>
  <si>
    <t>https://smp.sfurf.office/sd/operator/index.jsp;jsessionid=4B56FDB405CD332F2E4AE6AEC0BFEE05#uuid:serviceCall$68784466</t>
  </si>
  <si>
    <t>В соответствии с ч. 6 ст. 16 Федерального закона от 04.06.2018 № 123-ФЗ «Об уполномоченном по правам потребителей финансовых услуг» (далее – Закон № 123-ФЗ) принятие и рассмотрение обращений, поданных лицами, которым уступлено право требования потребителя финансовых услуг к финансовой организации, осуществляется за плату в размере, установленном Советом службы финансового уполномоченного. При этом возможность переложения таких расходов на финансовые организации законом не предусмотрена.
Согласно части 1 статьи 15 Закона № 123-ФЗ финансовый уполномоченный рассматривает обращения в отношении финансовых организаций, если размер требований потребителя финансовых услуг о взыскании денежных сумм не превышает 500 тысяч рублей либо если требования потребителя финансовых услуг вытекают из нарушения страховщиком порядка осуществления страхового возмещения, установленного Федеральным закон от 25 апреля 2002 года № 40-ФЗ «Об обязательном страховании гражданской ответственности владельцев транспортных средств», и если со дня, когда потребитель финансовых услуг узнал или должен был узнать о нарушении своего права, прошло не более трех лет.
При этом в части 2 статьи 2 Закона № 123-ФЗ под потребителем финансовых услуг понимается физическое лицо, являющееся стороной договора, либо лицом, в пользу которого заключен договор, либо лицом, которому оказывается финансовая услуга в целях, не связанных с осуществлением предпринимательской деятельности.
Таким образом, из системного толкования указанных норм следует, что финансовый уполномоченный рассматривает требования потребителей финансовых услуг к финансовым организациям, вытекающие из оказания такими финансовыми организациями финансовых услуг потребителям.
В то же время, требование третьего лица, которому уступлено право требования потребителя финансовых услуг к финансовой организации, о взыскании платы за рассмотрения обращения финансовым уполномоченным не является требованием потребителя, вытекающим из оказания ему финансовых услуг, в связи с чем такое требование третьего лица не соответствует статье 15 Закона № 123-ФЗ.
В силу пункта 1 части 1 стать 19 Закона № 123-ФЗ финансовый уполномоченный не рассматривает обращения если обращение не соответствует части 1 статьи 15 Закона № 123-ФЗ.
На основании вышеизложенного требование Заявителя о взыскании платы за рассмотрения обращения финансовым уполномоченным в сумме 15 000 рублей 00 копеек не подлежит рассмотрению Финансовым уполномоченным.</t>
  </si>
  <si>
    <t>ОБОСНОВАНИЕ (ПЛАТА ЗА РАССМОТРЕНИЕ ДЕЛА)</t>
  </si>
  <si>
    <t>ОБОСНОВАНИЕ (КОНСТРУКТИВНАЯ ГИБЕЛЬ)</t>
  </si>
  <si>
    <t xml:space="preserve">В соответствии с пунктом 1.13 Правил обязательного страхования гражданской ответственности владельцев транспортных средств, утвержденных Банком России 19.09.2014 № 431-П, действие договора обязательного страхования досрочно прекращается в случае гибели (утраты) транспортного средства, указанного в страховом полисе обязательного страхования.
Согласно подпункту "а" пункта 18 статьи 12 Закона № 40-ФЗ под полной гибелью понимаются случаи, при которых ремонт поврежденного имущества невозможен либо стоимость ремонта поврежденного имущества равна стоимости имущества на дату наступления страхового случая или превышает указанную стоимость.
В силу пункта 1 статьи 9 Гражданского кодекса Российской Федерации (далее - ГК РФ) граждане и юридические лица по своему усмотрению осуществляют принадлежащие им гражданские права.
В соответствии с пунктом 1 статьей 209 ГК РФ собственнику принадлежат права владения, пользования и распоряжения своим имуществом.
Собственник вправе по своему усмотрению совершать в отношении принадлежащего ему имущества любые действия, не противоречащие закону и иным правовым актам и не нарушающие права и охраняемые законом интересы других лиц, в том числе отчуждать свое имущество в собственность другим лицам, передавать им, оставаясь собственником, права владения, пользования и распоряжения имуществом, отдавать имущество в залог и обременять его другими способами, распоряжаться им иным образом (пункт 2 данной статьи).
Согласно пункту 1 статьи ГК РФ право собственности прекращается при отчуждении собственником своего имущества другим лицам, отказе собственника от права собственности, гибели или уничтожении имущества и при утрате права собственности на имущество в иных случаях, предусмотренных законом.
В силу пункта статьи 958 ГК РФ договор страхования прекращается до наступления срока, на который он был заключен, если после его вступления в силу возможность наступления страхового случая отпала и существование страхового риска прекратилось по обстоятельствам иным, чем страховой случай. К таким обстоятельствам, в частности, относится гибель застрахованного имущества по причинам иным, чем наступление страхового случая.
Из системного толкования названных выше норм права следует, что договор ОСАГО подлежит прекращению в случае фактической полной гибели транспортного средства, поскольку в данном случае возможность наступления страхового случая отпадает, так как отсутствует объект страхования. Вместе с тем, учитывая, что законодательством об ОСАГО предусмотрена возможность выплаты страхового возмещения на условиях полной гибели транспортного средства также в случае экономической нецелесообразности восстановительного ремонта автомобиля, то не имеется оснований полагать, что выплата страхового возмещения по договору ОСАГО на условиях полной гибели свидетельствует об уничтожении (гибели, утрате) такого имущества.
Поскольку собственнику имущества принадлежат правомочия по распоряжению своим имуществом, он свободен в реализации своих гражданских прав и вправе восстановить поврежденное транспортное средство даже в случае экономической нецелесообразности (в том числе, с точки зрения законодательства об ОСАГО) его восстановления.
В силу пункта 1 статьи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составляет в части возмещения вреда, причиненного имуществу одного потерпевшего, не более 400 000 рублей 00 копеек.
Таким образом, действующим законодательством не установлен запрет на неоднократную выплату по разным страховым случаям страхового возмещения по одному договору ОСАГО на условиях полной гибели транспортного средства.
При принятии финансовым уполномоченным решения также учитываются следующие обстоятельства: страховщиком действий по расторжению договора, уведомлению потребителя о прекращении действия договора предпринято не было, сведения о прекращении договора в информационную систему обязательного страхования внесены не были, транспортное средство не было снято с регистрационного учета в связи с его гибелью (утилизацией) и было участником заявленного ДТП, что подтверждается материалами обращения и страховщиком не оспаривается, что свидетельствует о том, что фактическая гибель транспортного средства в предшествующем ДТП не наступила.
</t>
  </si>
  <si>
    <t>У-19-61417</t>
  </si>
  <si>
    <t>Мягков Сергей Сергеевич</t>
  </si>
  <si>
    <t>У-19-61506</t>
  </si>
  <si>
    <t>Апикова Алла Артуровна</t>
  </si>
  <si>
    <t>У-19-62980</t>
  </si>
  <si>
    <t>Василенко Иван Александрович</t>
  </si>
  <si>
    <t>У-19-62996</t>
  </si>
  <si>
    <t>Антипов Федор Иванович</t>
  </si>
  <si>
    <t>У-19-63068</t>
  </si>
  <si>
    <t>Курьянович Валерий Павлович</t>
  </si>
  <si>
    <t>У-19-64001</t>
  </si>
  <si>
    <t>Миронов Александр Васильевич</t>
  </si>
  <si>
    <t>У-19-64002</t>
  </si>
  <si>
    <t>Бязров Казбек Темурович</t>
  </si>
  <si>
    <t>У-19-64007</t>
  </si>
  <si>
    <t>Черепанов Валерий Андреевич</t>
  </si>
  <si>
    <t>У-19-64022</t>
  </si>
  <si>
    <t>Абакумов Игорь Валентинович</t>
  </si>
  <si>
    <t>У-19-64813</t>
  </si>
  <si>
    <t>Хачатрян Аршалуйс САргисович</t>
  </si>
  <si>
    <t>У-19-64814</t>
  </si>
  <si>
    <t>Сайдгалина Лилия Салаватовна</t>
  </si>
  <si>
    <t>У-19-64815</t>
  </si>
  <si>
    <t>Цуканова Ольга Александровна</t>
  </si>
  <si>
    <t>У-19-65730</t>
  </si>
  <si>
    <t>Зинуров Алик Фаясович</t>
  </si>
  <si>
    <t>У-19-65746</t>
  </si>
  <si>
    <t>Хримлиев Степан Мануилович</t>
  </si>
  <si>
    <t>У-19-65747</t>
  </si>
  <si>
    <t>Адамов Сергей Николаевич</t>
  </si>
  <si>
    <t>https://smp.sfurf.office/sd/operator/#uuid:serviceCall$69003116</t>
  </si>
  <si>
    <t>https://smp.sfurf.office/sd/operator/#uuid:serviceCall$69123905</t>
  </si>
  <si>
    <t>ОТВ</t>
  </si>
  <si>
    <t>ЭДУАРД</t>
  </si>
  <si>
    <t>ТАТЬЯНА</t>
  </si>
  <si>
    <t>СТАТУСЫ ОТВ</t>
  </si>
  <si>
    <t>В работе</t>
  </si>
  <si>
    <t>Отписано</t>
  </si>
  <si>
    <t>На доработку</t>
  </si>
  <si>
    <t>Согласовано</t>
  </si>
  <si>
    <t>САМ</t>
  </si>
  <si>
    <t>Дело Лены.</t>
  </si>
  <si>
    <t>Комплекс, Рыночная, годники. Выдали ННР, Заявитель обратился, ТС не отремонтировали. Доказательств обращения нет. По НТЭ Заявителя тотал.</t>
  </si>
  <si>
    <t>Неустойка на добровольные выплаты</t>
  </si>
  <si>
    <t>Пришла. Траса, комплексная</t>
  </si>
  <si>
    <t>https://smp.sfurf.office/sd/operator/#uuid:serviceCall$70993572</t>
  </si>
  <si>
    <t>https://smp.sfurf.office/sd/operator/#uuid:serviceCall$70993588</t>
  </si>
  <si>
    <t>https://smp.sfurf.office/sd/operator/#uuid:serviceCall$71072671</t>
  </si>
  <si>
    <t>Пришла. Комплекс не осаго, траса. Обвал грунта. Часть повреждений образовалось в результате вытягивания ТС из ямы, в которых ФО отказывает в выплате.</t>
  </si>
  <si>
    <t>Пришло. Аналитики сами продлились. Пришел только акт осмотра ТС и фотоматериалы. Направил пиьмо аналитику. Причины повреждений и стоимость ремонта. Сползание снега с лобового стекла повредило ТС. ФО говорит, что это не страховой случай. Случай страховой, т.к. не входит в исключения, а риск падения инородных предметов застрахован (п. 3.2)</t>
  </si>
  <si>
    <t>https://smp.sfurf.office/sd/operator/#uuid:serviceCall$72341776</t>
  </si>
  <si>
    <t>https://smp.sfurf.office/sd/operator/#uuid:serviceCall$72341777</t>
  </si>
  <si>
    <t>https://smp.sfurf.office/sd/operator/#uuid:serviceCall$72341784</t>
  </si>
  <si>
    <t>https://smp.sfurf.office/sd/operator/#uuid:serviceCall$72482415</t>
  </si>
  <si>
    <t>ТС не показал. ФО направляла 2 телеграммы, акты осмотра территории есть с фотограяиями места. Доки вернули. Прекращяем</t>
  </si>
  <si>
    <t>ФО в суде признает договор ОСАГО с виновником недействительным.</t>
  </si>
  <si>
    <t>НТЭ</t>
  </si>
  <si>
    <t>Просит доплату за НТЭ. ФО выплатила по средниму</t>
  </si>
  <si>
    <t>ФО оплатила неустойку 400 000 в полном объеме</t>
  </si>
  <si>
    <t>Пришла. Комплекс. Требование об организации ремонта. Автомобиль на гарантии, у ФО нет договоров со СТОА официального дилера. Хотят выплатить деньгами, но нет реквизитов. Отказали, т.к. просил натуральную форму, но не положено.</t>
  </si>
  <si>
    <t>Пришла. ФО направила документы. Повторно ушли в НТЭ. Комплекс. Нет документов от ФО, но есть НТЭ Заявителя в фототаблицей. Направлен запрос в ФО о предоставлении документов</t>
  </si>
  <si>
    <t>Пришла. Произвели некачественный ремонт. Был проведен повторный 3х сторонний осмотр, составлен акт, выявлены повреждения фары и бампера. Заявитель указывает, что фактически нарушений каечства ремонта гораздо больше, поэтому ушли в экспертизу.</t>
  </si>
  <si>
    <t>Отказали, т.к. не виноват</t>
  </si>
  <si>
    <t>Просит неустойку и экспертизу</t>
  </si>
  <si>
    <t>Просит неустойку с ограничением по ЗЗПП на ОСАГО. ФО добровольно выплатила</t>
  </si>
  <si>
    <t>Коммерческий транспорт. Грузовое. 6950 кг. ИП</t>
  </si>
  <si>
    <t>ФО пишет, что выдало повторное ННР точно в срок (в день вторичного осмотра), но документов не прикладывает. Нужно позвонить Илоне и уточнить, есть ли документы. Если представят, то отказать, если нет, то на НТЭ по качеству. Документы дослали. Также факт выдачи повторного ННР в день осмотра не оспаривается Заявителем</t>
  </si>
  <si>
    <t>Нет доков от ФО</t>
  </si>
  <si>
    <t>МАКС 2</t>
  </si>
  <si>
    <t>Коммерческий транспорт. Отказ в акцепте</t>
  </si>
  <si>
    <t>Нет доков от ФО. Если ФО пришлет доки, то направить на НТЭ траса и комплекс</t>
  </si>
  <si>
    <t>Пришла. Комплекс. Выплата в пределах 10%</t>
  </si>
  <si>
    <t>УЩЕРБ, НЕУСТОЙКА</t>
  </si>
  <si>
    <t>ННР выдали в срок</t>
  </si>
  <si>
    <t>Пришла. Комплексная. Выдали ННР. Оформление ДТП без ГИБДД. Проверить стоимость ремонта. Если больше 100000, то взыскать, если меньше, то тоже взыскать, т.к. нет доказательств выдачи заявителю ННР. Без износа больше 100 000</t>
  </si>
  <si>
    <t>КАЧЕСТВО, НЕУСТОЙКА</t>
  </si>
  <si>
    <t>Пришла. Комплекс. ФО согласовало выплату, но тк. Заявитель просил выдать деньгами в кассе, а кассы нет, то осуществило платеж через систему КОНТАКТ, о чем уведомило Заявителя. Однако позднее уведомило Заявителя об отсутствии в Петропавловке-Камчатске финансовый учреждений, входящий в платежную систему КОНТАКТ и просит предоставить реквизиты.</t>
  </si>
  <si>
    <t>Пришла. Комплекс. Частичная оплата.</t>
  </si>
  <si>
    <t>https://smp.sfurf.office/sd/operator/#uuid:serviceCall$73612039</t>
  </si>
  <si>
    <t>Пришла. Траса, Комплекс</t>
  </si>
  <si>
    <t>https://smp.sfurf.office/sd/operator/#uuid:serviceCall$74707681</t>
  </si>
  <si>
    <t>https://smp.sfurf.office/sd/operator/#uuid:serviceCall$74707697</t>
  </si>
  <si>
    <t>https://smp.sfurf.office/sd/operator/#uuid:serviceCall$74707698</t>
  </si>
  <si>
    <t>В части требования Заявителя о взыскании расходов на проведение независимой экспертизы, Финансовым уполномоченным установлено следующее.
Согласно абзацу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должен направить страховщику письменное заявление, а страховщик обязан рассмотреть его в порядке, установленном Законом № 123-ФЗ.
В соответствии с частью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Указанная форма также не предполагает обязательное приложение к ней экспертного заключения.</t>
  </si>
  <si>
    <t>ТРАСА, ИМУЩЕСТВО</t>
  </si>
  <si>
    <t>СТРАХОВОЙ СЛУЧАЙ</t>
  </si>
  <si>
    <t>Пришла. Комплекс. Недоплата и неустойка. Отказ в доплате, но второй платеж с нарушением срока</t>
  </si>
  <si>
    <t>УЩЕРБ, КОНТАКТ</t>
  </si>
  <si>
    <t>Неустойка на добровольную выплату</t>
  </si>
  <si>
    <t>Прекратили за противоречивостью. Заявитель говорит, что ТС передавал, ФО утверждает, что не передавал на СТОА</t>
  </si>
  <si>
    <t>Траса и стоимость имущества не ТС ОСАГО. Аналитики отказались делать НТЭ, поэтому прекращаемся за отсутствием документов</t>
  </si>
  <si>
    <t>После НТЭ ФУ. Вред здоровью. Утраченный заработок (выплатили, не заявлял). Две наши экспертизы, одна правильная, вторая нет.</t>
  </si>
  <si>
    <t>Несчастный случай на производстве. Прекращение, т.к. нет документов, подтверждающих факт и размер выплаты по соц страхованию.</t>
  </si>
  <si>
    <t>Доплата и неустойка. Медицинская</t>
  </si>
  <si>
    <t>У-19-66592</t>
  </si>
  <si>
    <t>Бекларян Ашот Абелович</t>
  </si>
  <si>
    <t>У-19-66660</t>
  </si>
  <si>
    <t>Чалилова Манзура Юлдошевна</t>
  </si>
  <si>
    <t>https://smp.sfurf.office/sd/operator/#uuid:serviceCall$75837045</t>
  </si>
  <si>
    <t>https://smp.sfurf.office/sd/operator/#uuid:serviceCall$75898213</t>
  </si>
  <si>
    <t>Автобус</t>
  </si>
  <si>
    <t>НЕУСТОЙКА ПО ЗДОРОВЬЮ</t>
  </si>
  <si>
    <t>У-19-49635</t>
  </si>
  <si>
    <t>Авакян Григор Саркисович</t>
  </si>
  <si>
    <t>Гурьянова Татьяна Юрьевна</t>
  </si>
  <si>
    <t>У-19-52919</t>
  </si>
  <si>
    <t>ИП Ванглис А.А.</t>
  </si>
  <si>
    <t>У-19-53049</t>
  </si>
  <si>
    <t>ИП Черняк Анна Юрьевна</t>
  </si>
  <si>
    <t>У-19-56218</t>
  </si>
  <si>
    <t>ООО "Гарант Сервис"</t>
  </si>
  <si>
    <t>У-19-57718</t>
  </si>
  <si>
    <t>Габараев Леонид Ильич</t>
  </si>
  <si>
    <t>У-19-58469</t>
  </si>
  <si>
    <t>Ванюта Светлана Сергеевна</t>
  </si>
  <si>
    <t>У-19-58519</t>
  </si>
  <si>
    <t>Картоев Усман Алиханович</t>
  </si>
  <si>
    <t>У-19-60483</t>
  </si>
  <si>
    <t>Даниелян Рашид Владимирович</t>
  </si>
  <si>
    <t>У-19-66937</t>
  </si>
  <si>
    <t>Джавадбеков Сейран Шахитович</t>
  </si>
  <si>
    <t>У-19-67143</t>
  </si>
  <si>
    <t>Чернышова Татьяна Николаевна</t>
  </si>
  <si>
    <t>У-19-67151</t>
  </si>
  <si>
    <t>Сайфетдинова Идалия Раисовна</t>
  </si>
  <si>
    <t>У-19-67958</t>
  </si>
  <si>
    <t>Сыроваткина Полина Сергеевна</t>
  </si>
  <si>
    <t>У-19-68075</t>
  </si>
  <si>
    <t>Соколова Наталья Сергеевна</t>
  </si>
  <si>
    <t>У-19-68967</t>
  </si>
  <si>
    <t>Лукьянов Антон Ильич</t>
  </si>
  <si>
    <t>У-19-69444</t>
  </si>
  <si>
    <t>Габидуллин Филюс Радикович</t>
  </si>
  <si>
    <t>У-19-69449</t>
  </si>
  <si>
    <t>Бексаева Дарья Геннадьевна</t>
  </si>
  <si>
    <t>У-19-69530</t>
  </si>
  <si>
    <t>Файзуллин Владислав Валерьевич</t>
  </si>
  <si>
    <t>У-19-69700</t>
  </si>
  <si>
    <t>Пантелеев Александр Николаевич</t>
  </si>
  <si>
    <t>У-19-70039</t>
  </si>
  <si>
    <t>Шеронов Евгений Михайлович</t>
  </si>
  <si>
    <t>У-19-70085</t>
  </si>
  <si>
    <t>Кузьмиков Константин Андреевич</t>
  </si>
  <si>
    <t>У-19-46958</t>
  </si>
  <si>
    <t xml:space="preserve">Чиколаев Павел </t>
  </si>
  <si>
    <t>Нечаева Александра Анатольевна</t>
  </si>
  <si>
    <t>У-19-53078</t>
  </si>
  <si>
    <t>У-19-60328</t>
  </si>
  <si>
    <t>Молодцов Иван Сергеевич</t>
  </si>
  <si>
    <t>У-19-60346</t>
  </si>
  <si>
    <t>Курыло Иван Александрович</t>
  </si>
  <si>
    <t>У-19-60362</t>
  </si>
  <si>
    <t>Горейко Екатерина Сергеевна</t>
  </si>
  <si>
    <t>У-19-66407</t>
  </si>
  <si>
    <t>Суслова Мина Григорьевна</t>
  </si>
  <si>
    <t>У-19-66336</t>
  </si>
  <si>
    <t>Митина Марина Сергеевна</t>
  </si>
  <si>
    <t>У-19-66345</t>
  </si>
  <si>
    <t>Плишкин Сергей Васильевич</t>
  </si>
  <si>
    <t>У-19-66570</t>
  </si>
  <si>
    <t>Романова Наталья Павловна</t>
  </si>
  <si>
    <t>У-19-68042</t>
  </si>
  <si>
    <t>Цыкунов Иван Анатольевич</t>
  </si>
  <si>
    <t>У-19-68043</t>
  </si>
  <si>
    <t>Петросян Арпине Джемсовна</t>
  </si>
  <si>
    <t>У-19-68463</t>
  </si>
  <si>
    <t>Антипин Андрей Владимирович</t>
  </si>
  <si>
    <t>У-19-69430</t>
  </si>
  <si>
    <t>Сабиров Марсель Анасович</t>
  </si>
  <si>
    <t>У-19-69441</t>
  </si>
  <si>
    <t>Еремин Александр Валерьевич</t>
  </si>
  <si>
    <t>У-19-69710</t>
  </si>
  <si>
    <t>Борисов Данил Александрович</t>
  </si>
  <si>
    <t>Либерти Страхование (АО)</t>
  </si>
  <si>
    <t>У-19-69922</t>
  </si>
  <si>
    <t>Дуркин Николай Александрович</t>
  </si>
  <si>
    <t>У-19-55244</t>
  </si>
  <si>
    <t>Вторников Борис Геннадьевич</t>
  </si>
  <si>
    <t>Хахалев Эдуард Олегович</t>
  </si>
  <si>
    <t>У-19-59980</t>
  </si>
  <si>
    <t>Козонов Марат Львович</t>
  </si>
  <si>
    <t>У-19-60129</t>
  </si>
  <si>
    <t>Гагонин Михаил Юрьевич</t>
  </si>
  <si>
    <t>У-19-67166</t>
  </si>
  <si>
    <t>Зверенко Виктория Анатольевна</t>
  </si>
  <si>
    <t>У-19-67241</t>
  </si>
  <si>
    <t>Гридина Анастасия Николаевна</t>
  </si>
  <si>
    <t>У-19-67243</t>
  </si>
  <si>
    <t>Соболева Наталья Леонидовна</t>
  </si>
  <si>
    <t>У-19-67283</t>
  </si>
  <si>
    <t>Самсоненко Александр Александрович</t>
  </si>
  <si>
    <t>У-19-67302</t>
  </si>
  <si>
    <t>Ксенофонтов Дмитрий Александрович</t>
  </si>
  <si>
    <t>У-19-67308</t>
  </si>
  <si>
    <t>Еремин Иван Сергеевич</t>
  </si>
  <si>
    <t>У-19-67458</t>
  </si>
  <si>
    <t>Баташев Александр Николаевич</t>
  </si>
  <si>
    <t>У-19-67460</t>
  </si>
  <si>
    <t>Караханян Маник Нориковна</t>
  </si>
  <si>
    <t>У-19-68473</t>
  </si>
  <si>
    <t>Шафеева Светлана Александровна</t>
  </si>
  <si>
    <t>У-19-68548</t>
  </si>
  <si>
    <t>Петренко Михаил Юрьевич</t>
  </si>
  <si>
    <t>У-19-68983</t>
  </si>
  <si>
    <t>Оганисян Сейран Михайлович</t>
  </si>
  <si>
    <t>У-19-69945</t>
  </si>
  <si>
    <t>Юров Антон Михайлович</t>
  </si>
  <si>
    <t>У-19-70802</t>
  </si>
  <si>
    <t>Селезень Алик Иванович</t>
  </si>
  <si>
    <t>У-19-52402</t>
  </si>
  <si>
    <t>Оганезов Дмитрий Сергеевич</t>
  </si>
  <si>
    <t>Сибатров Максим Николаевич</t>
  </si>
  <si>
    <t>У-19-53072</t>
  </si>
  <si>
    <t>У-19-53076</t>
  </si>
  <si>
    <t>У-19-54117</t>
  </si>
  <si>
    <t>Камалов Рамиль Рестемович</t>
  </si>
  <si>
    <t>У-19-54166</t>
  </si>
  <si>
    <t>У-19-57880</t>
  </si>
  <si>
    <t>Рыжков Степан Владимирович</t>
  </si>
  <si>
    <t>У-19-58110</t>
  </si>
  <si>
    <t>Мовсесян Норик Норикович</t>
  </si>
  <si>
    <t>У-19-58858</t>
  </si>
  <si>
    <t>Леготин Дмитрий Анатольевич</t>
  </si>
  <si>
    <t>У-19-58906</t>
  </si>
  <si>
    <t>Егонян Армине Арменаковна</t>
  </si>
  <si>
    <t>У-19-60138</t>
  </si>
  <si>
    <t>Колесова Ольга Николаевна</t>
  </si>
  <si>
    <t>У-19-60341</t>
  </si>
  <si>
    <t>Соловьев Юрий Алексеевич</t>
  </si>
  <si>
    <t>У-19-60598</t>
  </si>
  <si>
    <t>Болдырев Петр Петрович</t>
  </si>
  <si>
    <t>У-19-68276</t>
  </si>
  <si>
    <t>Антонова Елена Владимировна</t>
  </si>
  <si>
    <t>У-19-68575</t>
  </si>
  <si>
    <t>Жерехова Анастасия Евгеньевна</t>
  </si>
  <si>
    <t>У-19-69403</t>
  </si>
  <si>
    <t>Петросян Артак Арменович</t>
  </si>
  <si>
    <t>У-19-69727</t>
  </si>
  <si>
    <t>Рашитов Даян Камилович</t>
  </si>
  <si>
    <t>У-19-69728</t>
  </si>
  <si>
    <t>Соломка Эдуард Александрович</t>
  </si>
  <si>
    <t>У-19-69999</t>
  </si>
  <si>
    <t>Ермоленко Владимир Валерьевич</t>
  </si>
  <si>
    <t>У-19-70004</t>
  </si>
  <si>
    <t>Кальченко Александр Евгеньевич</t>
  </si>
  <si>
    <t>Комплекс.</t>
  </si>
  <si>
    <t>Траса, комплекс</t>
  </si>
  <si>
    <t>ЦЕССИЯ, НЕУСТОЙКА</t>
  </si>
  <si>
    <t>Цессия, неустойка после суда, частично взыскана</t>
  </si>
  <si>
    <t>Неустойка после суда. В суд требование о неустойке не заявлялось</t>
  </si>
  <si>
    <t>Неустойка после суда, частично взыскана судом, частично добровольно выплачена</t>
  </si>
  <si>
    <t>Неустойка после суда. Частично взыскана судом, Удовлетворена добровольно в полном объеме</t>
  </si>
  <si>
    <t>НЕУСТОЙКА, ДОБР ИСП</t>
  </si>
  <si>
    <t>ДОБР ИСП, НЕУСТОЙКА, ФС</t>
  </si>
  <si>
    <t>Добровольно оплатили в размере большем, чем просил, взыскиваем неустойку, отказываем в фин санкции и НТЭ</t>
  </si>
  <si>
    <t>Отказ по трасе</t>
  </si>
  <si>
    <t>Траса, Комплекс. Выплатили в пределах статистической достоверности</t>
  </si>
  <si>
    <t>ДТП</t>
  </si>
  <si>
    <t>Такси</t>
  </si>
  <si>
    <t>Взыскание доплаты по НТЭ ФУ</t>
  </si>
  <si>
    <t>Нет документов. НТЭ ТОТАЛ, Траса, Комплекс. Запрос документов от ФО</t>
  </si>
  <si>
    <t>ЗДОРОВЬЕ, НЕУСТОЙКА</t>
  </si>
  <si>
    <t>Отказали по трасе, по НТЭ ФУ нужно взыскивать</t>
  </si>
  <si>
    <t>НЕУСТОЙКА, ФС</t>
  </si>
  <si>
    <t>Неустойка и финсанкция.</t>
  </si>
  <si>
    <t>Нет доков от ФО. Спор по сумме выплаты.  Проверил, направил на доработку. Есть решение о прекращении. В НТЭ Заявителя хорошие фотки, может быть проведут нашу НТЭ. Отказать 10%</t>
  </si>
  <si>
    <t>Неустойка на здоровье (инвалидность I группы). Цессия</t>
  </si>
  <si>
    <t>Тяжкий вред здоровью. Заявитель пешеход. Альфа выплату согласовывает, но запрашивает паспорт представителя, т.к. Заявитель представил реквизиты представителя. Выплата не произведена, но нас Заявитель не просит основную выплату, а только неустойку. Отказ по 115-ФЗ</t>
  </si>
  <si>
    <t>Переделать на удовлетворение, т.к. запросили результаты НТЭ</t>
  </si>
  <si>
    <t>Цессия, не показал ТС н осмотр</t>
  </si>
  <si>
    <t>ЦЕССИЯ, УЩЕРБ</t>
  </si>
  <si>
    <t>Цессия, не дата ДТП в договоре цессии</t>
  </si>
  <si>
    <t>У-19-56847</t>
  </si>
  <si>
    <t>У-19-70373</t>
  </si>
  <si>
    <t>У-19-70444</t>
  </si>
  <si>
    <t>Ханмамедов Эльчин Эльдарович</t>
  </si>
  <si>
    <t>Меженин Виктор Федорович</t>
  </si>
  <si>
    <t>Дьяченко Елена Анатольевна</t>
  </si>
  <si>
    <t>ООО «СУДЗАКОН»</t>
  </si>
  <si>
    <t>У-19-49620</t>
  </si>
  <si>
    <t>Ушаков Александр Васильевич</t>
  </si>
  <si>
    <t>У-19-54196</t>
  </si>
  <si>
    <t>Грицунов Максим Олегович</t>
  </si>
  <si>
    <t>У-19-61930</t>
  </si>
  <si>
    <t>Щукин Никита Сергеевич</t>
  </si>
  <si>
    <t>У-19-62063</t>
  </si>
  <si>
    <t>Демурчян Мартин Шаваршович</t>
  </si>
  <si>
    <t>У-19-63593</t>
  </si>
  <si>
    <t>Козорез Дмитрий Владимирович</t>
  </si>
  <si>
    <t>У-19-63600</t>
  </si>
  <si>
    <t>Башикян Роман Вадимович</t>
  </si>
  <si>
    <t>У-19-63880</t>
  </si>
  <si>
    <t>Анфимов Артур Рифатович</t>
  </si>
  <si>
    <t>У-19-63885</t>
  </si>
  <si>
    <t>Ованесян Вагаршак Ашотович</t>
  </si>
  <si>
    <t>У-19-64038</t>
  </si>
  <si>
    <t>Богословский Александр Анатольевич</t>
  </si>
  <si>
    <t>У-19-65371</t>
  </si>
  <si>
    <t>Чайковский Андрей Дмитриевич</t>
  </si>
  <si>
    <t>У-19-65903</t>
  </si>
  <si>
    <t>Кривоносов Николай Николаевич</t>
  </si>
  <si>
    <t>У-19-65914</t>
  </si>
  <si>
    <t>Горечева Антонина Олеговна</t>
  </si>
  <si>
    <t>У-19-71132</t>
  </si>
  <si>
    <t>Мирзоян Людмила Анатольевна</t>
  </si>
  <si>
    <t>У-19-71147</t>
  </si>
  <si>
    <t>Мороз Надежда Дмитриевна</t>
  </si>
  <si>
    <t>У-19-71156</t>
  </si>
  <si>
    <t>Дзебисов Сослан Зурабович</t>
  </si>
  <si>
    <t>У-19-71208</t>
  </si>
  <si>
    <t>Джамбинова Зоя Эрдниевна</t>
  </si>
  <si>
    <t>У-19-71714</t>
  </si>
  <si>
    <t>Зенкин Максим Александрович</t>
  </si>
  <si>
    <t>У-19-71715</t>
  </si>
  <si>
    <t>Одиноков Константин Игоревич</t>
  </si>
  <si>
    <t>У-19-71719</t>
  </si>
  <si>
    <t>Тельнов Евгений Вячеславович</t>
  </si>
  <si>
    <t>У-19-71720</t>
  </si>
  <si>
    <t>Легоев Заурбек Радикович</t>
  </si>
  <si>
    <t>У-19-72337</t>
  </si>
  <si>
    <t>Елизаров Иван Игоревич</t>
  </si>
  <si>
    <t>У-19-73198</t>
  </si>
  <si>
    <t>Ахаладзе Джейран Бадриевич</t>
  </si>
  <si>
    <t>У-19-73199</t>
  </si>
  <si>
    <t>Паньшин Владимир Игоревич</t>
  </si>
  <si>
    <t>У-19-73215</t>
  </si>
  <si>
    <t>Пихтерев Владимир Анатольевич</t>
  </si>
  <si>
    <t>У-19-73379</t>
  </si>
  <si>
    <t>Залесова Любовь Валентиновна</t>
  </si>
  <si>
    <t>У-19-73385</t>
  </si>
  <si>
    <t>Сокол Наталья Сергеевна</t>
  </si>
  <si>
    <t>У-19-73387</t>
  </si>
  <si>
    <t>Арсланова Светлана Фаритовна</t>
  </si>
  <si>
    <t>У-19-73388</t>
  </si>
  <si>
    <t>Садыков Теймур Рамизович</t>
  </si>
  <si>
    <t>У-19-74319</t>
  </si>
  <si>
    <t>Соболь Инна Владимировна</t>
  </si>
  <si>
    <t>У-19-74332</t>
  </si>
  <si>
    <t>Яровой Глеб Вячеславович</t>
  </si>
  <si>
    <t>У-19-61387</t>
  </si>
  <si>
    <t>Буганов Владимир Дмитриевич</t>
  </si>
  <si>
    <t>У-19-61612</t>
  </si>
  <si>
    <t>Седельникова Валентина Григорьевна</t>
  </si>
  <si>
    <t>У-19-62654</t>
  </si>
  <si>
    <t>Соломаха Кристина Семеновна</t>
  </si>
  <si>
    <t>У-19-62659</t>
  </si>
  <si>
    <t>Воронов Сергей Алексеевич</t>
  </si>
  <si>
    <t>У-19-62661</t>
  </si>
  <si>
    <t>Бондарь Евгений Андреевич</t>
  </si>
  <si>
    <t>У-19-63919</t>
  </si>
  <si>
    <t>Лютенко Дмитрий Евгеньевич</t>
  </si>
  <si>
    <t>У-19-64278</t>
  </si>
  <si>
    <t>Алимов Алексей Александрович</t>
  </si>
  <si>
    <t>У-19-64836</t>
  </si>
  <si>
    <t>Васянович Николай Николаевич</t>
  </si>
  <si>
    <t>У-19-65449</t>
  </si>
  <si>
    <t>Агаджанян Артур Мартинович</t>
  </si>
  <si>
    <t>У-19-65884</t>
  </si>
  <si>
    <t>Сергеев Дмитрий Иосифович</t>
  </si>
  <si>
    <t>У-19-70080</t>
  </si>
  <si>
    <t>Варданян Армен Карапетович</t>
  </si>
  <si>
    <t>У-19-70087</t>
  </si>
  <si>
    <t>Цверков Денис Анатольевич</t>
  </si>
  <si>
    <t>У-19-70169</t>
  </si>
  <si>
    <t>Сиваков Игорь Николаевич</t>
  </si>
  <si>
    <t>У-19-70507</t>
  </si>
  <si>
    <t>Журавлев Николай Николаевич</t>
  </si>
  <si>
    <t>У-19-70619</t>
  </si>
  <si>
    <t>Гордиенко Антонина Николаевна</t>
  </si>
  <si>
    <t>У-19-71599</t>
  </si>
  <si>
    <t>Скуратова Оксана Николаевна</t>
  </si>
  <si>
    <t>У-19-71746</t>
  </si>
  <si>
    <t>Грачев Александр Николаевич</t>
  </si>
  <si>
    <t>У-19-71892</t>
  </si>
  <si>
    <t>Шайдуллин Алмаз Мунавирович</t>
  </si>
  <si>
    <t>У-19-71897</t>
  </si>
  <si>
    <t>Воронцов Валентин Анатольевич</t>
  </si>
  <si>
    <t>У-19-72068</t>
  </si>
  <si>
    <t>Зырянов Алексей Алексеевич</t>
  </si>
  <si>
    <t>У-19-72900</t>
  </si>
  <si>
    <t>Кожевников Роман Юрьевич</t>
  </si>
  <si>
    <t>У-19-73019</t>
  </si>
  <si>
    <t>Хабирова Динара Альбертовна</t>
  </si>
  <si>
    <t>У-19-73186</t>
  </si>
  <si>
    <t>Пигасов Сергей Александрович</t>
  </si>
  <si>
    <t>У-19-73365</t>
  </si>
  <si>
    <t>Диков Павел Павлович</t>
  </si>
  <si>
    <t>У-19-73367</t>
  </si>
  <si>
    <t>Муродов Фаррух Сайдахмадович</t>
  </si>
  <si>
    <t>У-19-73368</t>
  </si>
  <si>
    <t>Димаксян Светлана Маисовна</t>
  </si>
  <si>
    <t>У-19-73371</t>
  </si>
  <si>
    <t>Меркулова Галина Владимировна</t>
  </si>
  <si>
    <t>У-19-74795</t>
  </si>
  <si>
    <t>Волосевич Владислав Андреевич</t>
  </si>
  <si>
    <t>У-19-74799</t>
  </si>
  <si>
    <t>Кондратьев Алексей Викторович</t>
  </si>
  <si>
    <t>У-19-53663</t>
  </si>
  <si>
    <t>Щелоков Олег Владимирович</t>
  </si>
  <si>
    <t>У-19-61675</t>
  </si>
  <si>
    <t>Кисилевич Иван Юэефович</t>
  </si>
  <si>
    <t>У-19-62461</t>
  </si>
  <si>
    <t>Сальков Алексей Иванович</t>
  </si>
  <si>
    <t>У-19-63081</t>
  </si>
  <si>
    <t>Голиков Артем Олегович</t>
  </si>
  <si>
    <t>У-19-63146</t>
  </si>
  <si>
    <t>Белянин Андрей Анатольевич</t>
  </si>
  <si>
    <t>У-19-63463</t>
  </si>
  <si>
    <t>Бородавченко Алексей Олегович</t>
  </si>
  <si>
    <t>У-19-63734</t>
  </si>
  <si>
    <t>Евтеева Наталья Николаевна</t>
  </si>
  <si>
    <t>У-19-65778</t>
  </si>
  <si>
    <t>Саруханян Давид Оганнесович</t>
  </si>
  <si>
    <t>У-19-65867</t>
  </si>
  <si>
    <t>Перевалова Екатерина Сергеевна</t>
  </si>
  <si>
    <t>У-19-70683</t>
  </si>
  <si>
    <t>Баздерова Елизавета Андреевна</t>
  </si>
  <si>
    <t>У-19-71260</t>
  </si>
  <si>
    <t>Мордасов Сергей Михайлович</t>
  </si>
  <si>
    <t>У-19-71263</t>
  </si>
  <si>
    <t>Абдурахманов Саид Абдурахманович</t>
  </si>
  <si>
    <t>У-19-71272</t>
  </si>
  <si>
    <t>Володина Анастасия Сергеевна</t>
  </si>
  <si>
    <t>У-19-71275</t>
  </si>
  <si>
    <t>Шаврагин Павел Константинович</t>
  </si>
  <si>
    <t>У-19-71353</t>
  </si>
  <si>
    <t>Кулик Андрей Николаевич</t>
  </si>
  <si>
    <t>У-19-71356</t>
  </si>
  <si>
    <t>Казаков Александр Васильевич</t>
  </si>
  <si>
    <t>У-19-71378</t>
  </si>
  <si>
    <t>Шубин Константин Васильевич</t>
  </si>
  <si>
    <t>У-19-71393</t>
  </si>
  <si>
    <t>Шульгин Сергей Анатольевич</t>
  </si>
  <si>
    <t>У-19-73041</t>
  </si>
  <si>
    <t>Вострецов Игорь Николаевич</t>
  </si>
  <si>
    <t>У-19-73081</t>
  </si>
  <si>
    <t>Малькова Валентина Алексеевна</t>
  </si>
  <si>
    <t>У-19-73194</t>
  </si>
  <si>
    <t>Клюков Вадим Игоревич</t>
  </si>
  <si>
    <t>У-19-73301</t>
  </si>
  <si>
    <t>Агаджанян Ким Карленович</t>
  </si>
  <si>
    <t>У-19-73318</t>
  </si>
  <si>
    <t>Скляр Антон Васильевич</t>
  </si>
  <si>
    <t>У-19-73338</t>
  </si>
  <si>
    <t>Рамазанов Лугман Магомедович</t>
  </si>
  <si>
    <t>У-19-73360</t>
  </si>
  <si>
    <t>Тен Ольга Николаевна</t>
  </si>
  <si>
    <t>У-19-73375</t>
  </si>
  <si>
    <t>Макаров Александр Васильевич</t>
  </si>
  <si>
    <t>У-19-73376</t>
  </si>
  <si>
    <t>Стремедловская Олеся Леонидовна</t>
  </si>
  <si>
    <t>У-19-74132</t>
  </si>
  <si>
    <t>Исмиляев Алексей Александрович</t>
  </si>
  <si>
    <t>У-19-74115</t>
  </si>
  <si>
    <t>Морозова Наталья Владимировна</t>
  </si>
  <si>
    <t>У-19-55198</t>
  </si>
  <si>
    <t>Бекоев Ботаз Сергеевич</t>
  </si>
  <si>
    <t>Святов Максим Владимирович</t>
  </si>
  <si>
    <t>У-19-57025</t>
  </si>
  <si>
    <t>ИП Маслов Андрей Владимирович</t>
  </si>
  <si>
    <t>У-19-61737</t>
  </si>
  <si>
    <t>Гасанов Рашид Русланович</t>
  </si>
  <si>
    <t>У-19-62803</t>
  </si>
  <si>
    <t>Гарибанов Гасан Магомедович</t>
  </si>
  <si>
    <t>У-19-62804</t>
  </si>
  <si>
    <t>Рудик Виктор Александрович</t>
  </si>
  <si>
    <t>У-19-63946</t>
  </si>
  <si>
    <t>Лунев Денис Дмитриевич</t>
  </si>
  <si>
    <t>У-19-64753</t>
  </si>
  <si>
    <t>Дементьев Андрей Владимирович</t>
  </si>
  <si>
    <t>У-19-65688</t>
  </si>
  <si>
    <t>Ильясова Жанисат Гасангусеновна</t>
  </si>
  <si>
    <t>У-19-70371</t>
  </si>
  <si>
    <t>Юшина Анжелика Андреевна</t>
  </si>
  <si>
    <t>У-19-70436</t>
  </si>
  <si>
    <t>Земляков Андрей Анатольевич</t>
  </si>
  <si>
    <t>У-19-71190</t>
  </si>
  <si>
    <t>Гришков Руслан Арсенович</t>
  </si>
  <si>
    <t>У-19-71201</t>
  </si>
  <si>
    <t>Воронин Алексей Викторович</t>
  </si>
  <si>
    <t>У-19-72368</t>
  </si>
  <si>
    <t>Кудрявцева Анна Евгеньевна</t>
  </si>
  <si>
    <t>У-19-73089</t>
  </si>
  <si>
    <t>Захаров Кирилл Евгеньевич</t>
  </si>
  <si>
    <t>У-19-73133</t>
  </si>
  <si>
    <t>Тагильцева Светлана Алексеевна</t>
  </si>
  <si>
    <t>У-19-73902</t>
  </si>
  <si>
    <t>Голованова Светлана Николаевна</t>
  </si>
  <si>
    <t>У-19-73942</t>
  </si>
  <si>
    <t>Магарамов Кемран Мамедович</t>
  </si>
  <si>
    <t>Относительно требования Заявителя о взыскании неустойки в связи с нарушением срока выплаты страхового возмещения, Финансовый уполномоченный приходит к следующему.
В соответствии с пунктом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связи с несоблюдением Заявителем обязательного порядка направления заявления в</t>
  </si>
  <si>
    <t>Относительно требования Заявителя о взыскании штрафа в размере 50% от взысканной суммы за неисполнение в добровольном порядке требований потерпевшего Финансовый уполномоченный приходит к следующим выводам.
В соответствии с пунктом 3 статьи 16.1 Закона № 40-ФЗ возможность взыскания штрафа в размере пятидесяти процентов от разницы между совокупным размером страховой выплаты, определенной судом, и размером страховой выплаты, осуществленной страховщиком в добровольном порядке предусмотрена в случае удовлетворения судом требований потерпевшего – физического лица, в связи с чем требования о взыскании штрафа не подлежат рассмотрению финансовым уполномоченным.</t>
  </si>
  <si>
    <t>Относительно требования Заявителя о взыскании компенсации морального вреда Финансовый уполномоченный приходит к следующим выводам.
В силу части 1 статьи 19 Закона № 123-ФЗ финансовый уполномоченный не рассматривает обращения по вопросам, связанным с компенсацией морального вреда и возмещением убытков в виде упущенной выгоды.
Таким образом требования Заявителя о компенсации морального вреда рассмотрению не подлежат.</t>
  </si>
  <si>
    <t>У-19-70844</t>
  </si>
  <si>
    <t>У-19-61717</t>
  </si>
  <si>
    <t>Шумилов Алексей Александрович</t>
  </si>
  <si>
    <t>Фомин Иван Николаевич</t>
  </si>
  <si>
    <t>Ячменева Анна Юрьевна</t>
  </si>
  <si>
    <t>Не предоставили реквизиты</t>
  </si>
  <si>
    <t>ДЕЛ</t>
  </si>
  <si>
    <t>Переделать на прекращалку, т.к. отказали в предоставлении эвакуатора, а машина была не на ходу. При этом нам ТС на осмотр не предоставили, фотоматериалов в деле нет</t>
  </si>
  <si>
    <t>ННР выдано и не оспаривается, хочет на дилера, но дата выпуска ТС 2015 год</t>
  </si>
  <si>
    <t>У-19-70198</t>
  </si>
  <si>
    <t>Алалаев Муса Маликович</t>
  </si>
  <si>
    <t>Взыскиваем, т.к. ННР не содержит необходимых сведений (нет адреса, указания ТС, номера договора, сроке проведения ремонта)</t>
  </si>
  <si>
    <t>Расстояние больше 50 км, доказательства организации эвакуации не предоставлены, СМС не содержит адреса</t>
  </si>
  <si>
    <t>Подписано</t>
  </si>
  <si>
    <t>На согласовании</t>
  </si>
  <si>
    <t>На подписании</t>
  </si>
  <si>
    <t>У-19-70843</t>
  </si>
  <si>
    <t>Колпаков Владимир Алексеевич</t>
  </si>
  <si>
    <t>У-19-62750</t>
  </si>
  <si>
    <t>Малсуйгенов Алик Ахматович</t>
  </si>
  <si>
    <t>У-19-62786</t>
  </si>
  <si>
    <t>ЧЕНСКАЯ ЕКАТЕРИНА Николаевна</t>
  </si>
  <si>
    <t>ФИЛЬТР</t>
  </si>
  <si>
    <t>Выдали повторное ННР, но отподписи отказался, т.к. нет даты в ННР и надлежащим образом не зафиксировали отказ от подписи, ушли в НТЭ</t>
  </si>
  <si>
    <t>Не та дата в НТЭ, связаться с аналитиками, исправить</t>
  </si>
  <si>
    <t>Неустойка после суда. ПП есть</t>
  </si>
  <si>
    <t>ЖИЗНЬ, ПОГРЕБЕНИЕ</t>
  </si>
  <si>
    <t>У-19-71974</t>
  </si>
  <si>
    <t>Шишкин Владимир Владимирович</t>
  </si>
  <si>
    <t>У-19-72036</t>
  </si>
  <si>
    <t>Плешакова Елена Григорьевна</t>
  </si>
  <si>
    <t>У-19-71930</t>
  </si>
  <si>
    <t>Гришаев Дмитрий Сергеевич</t>
  </si>
  <si>
    <t>Прекращение УТС красивое</t>
  </si>
  <si>
    <t>УТС без рассмотрения, в остальном ок</t>
  </si>
  <si>
    <t>Переделать на отказ, ННР в срок, удаленность 11 км</t>
  </si>
  <si>
    <t>НТЭ по среднему где ответственность застрахована виновника</t>
  </si>
  <si>
    <t>Жопная неустойка (3 суда и куча РГСовский документов). Дать оценку доводам ФО об оплате 2400₽. Оценка доводам дана</t>
  </si>
  <si>
    <t>У-19-64041</t>
  </si>
  <si>
    <t>У-19-71922</t>
  </si>
  <si>
    <t>Миносян Ишхан Гарикович</t>
  </si>
  <si>
    <t>Бурмаков Илья Александрович</t>
  </si>
  <si>
    <t>У-19-65185</t>
  </si>
  <si>
    <t>У-19-65196</t>
  </si>
  <si>
    <t>У-19-65782</t>
  </si>
  <si>
    <t>У-19-65795</t>
  </si>
  <si>
    <t>У-19-72868</t>
  </si>
  <si>
    <t>У-19-72885</t>
  </si>
  <si>
    <t>У-19-72890</t>
  </si>
  <si>
    <t>У-19-72908</t>
  </si>
  <si>
    <t>У-19-73578</t>
  </si>
  <si>
    <t>У-19-73579</t>
  </si>
  <si>
    <t>Савельев Сергей Анатольевич</t>
  </si>
  <si>
    <t>Казанцев Александр Борисович</t>
  </si>
  <si>
    <t>Килоев Беслан Обоевич</t>
  </si>
  <si>
    <t>Маркман Анна Викторовна</t>
  </si>
  <si>
    <t>Шарыпов Максим Сергеевич</t>
  </si>
  <si>
    <t>Христофоров Алексей Александрович</t>
  </si>
  <si>
    <t>Радостев Иван Иванович</t>
  </si>
  <si>
    <t>Поляков Александр Алексеевич</t>
  </si>
  <si>
    <t>Гора Наталья Борисовна</t>
  </si>
  <si>
    <t>Моисеев Александр Валерьевич</t>
  </si>
  <si>
    <t>Невозможно установить периоды, за которые судами взыскана неустойка</t>
  </si>
  <si>
    <t>Прекращение, нет даты обращени в ФО</t>
  </si>
  <si>
    <t>Неустойка после суда, в суде заявлялась. Выплатили по его претензии, но на день ошиблись в расчетах. Отказываем, как добровольно исполненное</t>
  </si>
  <si>
    <t>НЕУСТОЙКА НА РЕШ ФУ ЖИЗНЬ</t>
  </si>
  <si>
    <t>Выплата в срок по решению ФУ, поэтому отказ</t>
  </si>
  <si>
    <t>Добавить мотивировку по 16.1</t>
  </si>
  <si>
    <t>Пересчитать с учетом взысканной судом неустойки. Неустойка, суд взыскал частично</t>
  </si>
  <si>
    <t>Выплата 125000, заработок 34000 по НТЭ ФУ. Утраченный заработок не превышает выплату по Нормативам</t>
  </si>
  <si>
    <t>Неустойка, ФО идет в суд в иском о снижении неустойки</t>
  </si>
  <si>
    <t>НЕУСТОЙКА, СУД</t>
  </si>
  <si>
    <t>ВИНОВНИК НЕ ЗАСТРАХОВАН</t>
  </si>
  <si>
    <t>Велосипед</t>
  </si>
  <si>
    <t>Должен идти по ПВУ, а идет в ФО виновника</t>
  </si>
  <si>
    <t>Переделать на отказ, т.к. неустойку не просит, а просит ущерб, УТС и НТЭ</t>
  </si>
  <si>
    <t>Добавить требования</t>
  </si>
  <si>
    <t>Выдали ННР, но исключили часть повреждений, по НТЭ ФУ данные повреждения относятся к ДТП</t>
  </si>
  <si>
    <t>Запрос удостоверения</t>
  </si>
  <si>
    <t>У-19-66158</t>
  </si>
  <si>
    <t>Попович Максим Иванович</t>
  </si>
  <si>
    <t>У-19-66160</t>
  </si>
  <si>
    <t>Березинец Егор Владимирович</t>
  </si>
  <si>
    <t>У-19-68112</t>
  </si>
  <si>
    <t>Зарипов Денис Ильдарович</t>
  </si>
  <si>
    <t>У-19-69852</t>
  </si>
  <si>
    <t>Котанджян Альберт Воронцовович</t>
  </si>
  <si>
    <t>У-19-74822</t>
  </si>
  <si>
    <t>Митченко Александр Алексеевич</t>
  </si>
  <si>
    <t>У-19-74824</t>
  </si>
  <si>
    <t>Заварзин Андрей Леонидович</t>
  </si>
  <si>
    <t>У-19-74826</t>
  </si>
  <si>
    <t>Фомин Алексей Александрович</t>
  </si>
  <si>
    <t>У-19-75138</t>
  </si>
  <si>
    <t>Попкова Маргарита Викторовна</t>
  </si>
  <si>
    <t>У-19-75139</t>
  </si>
  <si>
    <t>Демин Лев Петрович</t>
  </si>
  <si>
    <t>У-19-75140</t>
  </si>
  <si>
    <t>Комягина Анжелика Петровна</t>
  </si>
  <si>
    <t>У-19-75141</t>
  </si>
  <si>
    <t>Жданов Андрей Александрович</t>
  </si>
  <si>
    <t>У-19-75143</t>
  </si>
  <si>
    <t>Агидуллин Азат Адикович</t>
  </si>
  <si>
    <t>У-19-76193</t>
  </si>
  <si>
    <t>Паршакова Татьяна Евгеньевна</t>
  </si>
  <si>
    <t>У-19-76195</t>
  </si>
  <si>
    <t>Помазов Сергей Олегович</t>
  </si>
  <si>
    <t>У-19-76196</t>
  </si>
  <si>
    <t>Спиридонова Елена Витальевна</t>
  </si>
  <si>
    <t>У-19-76197</t>
  </si>
  <si>
    <t>Абрамов Михаил Евгеньевич</t>
  </si>
  <si>
    <t>У-19-76795</t>
  </si>
  <si>
    <t>Гаврилов Максим Александрович</t>
  </si>
  <si>
    <t>У-19-76827</t>
  </si>
  <si>
    <t>Форшнев Александр Захариевич</t>
  </si>
  <si>
    <t>У-19-76831</t>
  </si>
  <si>
    <t>Михайлов Павел Евгеньевич</t>
  </si>
  <si>
    <t>У-19-76834</t>
  </si>
  <si>
    <t>Семаш Александр Анатольевич</t>
  </si>
  <si>
    <t>У-19-76835</t>
  </si>
  <si>
    <t>Власов Денис Борисович</t>
  </si>
  <si>
    <t>У-19-77881</t>
  </si>
  <si>
    <t>Насонова Елена Леонидовна</t>
  </si>
  <si>
    <t>У-19-77898</t>
  </si>
  <si>
    <t>Валягин Александр Владимирович</t>
  </si>
  <si>
    <t>У-19-77899</t>
  </si>
  <si>
    <t>Кудинова Вероника Николаевна</t>
  </si>
  <si>
    <t>У-19-77901</t>
  </si>
  <si>
    <t>Корчемкин Анатолий Иванович</t>
  </si>
  <si>
    <t>У-19-78668</t>
  </si>
  <si>
    <t>Вульфсон Дмитрий Семенович</t>
  </si>
  <si>
    <t>У-19-78673</t>
  </si>
  <si>
    <t>Кириленко Артем Викторович</t>
  </si>
  <si>
    <t>У-19-78674</t>
  </si>
  <si>
    <t>Суворова Валентина Алексеевна</t>
  </si>
  <si>
    <t>У-19-79203</t>
  </si>
  <si>
    <t>Джанаев Заур Аланович</t>
  </si>
  <si>
    <t>У-19-79294</t>
  </si>
  <si>
    <t>Головахин Андрей Владимирович</t>
  </si>
  <si>
    <t>У-19-79306</t>
  </si>
  <si>
    <t>Маликов Наиль Аксанович</t>
  </si>
  <si>
    <t>У-19-79307</t>
  </si>
  <si>
    <t>Карелина Тамара Давыдовна</t>
  </si>
  <si>
    <t>У-19-79309</t>
  </si>
  <si>
    <t>Жарко Сергей Михайлович</t>
  </si>
  <si>
    <t>У-19-55919</t>
  </si>
  <si>
    <t>Даллакян Сильва Ашотовна</t>
  </si>
  <si>
    <t>У-19-58552</t>
  </si>
  <si>
    <t>Волков Вадим Алексеевич</t>
  </si>
  <si>
    <t>У-19-59170</t>
  </si>
  <si>
    <t>Сарваров Ибрагим Биналиевич</t>
  </si>
  <si>
    <t>У-19-66274</t>
  </si>
  <si>
    <t>Джанаев Джанай Абдулазизович</t>
  </si>
  <si>
    <t>У-19-66351</t>
  </si>
  <si>
    <t>Лейченков Артур Сергеевич</t>
  </si>
  <si>
    <t>У-19-68354</t>
  </si>
  <si>
    <t>Солдатов Иван Сергеевич</t>
  </si>
  <si>
    <t>У-19-68356</t>
  </si>
  <si>
    <t>Прокопчук Татьяна Сергеевна</t>
  </si>
  <si>
    <t>У-19-68567</t>
  </si>
  <si>
    <t>Закиева Милана Анаровна</t>
  </si>
  <si>
    <t>У-19-69707</t>
  </si>
  <si>
    <t>Зубарев Александр Николаевич</t>
  </si>
  <si>
    <t>У-19-69816</t>
  </si>
  <si>
    <t>Военкова Ирина Николаевна</t>
  </si>
  <si>
    <t>У-19-74580</t>
  </si>
  <si>
    <t>Симонян Самвел Спартакович</t>
  </si>
  <si>
    <t>У-19-74592</t>
  </si>
  <si>
    <t>Пьянченкова Ольга Ивановна</t>
  </si>
  <si>
    <t>У-19-75438</t>
  </si>
  <si>
    <t>Кузнецова Екатерина Александровна</t>
  </si>
  <si>
    <t>У-19-75443</t>
  </si>
  <si>
    <t>Горелик Анатолий Сергеевич</t>
  </si>
  <si>
    <t>У-19-75447</t>
  </si>
  <si>
    <t>ЗАРМЕНСКИХ МИХАИЛ ВЛАДИМИРОВИЧ</t>
  </si>
  <si>
    <t>У-19-75449</t>
  </si>
  <si>
    <t>Туев Виктор Михайлович</t>
  </si>
  <si>
    <t>У-19-75453</t>
  </si>
  <si>
    <t>Тедеев Ирбег Валерьевич</t>
  </si>
  <si>
    <t>У-19-76368</t>
  </si>
  <si>
    <t>Латошкин Владимир Анатольевич</t>
  </si>
  <si>
    <t>У-19-76369</t>
  </si>
  <si>
    <t>Майоров Александр Александрович</t>
  </si>
  <si>
    <t>У-19-76375</t>
  </si>
  <si>
    <t>Лылов Евгений Николаевич</t>
  </si>
  <si>
    <t>У-19-76377</t>
  </si>
  <si>
    <t>Егоян Гарник Агасикович</t>
  </si>
  <si>
    <t>У-19-77094</t>
  </si>
  <si>
    <t>Габоян Гор Норики</t>
  </si>
  <si>
    <t>У-19-77099</t>
  </si>
  <si>
    <t>Журавлев Владимир Сергеевич</t>
  </si>
  <si>
    <t>У-19-77100</t>
  </si>
  <si>
    <t>Абдулханова Дилбер Заферовна</t>
  </si>
  <si>
    <t>У-19-77108</t>
  </si>
  <si>
    <t>Козов Евгений Игоревич</t>
  </si>
  <si>
    <t>У-19-78162</t>
  </si>
  <si>
    <t>Алибеков Арслан Велиханович</t>
  </si>
  <si>
    <t>У-19-78175</t>
  </si>
  <si>
    <t>Чекарамыт Михаил Сергеевич</t>
  </si>
  <si>
    <t>У-19-78179</t>
  </si>
  <si>
    <t>Татаркина Надежда Алексеевна</t>
  </si>
  <si>
    <t>У-19-78181</t>
  </si>
  <si>
    <t>Ворожейкин Кирилл Сергеевич</t>
  </si>
  <si>
    <t>У-19-78933</t>
  </si>
  <si>
    <t>Белоусова Эмилия Владимировна</t>
  </si>
  <si>
    <t>У-19-78934</t>
  </si>
  <si>
    <t>Цисинский Василий Петрович</t>
  </si>
  <si>
    <t>У-19-78936</t>
  </si>
  <si>
    <t>Макаров Дмитрий Владимирович</t>
  </si>
  <si>
    <t>У-19-79778</t>
  </si>
  <si>
    <t>Никитин Владимир Вячеславович</t>
  </si>
  <si>
    <t>У-19-79787</t>
  </si>
  <si>
    <t>Мокеев Игорь Николаевич</t>
  </si>
  <si>
    <t>У-19-79789</t>
  </si>
  <si>
    <t>Соловьев Никита Юрьевич</t>
  </si>
  <si>
    <t>У-19-79792</t>
  </si>
  <si>
    <t>Семенихин Андрей Иванович</t>
  </si>
  <si>
    <t>У-19-79793</t>
  </si>
  <si>
    <t>Кайсабаев Александр Викторович</t>
  </si>
  <si>
    <t>У-19-58619</t>
  </si>
  <si>
    <t>Стерхов Павел Константинович</t>
  </si>
  <si>
    <t>У-19-66500</t>
  </si>
  <si>
    <t>Колычев Алексей Николаевич</t>
  </si>
  <si>
    <t>У-19-66986</t>
  </si>
  <si>
    <t>Волкова Ирина Александровна</t>
  </si>
  <si>
    <t>У-19-67690</t>
  </si>
  <si>
    <t>Тычков Александр Игоревич</t>
  </si>
  <si>
    <t>У-19-68372</t>
  </si>
  <si>
    <t>Волков Денис Аркадьевич</t>
  </si>
  <si>
    <t>У-19-69367</t>
  </si>
  <si>
    <t>Фадеев Евгений Романович</t>
  </si>
  <si>
    <t>У-19-70687</t>
  </si>
  <si>
    <t>Маликова Галина Пармэновна</t>
  </si>
  <si>
    <t>У-19-71068</t>
  </si>
  <si>
    <t>Нестеренко Владислав Сергеевич</t>
  </si>
  <si>
    <t>У-19-72185</t>
  </si>
  <si>
    <t>Баркалаев Чумчал Магомедович</t>
  </si>
  <si>
    <t>У-19-74372</t>
  </si>
  <si>
    <t>Арабова Саимат Рахибовна</t>
  </si>
  <si>
    <t>У-19-75361</t>
  </si>
  <si>
    <t>Темеров Владислав Евгеньевич</t>
  </si>
  <si>
    <t>У-19-75413</t>
  </si>
  <si>
    <t>Орлова Ольга Анатольевна</t>
  </si>
  <si>
    <t>У-19-76326</t>
  </si>
  <si>
    <t>Исаева Светлана Сергеевна</t>
  </si>
  <si>
    <t>У-19-76332</t>
  </si>
  <si>
    <t>Шайнуров Ильдар Фанусович</t>
  </si>
  <si>
    <t>У-19-77035</t>
  </si>
  <si>
    <t>Цурмичева Ольга Александровна</t>
  </si>
  <si>
    <t>У-19-77058</t>
  </si>
  <si>
    <t>Гончаренко Юрий Владимирович</t>
  </si>
  <si>
    <t>У-19-77071</t>
  </si>
  <si>
    <t>Мягчило Иван Викторович</t>
  </si>
  <si>
    <t>АО «СК «Астро-Волга»</t>
  </si>
  <si>
    <t>У-19-78031</t>
  </si>
  <si>
    <t>Боровец Иван Сергеевич</t>
  </si>
  <si>
    <t>У-19-78076</t>
  </si>
  <si>
    <t>Кубышкин Александр Сергеевич Сергеевич</t>
  </si>
  <si>
    <t>У-19-78077</t>
  </si>
  <si>
    <t>Раимжанов Фуркат Равшанович</t>
  </si>
  <si>
    <t>У-19-79596</t>
  </si>
  <si>
    <t>Советов Илья Анатольевич</t>
  </si>
  <si>
    <t>У-19-79597</t>
  </si>
  <si>
    <t>Яворский Максим Александрович</t>
  </si>
  <si>
    <t>У-19-79598</t>
  </si>
  <si>
    <t>Спицын Евгений Александрович</t>
  </si>
  <si>
    <t>У-19-79602</t>
  </si>
  <si>
    <t>Саранский Сергей Андреевич</t>
  </si>
  <si>
    <t>Уточнить по срокам направления</t>
  </si>
  <si>
    <t>У-19-59201</t>
  </si>
  <si>
    <t>Саидов Ахбердилав Магомедович</t>
  </si>
  <si>
    <t>У-19-66340</t>
  </si>
  <si>
    <t>Хлытчиев Андрей Андреевич</t>
  </si>
  <si>
    <t>У-19-68452</t>
  </si>
  <si>
    <t>Саматова Гузель Фаниловна</t>
  </si>
  <si>
    <t>У-19-69550</t>
  </si>
  <si>
    <t>Патюкова Татьяна Степановна</t>
  </si>
  <si>
    <t>У-19-74396</t>
  </si>
  <si>
    <t>Евтух Виктор Федорович</t>
  </si>
  <si>
    <t>У-19-74642</t>
  </si>
  <si>
    <t>Усмаева Юлия Александровна</t>
  </si>
  <si>
    <t>У-19-75547</t>
  </si>
  <si>
    <t>Леонтьев Сергей Владимирович</t>
  </si>
  <si>
    <t>У-19-75555</t>
  </si>
  <si>
    <t>Саргсян Аида Сережаевна</t>
  </si>
  <si>
    <t>У-19-75566</t>
  </si>
  <si>
    <t>Воробьев Сергей Сергеевич</t>
  </si>
  <si>
    <t>У-19-75623</t>
  </si>
  <si>
    <t>Пятаев Артем Олегович</t>
  </si>
  <si>
    <t>У-19-75634</t>
  </si>
  <si>
    <t>Семенов Геннадий Леонидович</t>
  </si>
  <si>
    <t>У-19-76456</t>
  </si>
  <si>
    <t>Гавриш Андрей Евгеньевич</t>
  </si>
  <si>
    <t>У-19-76459</t>
  </si>
  <si>
    <t>Ядров Александр Михайлович</t>
  </si>
  <si>
    <t>У-19-76460</t>
  </si>
  <si>
    <t>Гмыря Екатерина Юрьевна</t>
  </si>
  <si>
    <t>У-19-76463</t>
  </si>
  <si>
    <t>Елисеев Артем Александрович</t>
  </si>
  <si>
    <t>У-19-77309</t>
  </si>
  <si>
    <t>Жуковская Елена Александровна</t>
  </si>
  <si>
    <t>У-19-77344</t>
  </si>
  <si>
    <t>Яхьяев Магомедкурбан Гаджиханович</t>
  </si>
  <si>
    <t>У-19-77355</t>
  </si>
  <si>
    <t>Костецкая Оксана Викторовна</t>
  </si>
  <si>
    <t>У-19-77359</t>
  </si>
  <si>
    <t>Андреев Андрей Викторович</t>
  </si>
  <si>
    <t>У-19-77368</t>
  </si>
  <si>
    <t>Тимеева Татьяна Николаевна</t>
  </si>
  <si>
    <t>У-19-78319</t>
  </si>
  <si>
    <t>Болдырева Любовь Степановна</t>
  </si>
  <si>
    <t>У-19-78346</t>
  </si>
  <si>
    <t>Токарев Константин Игоревич</t>
  </si>
  <si>
    <t>У-19-78309</t>
  </si>
  <si>
    <t>Чупренко Ирина Вячеславовна</t>
  </si>
  <si>
    <t>У-19-79044</t>
  </si>
  <si>
    <t>Эскирханов Муслим Саид-Магомедович</t>
  </si>
  <si>
    <t>У-19-79053</t>
  </si>
  <si>
    <t>Кабаев Алексей Викторович</t>
  </si>
  <si>
    <t>У-19-79057</t>
  </si>
  <si>
    <t>Войцешко Антон Валерьевич</t>
  </si>
  <si>
    <t>ООО РСО «ЕВРОИНС»</t>
  </si>
  <si>
    <t>У-19-79087</t>
  </si>
  <si>
    <t>Газимжанова Елена Николаевна</t>
  </si>
  <si>
    <t>У-19-79902</t>
  </si>
  <si>
    <t>Машадиев Вафадар Мусаллим Оглы</t>
  </si>
  <si>
    <t>У-19-79903</t>
  </si>
  <si>
    <t>Кравченко Сергей Александрович</t>
  </si>
  <si>
    <t>У-19-79907</t>
  </si>
  <si>
    <t>Рыков Михаил Юрьевич</t>
  </si>
  <si>
    <t>У-19-79909</t>
  </si>
  <si>
    <t>Иванов Антон Анатольевич</t>
  </si>
  <si>
    <t>ТАКСИ</t>
  </si>
  <si>
    <t>Не обращался в порядке статьи 16 ФЗ-123</t>
  </si>
  <si>
    <t>У-19-57811</t>
  </si>
  <si>
    <t>Гулиева Айтекин Закировна</t>
  </si>
  <si>
    <t>У-19-75945</t>
  </si>
  <si>
    <t>Черников Андрей Владимирович</t>
  </si>
  <si>
    <t>У-19-67344</t>
  </si>
  <si>
    <t>Востриков Владислав Дмитриевич</t>
  </si>
  <si>
    <t>У-19-67356</t>
  </si>
  <si>
    <t>Абдрахманова Айман Жолдыгалиевна</t>
  </si>
  <si>
    <t>Бронированая</t>
  </si>
  <si>
    <t>У-19-67950</t>
  </si>
  <si>
    <t>У-19-69187</t>
  </si>
  <si>
    <t>У-19-70638</t>
  </si>
  <si>
    <t>У-19-70896</t>
  </si>
  <si>
    <t>У-19-71679</t>
  </si>
  <si>
    <t>У-19-72131</t>
  </si>
  <si>
    <t>У-19-72208</t>
  </si>
  <si>
    <t>У-19-76213</t>
  </si>
  <si>
    <t>У-19-76214</t>
  </si>
  <si>
    <t>У-19-76221</t>
  </si>
  <si>
    <t>У-19-76232</t>
  </si>
  <si>
    <t>У-19-76234</t>
  </si>
  <si>
    <t>У-19-77343</t>
  </si>
  <si>
    <t>У-19-77345</t>
  </si>
  <si>
    <t>У-19-77403</t>
  </si>
  <si>
    <t>У-19-77409</t>
  </si>
  <si>
    <t>У-19-77543</t>
  </si>
  <si>
    <t>У-19-77545</t>
  </si>
  <si>
    <t>У-19-77551</t>
  </si>
  <si>
    <t>У-19-78240</t>
  </si>
  <si>
    <t>У-19-78242</t>
  </si>
  <si>
    <t>У-19-78245</t>
  </si>
  <si>
    <t>У-19-78246</t>
  </si>
  <si>
    <t>У-19-79851</t>
  </si>
  <si>
    <t>У-19-79853</t>
  </si>
  <si>
    <t>Семенов Владимир Владимирович</t>
  </si>
  <si>
    <t>Гусева Елена Владимировна</t>
  </si>
  <si>
    <t>Щепилова Ирина Николаевна</t>
  </si>
  <si>
    <t>Чайников Егор Сергеевич</t>
  </si>
  <si>
    <t>Сидорова Ольга Владимировна</t>
  </si>
  <si>
    <t>Ушаков Иван Игоревич</t>
  </si>
  <si>
    <t>Савченков Иван Сергеевич</t>
  </si>
  <si>
    <t>Шаповалов Роман Андреевич</t>
  </si>
  <si>
    <t>Зеленцов Анатолий Сергеевич</t>
  </si>
  <si>
    <t>Кузнецов Сергей Алексеевич</t>
  </si>
  <si>
    <t>Усманов Минерафис Гараевич</t>
  </si>
  <si>
    <t>Остапенко Людмила Анатольевна</t>
  </si>
  <si>
    <t>Кусраев Марат Гивиевич</t>
  </si>
  <si>
    <t>Канаматов Халит Ильясович</t>
  </si>
  <si>
    <t>Голубев Илья Игоревич</t>
  </si>
  <si>
    <t>Теплинский Виталий Сергеевич</t>
  </si>
  <si>
    <t>Гербеков Артур Муратович</t>
  </si>
  <si>
    <t>Мацнев Олег Олегович</t>
  </si>
  <si>
    <t>Цыбушкин Михаил Анатольевич</t>
  </si>
  <si>
    <t>Коваль Вера Александровна</t>
  </si>
  <si>
    <t>Беспалов Владимир Тимофеевич</t>
  </si>
  <si>
    <t>БОРИС КУЗНЕЦОВ Борисович</t>
  </si>
  <si>
    <t>Калюжный Юрий Викторович</t>
  </si>
  <si>
    <t>Ильина Валентина Ильинична</t>
  </si>
  <si>
    <t>Коваль Елена Валентиновна</t>
  </si>
  <si>
    <t>Неустойка без суда</t>
  </si>
  <si>
    <t>НТЭ не пришла</t>
  </si>
  <si>
    <t>Шумилов</t>
  </si>
  <si>
    <t>395 ГК РФ</t>
  </si>
  <si>
    <t>НЕУСТОЙКА 395</t>
  </si>
  <si>
    <t>У-19-67016</t>
  </si>
  <si>
    <t>Антоносян Инеза Николаевна</t>
  </si>
  <si>
    <t>Дописать про направление на ремонт</t>
  </si>
  <si>
    <t>Смотрел, накосячили в НТЭ ФУ, нужно переделать</t>
  </si>
  <si>
    <t>Неустойка после суда. Нет сведений о стоимости ремонта</t>
  </si>
  <si>
    <t>У-19-68633</t>
  </si>
  <si>
    <t>Сероусова Татьяна Леонидовна</t>
  </si>
  <si>
    <t>У-19-76597</t>
  </si>
  <si>
    <t>Шишкина Татьяна Александровна</t>
  </si>
  <si>
    <t>У-19-76887</t>
  </si>
  <si>
    <t>Пронькин Петр Яковлевич</t>
  </si>
  <si>
    <t>Вроде как в срок выдано, нужно уточнить, обратился 29.05.2019, сам пишет о том, что ННР получил 17.06.2019, т.е. в срок</t>
  </si>
  <si>
    <t>Прописать про недействительное соглашение и конклюдентные действия (не вернул деньги)</t>
  </si>
  <si>
    <t>Прекращение, т.к. нет ответа от ФО виновника</t>
  </si>
  <si>
    <t>Сибатров</t>
  </si>
  <si>
    <t>Прекращение, фотки плохие. Хахалев</t>
  </si>
  <si>
    <t>НТЭ не пришла.Сибатров</t>
  </si>
  <si>
    <t>Нечаева</t>
  </si>
  <si>
    <t>Из Обращения не следует, что Заявитель в порядке статьи 16 Закона № 123-ФЗ обращался в СПАО «Ингосстрах» с заявлением о выплате УТС, таким образом, основания для рассмотрения Обращения в порядке, предусмотренном Законом № 123-ФЗ, отсутствуют.</t>
  </si>
  <si>
    <t>10.10.2019 Заявитель обратился в АО «СОГАЗ» с заявлением о выплате УТС, 04.12.2019 АО «СОГАЗ» на расчетный счет Заявителя была произведена выплата УТС в размере 18 769 рублей 21 копейка.
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t>
  </si>
  <si>
    <t>У-19-77649</t>
  </si>
  <si>
    <t>У-19-69250</t>
  </si>
  <si>
    <t>У-19-55760</t>
  </si>
  <si>
    <t>Азаренков Александр Викторович</t>
  </si>
  <si>
    <t>Гребенкин Сергей Юрьевич</t>
  </si>
  <si>
    <t>ООО "Авторемонт Кар"</t>
  </si>
  <si>
    <t>ЗАЯВИТЕЛЬ ВИНОВНИК</t>
  </si>
  <si>
    <t>Заявитель сам виновник</t>
  </si>
  <si>
    <t>У-19-77623</t>
  </si>
  <si>
    <t>Соловьева Елена Алексеевна</t>
  </si>
  <si>
    <t>У-19-70779</t>
  </si>
  <si>
    <t>Ковригин Станислав Сергеевич</t>
  </si>
  <si>
    <t>Имущество, корова и бык. Выплатили 50% по НТЭ Заявителя</t>
  </si>
  <si>
    <t>У-19-78382</t>
  </si>
  <si>
    <t>Власов Николай Николаевич</t>
  </si>
  <si>
    <t>У-19-78380</t>
  </si>
  <si>
    <t>Перельман Валерий Хаимович</t>
  </si>
  <si>
    <t>ОТКАЗ (ЭКСПЕРТИЗА И ПРЕДСТАВИТЕЛЬСКИЕ ВМЕСТЕ)</t>
  </si>
  <si>
    <t>Рассмотрев требования Заявителя о возмещении расходов на проведение независимой экспертизы и расходов на юридические услуги по подаче претензии, Финансовый уполномоченный пришел к следующим выводам.
Согласно абзацу 3 пункта 1 статьи 16.1 Закона № 40-ФЗ в редакции, действующей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должен направить страховщику письменное заявление, а страховщик обязан рассмотреть его в порядке, установленном Законом № 123-ФЗ.
В соответствии с частью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 
При составлении заявления потребитель может использовать стандартную форму заявления в финансовую организацию, утвержденную решением Совета Службы финансового уполномоченного от 12.04.2019 (протокол № 4) в соответствии с частью 2 статьи 16 Закона № 123-ФЗ и размещенную на официальном сайте финансового уполномоченного 
в информационно-телекоммуникационной сети «Интернет» (www.finombudsman.ru). Указанная форма также не предполагает обязательное приложение к ней экспертного заключения.
Таким образом, законом установлен претензионный порядок, который не требует от Заявителя специальных знаний в юридической сфере 
и проведение независимой экспертизы для подтверждения заявленных требований. Соответственно, расходы Заявителя на проведение независимой экспертизы и расходы на юридические услуги по подаче претензии не являлись необходимыми для подтверждения обоснованности требований Заявителя в рамках соблюдения досудебного порядка и возмещению не подлежат.</t>
  </si>
  <si>
    <t>Прекратились потому что цессия…</t>
  </si>
  <si>
    <t>У-19-70186</t>
  </si>
  <si>
    <t>Хантуева Аминат Наурбеговна</t>
  </si>
  <si>
    <t>Позвонить в суд, уточнить предмер иска. Версию загрузил</t>
  </si>
  <si>
    <t>ДКП</t>
  </si>
  <si>
    <t>Соглашение, пределать на отказ</t>
  </si>
  <si>
    <t>У-19-80041</t>
  </si>
  <si>
    <t>Егорова Людмила Анатольевна</t>
  </si>
  <si>
    <t>У-19-80031</t>
  </si>
  <si>
    <t>Конышева Марина Юрьевна</t>
  </si>
  <si>
    <t>ЗДОРОВЬЕ, ИМУЩЕСТВО</t>
  </si>
  <si>
    <t>Здоровье и велосипед. Нет приговора суда, документов о праве собственности на Имущество. Также имеется информация о том, что Заявитель признан гражданским истцом в рамках уголовного дела</t>
  </si>
  <si>
    <t>Добровольное исполнение неустойки по решению ФУ</t>
  </si>
  <si>
    <t>ДОБР ИСП, НЕУСТОЙКА, ФУ</t>
  </si>
  <si>
    <t>ЗДОРОВЬЕ, СУД</t>
  </si>
  <si>
    <t>Два раза ремонтировалась, хотела третий раз, но ФО выплатила деньгами</t>
  </si>
  <si>
    <t>У-19-70184</t>
  </si>
  <si>
    <t>Шамхалова Гульжанат Алиевна</t>
  </si>
  <si>
    <t>Правильный воыврат документов</t>
  </si>
  <si>
    <t>НЕУСТОЙКА, ЗЕЛЕНАЯ КАРТА</t>
  </si>
  <si>
    <t>У-19-80032</t>
  </si>
  <si>
    <t>Матосян Ирина Валерьевна</t>
  </si>
  <si>
    <t>НЕУСТОЙКА, ЗДОРОВЬЕ</t>
  </si>
  <si>
    <t>Должен идти по ПВУ, а идет в ФО виновника, пишет, что его ответственность не застрахована, но по данным с сайта РСА, полис на машину есть</t>
  </si>
  <si>
    <t>У-19-80323</t>
  </si>
  <si>
    <t>Попов Евгений Юрьевич</t>
  </si>
  <si>
    <t>У-19-80605</t>
  </si>
  <si>
    <t>Донской Дмитрий Сергеевич</t>
  </si>
  <si>
    <t>У-19-80247</t>
  </si>
  <si>
    <t>направлено уведомление о принятии Обращения к рассмотрению от</t>
  </si>
  <si>
    <t xml:space="preserve">, содержащее требование о предоставлении сведений и документов по предмету спора, указанному в Обращении.
</t>
  </si>
  <si>
    <t>Диагностика</t>
  </si>
  <si>
    <t>расходов на диагностику в размере</t>
  </si>
  <si>
    <t>расходов на диагностику</t>
  </si>
  <si>
    <t>расходы на диагностику в размере</t>
  </si>
  <si>
    <t>Каманицын Роман Александрович</t>
  </si>
  <si>
    <t>У-19-80331</t>
  </si>
  <si>
    <t>У-19-80333</t>
  </si>
  <si>
    <t>Джетписбаев Ермурат Бейсенович</t>
  </si>
  <si>
    <t>У-19-80324</t>
  </si>
  <si>
    <t>Голофаст Евгений Сергеевич</t>
  </si>
  <si>
    <t>У-19-73303</t>
  </si>
  <si>
    <t>Пугин Роман Викторович</t>
  </si>
  <si>
    <t>У-19-80444</t>
  </si>
  <si>
    <t>Зайнетдинова Виктория Юнировна</t>
  </si>
  <si>
    <t>У-19-80445</t>
  </si>
  <si>
    <t>Вилков Евгений Александрович</t>
  </si>
  <si>
    <t>У-19-80453</t>
  </si>
  <si>
    <t>Сафонов Виктор Владимирович</t>
  </si>
  <si>
    <t>У-19-80454</t>
  </si>
  <si>
    <t>Кузьменко Александр Леонидович</t>
  </si>
  <si>
    <t>У-19-81391</t>
  </si>
  <si>
    <t>Пушенков Денис Александрович</t>
  </si>
  <si>
    <t>У-19-81401</t>
  </si>
  <si>
    <t>Ерохин Виктор Сергеевич</t>
  </si>
  <si>
    <t>У-19-81417</t>
  </si>
  <si>
    <t>Суконкина Алла Владимировна</t>
  </si>
  <si>
    <t>У-19-81423</t>
  </si>
  <si>
    <t>Близнев Николай Евгеньевич</t>
  </si>
  <si>
    <t>У-19-82286</t>
  </si>
  <si>
    <t>Плиска Кирилл Сергеевич</t>
  </si>
  <si>
    <t>У-19-82293</t>
  </si>
  <si>
    <t>Гуртовая Наталья Владимировна</t>
  </si>
  <si>
    <t>У-19-82317</t>
  </si>
  <si>
    <t>Юрьев Михаил Владимирович</t>
  </si>
  <si>
    <t>У-19-82326</t>
  </si>
  <si>
    <t>Исаджанян Артур Андреевич</t>
  </si>
  <si>
    <t>У-19-82354</t>
  </si>
  <si>
    <t>Зинков Алексей Александрович</t>
  </si>
  <si>
    <t>У-19-82895</t>
  </si>
  <si>
    <t>Затычин Андрей Александрович</t>
  </si>
  <si>
    <t>У-19-82913</t>
  </si>
  <si>
    <t>Календжян Эдгар Андроникович</t>
  </si>
  <si>
    <t>У-19-82925</t>
  </si>
  <si>
    <t>Злобин Сергей Владимирович</t>
  </si>
  <si>
    <t>У-19-83634</t>
  </si>
  <si>
    <t>Бекоев Валерий Ахсарович</t>
  </si>
  <si>
    <t>У-19-83637</t>
  </si>
  <si>
    <t>Хошимов Далер Акрамович</t>
  </si>
  <si>
    <t>У-19-83660</t>
  </si>
  <si>
    <t>Юпатова Юлия Александровна</t>
  </si>
  <si>
    <t>У-19-83757</t>
  </si>
  <si>
    <t>Геворгян Аргишти Ашотович</t>
  </si>
  <si>
    <t>У-19-83760</t>
  </si>
  <si>
    <t>Долгих Эдуард Валерьевич</t>
  </si>
  <si>
    <t>У-19-84785</t>
  </si>
  <si>
    <t>Румянцев Александр Александрович</t>
  </si>
  <si>
    <t>У-19-84787</t>
  </si>
  <si>
    <t>Татраев Радион Ахсарович</t>
  </si>
  <si>
    <t>У-19-84788</t>
  </si>
  <si>
    <t>Поздеев Алексей Николаевич</t>
  </si>
  <si>
    <t>У-19-84790</t>
  </si>
  <si>
    <t>Довгаль Михаил Сергеевич</t>
  </si>
  <si>
    <t>У-19-75054</t>
  </si>
  <si>
    <t>Дугулубгов Заур Хабасович</t>
  </si>
  <si>
    <t>У-19-75071</t>
  </si>
  <si>
    <t>Пелевин Дмитрий Владимирович</t>
  </si>
  <si>
    <t>У-19-80101</t>
  </si>
  <si>
    <t>Захаренко Светлана Владимировна</t>
  </si>
  <si>
    <t>У-19-80103</t>
  </si>
  <si>
    <t>Ситников Александр Николаевич</t>
  </si>
  <si>
    <t>У-19-80106</t>
  </si>
  <si>
    <t>Курамагомедов Алик Магомедович</t>
  </si>
  <si>
    <t>У-19-80958</t>
  </si>
  <si>
    <t>Ненашев Владислав Николаевич</t>
  </si>
  <si>
    <t>У-19-80960</t>
  </si>
  <si>
    <t>Агаев Мушвиг Судеф Оглы</t>
  </si>
  <si>
    <t>У-19-80961</t>
  </si>
  <si>
    <t>Герасимов Александр Игоревич</t>
  </si>
  <si>
    <t>У-19-81467</t>
  </si>
  <si>
    <t>Хорошавина Наталья Васильевна</t>
  </si>
  <si>
    <t>У-19-81820</t>
  </si>
  <si>
    <t>Хайруллин Рушан Рашитович</t>
  </si>
  <si>
    <t>У-19-81822</t>
  </si>
  <si>
    <t>Писаревский Антон Юрьевич</t>
  </si>
  <si>
    <t>У-19-81860</t>
  </si>
  <si>
    <t>Юшечкин Виктор Петрович</t>
  </si>
  <si>
    <t>У-19-81864</t>
  </si>
  <si>
    <t>Гуриев Давид Самсонович</t>
  </si>
  <si>
    <t>У-19-81866</t>
  </si>
  <si>
    <t>Григорьев Андрей Александрович</t>
  </si>
  <si>
    <t>У-19-82484</t>
  </si>
  <si>
    <t>Грачев Михаил Викторович</t>
  </si>
  <si>
    <t>У-19-82558</t>
  </si>
  <si>
    <t>Забабурин Александр Петрович</t>
  </si>
  <si>
    <t>У-19-82560</t>
  </si>
  <si>
    <t>Суязов Евгений Вениаминович</t>
  </si>
  <si>
    <t>У-19-83390</t>
  </si>
  <si>
    <t>Лесниченко Ольга Ивановна</t>
  </si>
  <si>
    <t>У-19-83393</t>
  </si>
  <si>
    <t>Дарчиев Игорь Николаевич</t>
  </si>
  <si>
    <t>У-19-83400</t>
  </si>
  <si>
    <t>Гусейнов Зулфигар Имран Оглы</t>
  </si>
  <si>
    <t>У-19-83401</t>
  </si>
  <si>
    <t>Юдин Денис Васильевич</t>
  </si>
  <si>
    <t>У-19-84409</t>
  </si>
  <si>
    <t>Гусейнов Кярам Акпер Оглы</t>
  </si>
  <si>
    <t>У-19-84486</t>
  </si>
  <si>
    <t>Стройкин Роман Александрович</t>
  </si>
  <si>
    <t>У-19-84488</t>
  </si>
  <si>
    <t>Маркаров Дмитрий Валерьевич</t>
  </si>
  <si>
    <t>У-19-84558</t>
  </si>
  <si>
    <t>У-19-61953</t>
  </si>
  <si>
    <t>ИП Чернега Мария Владимировна</t>
  </si>
  <si>
    <t>У-19-64467</t>
  </si>
  <si>
    <t>Гамахария Джони Роландиевич</t>
  </si>
  <si>
    <t>У-19-66025</t>
  </si>
  <si>
    <t>Княжева Оксана Леонидовна</t>
  </si>
  <si>
    <t>У-19-67152</t>
  </si>
  <si>
    <t>Мускиева Аминат Супьяновна</t>
  </si>
  <si>
    <t>У-19-69356</t>
  </si>
  <si>
    <t>Очерет Петр Владимирович</t>
  </si>
  <si>
    <t>У-19-72938</t>
  </si>
  <si>
    <t>Приз Лев Муратович</t>
  </si>
  <si>
    <t>У-19-72940</t>
  </si>
  <si>
    <t>Колесников Борис Васильевич</t>
  </si>
  <si>
    <t>У-19-73748</t>
  </si>
  <si>
    <t>Курочкина Елена Васильевна</t>
  </si>
  <si>
    <t>У-19-77075</t>
  </si>
  <si>
    <t>Волков Алексей Николаевич</t>
  </si>
  <si>
    <t>У-19-77082</t>
  </si>
  <si>
    <t>Терещенко Вячеслав Русланович</t>
  </si>
  <si>
    <t>У-19-79859</t>
  </si>
  <si>
    <t>Ахмедьянов Дмитрий Иванович</t>
  </si>
  <si>
    <t>У-19-79861</t>
  </si>
  <si>
    <t>Алик Аветесян Ашоти</t>
  </si>
  <si>
    <t>У-19-81213</t>
  </si>
  <si>
    <t>Денисов Дмитрий Сергеевич</t>
  </si>
  <si>
    <t>У-19-81219</t>
  </si>
  <si>
    <t>Бровкин Алексей Игоревич</t>
  </si>
  <si>
    <t>У-19-81222</t>
  </si>
  <si>
    <t>Черепанова Ирина Владимирович</t>
  </si>
  <si>
    <t>У-19-81229</t>
  </si>
  <si>
    <t>Новикова Наталья Владимировна</t>
  </si>
  <si>
    <t>У-19-81926</t>
  </si>
  <si>
    <t>Фасхутдинов Анвар Рашидович</t>
  </si>
  <si>
    <t>У-19-81927</t>
  </si>
  <si>
    <t>Прокофьев Иван Викторович</t>
  </si>
  <si>
    <t>У-19-81937</t>
  </si>
  <si>
    <t>Фолосов Роман Георгиевич</t>
  </si>
  <si>
    <t>У-19-81962</t>
  </si>
  <si>
    <t>Болквадзе Анзор -</t>
  </si>
  <si>
    <t>У-19-82946</t>
  </si>
  <si>
    <t>Кириллов Игорь Сергеевич</t>
  </si>
  <si>
    <t>У-19-82960</t>
  </si>
  <si>
    <t>Ушаков Иван Максимович</t>
  </si>
  <si>
    <t>У-19-82964</t>
  </si>
  <si>
    <t>Новикова Анна Александровна</t>
  </si>
  <si>
    <t>У-19-82977</t>
  </si>
  <si>
    <t>Шипунов Георгий Александрович</t>
  </si>
  <si>
    <t>У-19-83847</t>
  </si>
  <si>
    <t>Таджиматов Шомахаммад Дилшадович</t>
  </si>
  <si>
    <t>У-19-83850</t>
  </si>
  <si>
    <t>Рожнов Роман Александрович</t>
  </si>
  <si>
    <t>У-19-83854</t>
  </si>
  <si>
    <t>Шведовченко Елена Сергеевна</t>
  </si>
  <si>
    <t>АО «Боровицкое страховое общество»</t>
  </si>
  <si>
    <t>У-19-84467</t>
  </si>
  <si>
    <t>Усков Алексей Евгеньевич</t>
  </si>
  <si>
    <t>У-19-84475</t>
  </si>
  <si>
    <t>Кликушина Татьяна Юрьевна</t>
  </si>
  <si>
    <t>У-19-84493</t>
  </si>
  <si>
    <t>Алексеев Роман Владимирович</t>
  </si>
  <si>
    <t>У-19-84501</t>
  </si>
  <si>
    <t>Иваньшина Марина Олеговна</t>
  </si>
  <si>
    <t>У-19-85422</t>
  </si>
  <si>
    <t>Коробов Павел Николаевич</t>
  </si>
  <si>
    <t>У-19-85424</t>
  </si>
  <si>
    <t>Сатлер Алексей Иванович</t>
  </si>
  <si>
    <t>У-19-85426</t>
  </si>
  <si>
    <t>Дмитриев Константин Михайлович</t>
  </si>
  <si>
    <t>У-19-85428</t>
  </si>
  <si>
    <t>Сотников Даниил Сергеевич</t>
  </si>
  <si>
    <t>У-19-85429</t>
  </si>
  <si>
    <t>Утюгалиев Самат Сергеевич</t>
  </si>
  <si>
    <t>запрошенные сведения и документы предоставлены не были.</t>
  </si>
  <si>
    <t>, что в соответствии с пунктом 4 статьи 20 Закона № 123-ФЗ не препятствует рассмотрению Обращения по существу.</t>
  </si>
  <si>
    <t>Вариант получения</t>
  </si>
  <si>
    <t>Дата получения телеграммы</t>
  </si>
  <si>
    <t>Осмотр</t>
  </si>
  <si>
    <t>Уведомление о вручении</t>
  </si>
  <si>
    <t>Получено</t>
  </si>
  <si>
    <t>Не получено</t>
  </si>
  <si>
    <t>Письмо</t>
  </si>
  <si>
    <t>Уведомление об осмотре 1 (ТЕЛЕГРАММА)</t>
  </si>
  <si>
    <t>Уведомление об осмотре 2 (ТЕЛЕГРАММА)</t>
  </si>
  <si>
    <t>Уведомление об осмотре 1 (ПИСЬМО)</t>
  </si>
  <si>
    <t>Направление на осмотр</t>
  </si>
  <si>
    <t>Подтверждение</t>
  </si>
  <si>
    <t>Опись</t>
  </si>
  <si>
    <t>Идентификатор</t>
  </si>
  <si>
    <t>Доставлено в место вручения</t>
  </si>
  <si>
    <t>Передано в отделение связи</t>
  </si>
  <si>
    <t>Вручено Заявителю</t>
  </si>
  <si>
    <t>Уведомление об осмотре 2 (ПИСЬМО)</t>
  </si>
  <si>
    <t>по адресу:</t>
  </si>
  <si>
    <t>Согласно уведомлению о вручении №</t>
  </si>
  <si>
    <t>телеграмма</t>
  </si>
  <si>
    <t>получена Заявителем</t>
  </si>
  <si>
    <t>не получена (по причине того, что квартира закрыта, адресат по извещению за телеграммой не явился)</t>
  </si>
  <si>
    <t>страхового возмещения вследствие причинения вреда здоровью по договору обязательного страхования гражданской ответственности владельцев транспортных средств (далее – ОСАГО) в размере</t>
  </si>
  <si>
    <t>страхового возмещения вследствие причинения вреда жизни по договору обязательного страхования гражданской ответственности владельцев транспортных средств (далее – ОСАГО) в размере</t>
  </si>
  <si>
    <t>Борзенкова Диана Сергеевна</t>
  </si>
  <si>
    <t>У-19-80427</t>
  </si>
  <si>
    <t>Панков Иван Николаевич</t>
  </si>
  <si>
    <t>У-19-80426</t>
  </si>
  <si>
    <t>Романов Михаил Владимирович</t>
  </si>
  <si>
    <t>У-19-80425</t>
  </si>
  <si>
    <t>Масягутов Дамир Ринатович</t>
  </si>
  <si>
    <t>У-19-81093</t>
  </si>
  <si>
    <t>Коробейникова Лариса Эдуардовна</t>
  </si>
  <si>
    <t>Хочет доплату 10000 за ремонт, которую сам оплатил, квитанция не ИП, тогда как работы выполнялись ООО</t>
  </si>
  <si>
    <t>У-19-73977</t>
  </si>
  <si>
    <t>Керимов Якуб Магомедрашидович</t>
  </si>
  <si>
    <t>У-19-74506</t>
  </si>
  <si>
    <t>Лукьянчук Олег Дмитриевич</t>
  </si>
  <si>
    <t>У-19-75649</t>
  </si>
  <si>
    <t>Богавеев Булат Рашидович</t>
  </si>
  <si>
    <t>У-19-80675</t>
  </si>
  <si>
    <t>Сотников Сергей Викторович</t>
  </si>
  <si>
    <t>У-19-80679</t>
  </si>
  <si>
    <t>Абальян Алексей Владимирович</t>
  </si>
  <si>
    <t>У-19-80715</t>
  </si>
  <si>
    <t>Аксенова Анастасия Евгеньевна</t>
  </si>
  <si>
    <t>У-19-81541</t>
  </si>
  <si>
    <t>Исанбаев Раян Эдуардович</t>
  </si>
  <si>
    <t>У-19-81542</t>
  </si>
  <si>
    <t>Арбузкин Сергей Николаевич</t>
  </si>
  <si>
    <t>У-19-81556</t>
  </si>
  <si>
    <t>Валиуллин Руслан Мансурович</t>
  </si>
  <si>
    <t>У-19-82752</t>
  </si>
  <si>
    <t>Абдуллина Лилия Ришатовна</t>
  </si>
  <si>
    <t>У-19-82851</t>
  </si>
  <si>
    <t>Багинский Андрей Евгеньевич</t>
  </si>
  <si>
    <t>У-19-82854</t>
  </si>
  <si>
    <t>Даньшина Инна Валентиновна</t>
  </si>
  <si>
    <t>У-19-82856</t>
  </si>
  <si>
    <t>Черпаков Алексей Александрович</t>
  </si>
  <si>
    <t>У-19-82974</t>
  </si>
  <si>
    <t>Якубов Магомедрасул Магомедович</t>
  </si>
  <si>
    <t>У-19-82978</t>
  </si>
  <si>
    <t>Садибеков Руслан Ержанович</t>
  </si>
  <si>
    <t>У-19-82980</t>
  </si>
  <si>
    <t>Пастырев Радик Мунирович</t>
  </si>
  <si>
    <t>У-19-83906</t>
  </si>
  <si>
    <t>Клепиков Александр Сергеевич</t>
  </si>
  <si>
    <t>У-19-83935</t>
  </si>
  <si>
    <t>Астафьев Владимир Викторович</t>
  </si>
  <si>
    <t>У-19-83972</t>
  </si>
  <si>
    <t>Воронков Валерий Геннадьевич</t>
  </si>
  <si>
    <t>У-19-83973</t>
  </si>
  <si>
    <t>Иванова Екатерина Ивановна</t>
  </si>
  <si>
    <t>У-19-84904</t>
  </si>
  <si>
    <t>Кривцов Александр Сергеевич</t>
  </si>
  <si>
    <t>У-19-84914</t>
  </si>
  <si>
    <t>Перегуда Лев Юрьевич</t>
  </si>
  <si>
    <t>У-19-84917</t>
  </si>
  <si>
    <t>Аникин Станислав Александрович</t>
  </si>
  <si>
    <t>У-19-84922</t>
  </si>
  <si>
    <t>Грачев Иван Сергеевич</t>
  </si>
  <si>
    <t>У-19-80424</t>
  </si>
  <si>
    <t>Маркин Сергей Сергеевич</t>
  </si>
  <si>
    <t>У-19-81253</t>
  </si>
  <si>
    <t>Бутченко Денис Игоревич</t>
  </si>
  <si>
    <t>У-19-81347</t>
  </si>
  <si>
    <t>Хубиев Асланбек Мухаджирович</t>
  </si>
  <si>
    <t>У-19-80925</t>
  </si>
  <si>
    <t>У-19-80927</t>
  </si>
  <si>
    <t>У-19-80931</t>
  </si>
  <si>
    <t>У-19-81035</t>
  </si>
  <si>
    <t>У-19-81079</t>
  </si>
  <si>
    <t>У-19-81084</t>
  </si>
  <si>
    <t>Бурова Валентина Алексеевна</t>
  </si>
  <si>
    <t>Леглер Виктор Валерьевич</t>
  </si>
  <si>
    <t>Нурулаева Мадинат Абдулкадыровна</t>
  </si>
  <si>
    <t>Вартанов Михаил Александрович</t>
  </si>
  <si>
    <t>Корнилов Сергей Андреевич</t>
  </si>
  <si>
    <t>Чунихин Александр Владимирович</t>
  </si>
  <si>
    <t>Возврат премии по ОСАГО. Требуют полис ОСАГО (оригинал) и хотят платить из расчет не 100%, а только 77%. Удержание 77% законно</t>
  </si>
  <si>
    <t>неустойки за несоблюдение срока выплаты страхового возмещения</t>
  </si>
  <si>
    <t>возмещения расходов на проведение независимой технической экспертизы</t>
  </si>
  <si>
    <t>возмещения расходов на оказание юридических услуг</t>
  </si>
  <si>
    <t>возмещения расходов на оплату услуг аварийного комиссара</t>
  </si>
  <si>
    <t>возмещения расходов на эвакуатор</t>
  </si>
  <si>
    <t>возмещения расходов на нотариальные услуги</t>
  </si>
  <si>
    <t>возмещения почтовых расходов</t>
  </si>
  <si>
    <t>возмещения расходов по оплате услуг курьера</t>
  </si>
  <si>
    <t>возмещения расходов на дефектовку</t>
  </si>
  <si>
    <t>выплаты штрафа за неисполнение в добровольном порядке требований потерпевшего</t>
  </si>
  <si>
    <t>возмещения расходов на отправку телеграмм</t>
  </si>
  <si>
    <t>возмещения расходов на диагностику</t>
  </si>
  <si>
    <t>Выплата (назначение платежа)</t>
  </si>
  <si>
    <t>страхового возмещения в части УТС</t>
  </si>
  <si>
    <r>
      <rPr>
        <sz val="11"/>
        <color theme="1"/>
        <rFont val="Calibri"/>
        <family val="2"/>
        <charset val="204"/>
      </rPr>
      <t xml:space="preserve">– </t>
    </r>
    <r>
      <rPr>
        <sz val="11"/>
        <color theme="1"/>
        <rFont val="Calibri"/>
        <family val="2"/>
        <charset val="204"/>
        <scheme val="minor"/>
      </rPr>
      <t>в счет</t>
    </r>
  </si>
  <si>
    <t>нет доков</t>
  </si>
  <si>
    <t>направить комплекс</t>
  </si>
  <si>
    <t>Оформление ДТП происходило без участия уполномоченных на то сотрудников полиции.</t>
  </si>
  <si>
    <t>БЕЗ РАССМОТРЕНИЯ (ОТДЕЛЬНОЕ ТРЕБОВАНИЕ)</t>
  </si>
  <si>
    <t>Нужно загрузить</t>
  </si>
  <si>
    <t>ПРЕЮДИЦИЯ</t>
  </si>
  <si>
    <t>АБАНДОН</t>
  </si>
  <si>
    <t>Гениальное КАСКО Абандон. Годники не передал</t>
  </si>
  <si>
    <t>на расчетный счет Заявителя была произведена выплата</t>
  </si>
  <si>
    <t>Выплата (назначение платежа2)</t>
  </si>
  <si>
    <t>в счет возмещения расходов на проведение независимой технической экспертизы</t>
  </si>
  <si>
    <t>в счет возмещения расходов на эвакуатор</t>
  </si>
  <si>
    <t>в счет возмещения расходов на оказание юридических услуг</t>
  </si>
  <si>
    <t>в счет возмещения расходов на оплату услуг аварийного комиссара</t>
  </si>
  <si>
    <t>в счет возмещения расходов на нотариальные услуги</t>
  </si>
  <si>
    <t>в счет возмещения почтовых расходов</t>
  </si>
  <si>
    <t>в счет возмещения расходов по оплате услуг курьера</t>
  </si>
  <si>
    <t>в счет возмещения расходов на отправку телеграмм</t>
  </si>
  <si>
    <t>в счет возмещения расходов на дефектовку</t>
  </si>
  <si>
    <t>в счет возмещения расходов на диагностику</t>
  </si>
  <si>
    <t>в счет компенсации морального вреда</t>
  </si>
  <si>
    <t>штрафа за неисполнение в добровольном порядке требований потерпевшего</t>
  </si>
  <si>
    <t>У-19-64290</t>
  </si>
  <si>
    <t>Бобков Александр Викторович</t>
  </si>
  <si>
    <t>У-19-85296</t>
  </si>
  <si>
    <t>Васюрин Александр Дмитриевич</t>
  </si>
  <si>
    <t>У-19-85298</t>
  </si>
  <si>
    <t>Лавров Сергей Васильевич</t>
  </si>
  <si>
    <t>У-19-85184</t>
  </si>
  <si>
    <t>Лоткин Роман Игоревич</t>
  </si>
  <si>
    <t>У-19-85186</t>
  </si>
  <si>
    <t>Шкалей Виктор Леонидович</t>
  </si>
  <si>
    <t>У-19-85190</t>
  </si>
  <si>
    <t>Катина Анастасия Анатольевна</t>
  </si>
  <si>
    <t>У-19-78121</t>
  </si>
  <si>
    <t>Долженко Никита Сергеевич</t>
  </si>
  <si>
    <t>У-19-85385</t>
  </si>
  <si>
    <t>Лакия Севиль Вячеславовна</t>
  </si>
  <si>
    <t>У-19-85417</t>
  </si>
  <si>
    <t>Аксенова Жанна Романовна</t>
  </si>
  <si>
    <t>У-19-85423</t>
  </si>
  <si>
    <t>Кох Александр Фридрихович</t>
  </si>
  <si>
    <t>У-19-74317</t>
  </si>
  <si>
    <t>Копелиович Наталья Викторовна</t>
  </si>
  <si>
    <t>ДОСУДЕБНЫЙ ПОРЯДОК</t>
  </si>
  <si>
    <t>Идет по ПВУ, есть вред здоровью</t>
  </si>
  <si>
    <t>В цессии указан другой номер догвора ОСАГО, чем тот, который указан в справке</t>
  </si>
  <si>
    <t>У-19-74420</t>
  </si>
  <si>
    <t>Корсакова Евгения Геннадьевна</t>
  </si>
  <si>
    <t>У-19-83185</t>
  </si>
  <si>
    <t>Алексеева Наталья Анатольевна</t>
  </si>
  <si>
    <t>У-19-75457</t>
  </si>
  <si>
    <t>Качмазов Эдик Иванович</t>
  </si>
  <si>
    <t>НЕУСТОЙКУ И ЮРИДИЧЕСКИЕ БР</t>
  </si>
  <si>
    <t>НЕУСТОЙКУ БР, С УЧЕТОМ ОКРУГЛЕНИЯ, ЮР УСЛУГИ И НТЭ ЕДИНЫМ АБЗАЦЕМ</t>
  </si>
  <si>
    <t>ДОБАВИТЬ НОРМАТИВКУ ПРО 1079</t>
  </si>
  <si>
    <t>Опечатки по тексту - 6</t>
  </si>
  <si>
    <t>НЕУСТОЙКА БР, опечатки</t>
  </si>
  <si>
    <t>ПЕРЕДЕЛАТЬ НА ПРЕКРАЩЕНИЕ</t>
  </si>
  <si>
    <t>Виновник не вписан, полиса нет, сведения с сайта РСА</t>
  </si>
  <si>
    <t>У-19-83278</t>
  </si>
  <si>
    <t>Джамалов Шамиль Баматович</t>
  </si>
  <si>
    <t>У-19-75500</t>
  </si>
  <si>
    <t>У-19-76175</t>
  </si>
  <si>
    <t>У-19-66379</t>
  </si>
  <si>
    <t>Сафонова Светлана Евгеньевна</t>
  </si>
  <si>
    <t>Голубничий Артем Сергеевич</t>
  </si>
  <si>
    <t>Веселова Виктория Александровна</t>
  </si>
  <si>
    <t>НЕУСТОЙКА НА ФУ</t>
  </si>
  <si>
    <t>Неустойка на сумму, взысканную ФУ. Взыскиваем, т.к. ФО исполнила решение ФУ не в срок</t>
  </si>
  <si>
    <t>Взыскиваем маленько УТС</t>
  </si>
  <si>
    <t>УЩЕРБ, НЕУСТОЙКА НДФЛ</t>
  </si>
  <si>
    <t>Опечатки по тексту - 4. Красивая вина</t>
  </si>
  <si>
    <t>ШТРАФ БР</t>
  </si>
  <si>
    <t>ПРЕДМЕТ СПОРА</t>
  </si>
  <si>
    <t>Предмет спора, объект спора</t>
  </si>
  <si>
    <t>РАССМОТРЕТЬ НТЭ</t>
  </si>
  <si>
    <t>Нормативка, доп расходы, утраченный заработок. По нормативам довзыскиваем, доп расходы, утраченный заработок БР, т.к. ходил только один раз</t>
  </si>
  <si>
    <t>ДТП в результате того, что был наезд на бочку, и она затем отделета в ТС Заявителя. Но ДТП было оформлено без участия сотрудников полиции</t>
  </si>
  <si>
    <t>ИЗВЕЩЕНИЕ</t>
  </si>
  <si>
    <t>УТС БР</t>
  </si>
  <si>
    <t>У-19-85029</t>
  </si>
  <si>
    <t>У-19-84764</t>
  </si>
  <si>
    <t>У-19-76634</t>
  </si>
  <si>
    <t>СРОКИ ЗАПРОСА ДОКУМЕНТОВ</t>
  </si>
  <si>
    <t>Виновник вписан</t>
  </si>
  <si>
    <t>СУД, ИМУЩЕСТВО</t>
  </si>
  <si>
    <t>Документы по другому ДТП</t>
  </si>
  <si>
    <t>Хочет вред за iphone, который не вписан в материалы о ДТП. Отказываем, т.к. страховой случай должен быть подтвержден материалами ГИБДД</t>
  </si>
  <si>
    <t>НЕУСТОЙКА ПОСЛЕ СУДА</t>
  </si>
  <si>
    <t>У-19-85789</t>
  </si>
  <si>
    <t>Чернобахтова Светлана Михайловна</t>
  </si>
  <si>
    <t>НЕУСТОЙКА ЗДОРОВЬЕ</t>
  </si>
  <si>
    <t>Утс. Методология УТС</t>
  </si>
  <si>
    <t>У-19-81188</t>
  </si>
  <si>
    <t>Шурапов Иван Николаевич</t>
  </si>
  <si>
    <t>У-19-85896</t>
  </si>
  <si>
    <t>Яценко Артем Викторович</t>
  </si>
  <si>
    <t>У-19-85897</t>
  </si>
  <si>
    <t>Спиринцев Игорь Николаевич</t>
  </si>
  <si>
    <t>У-19-85898</t>
  </si>
  <si>
    <t>Елистратов Юрий Владимирович</t>
  </si>
  <si>
    <t>У-19-86479</t>
  </si>
  <si>
    <t>Юнусов Фанзиль Фанисович</t>
  </si>
  <si>
    <t>У-19-86580</t>
  </si>
  <si>
    <t>Меджидов Ислам Шахримович</t>
  </si>
  <si>
    <t>У-19-86581</t>
  </si>
  <si>
    <t>Белых Марина Владимировна</t>
  </si>
  <si>
    <t>У-19-87427</t>
  </si>
  <si>
    <t>Степанов Игорь Сергеевич</t>
  </si>
  <si>
    <t>У-19-87433</t>
  </si>
  <si>
    <t>КАЧМАЗОВ РАДИК ШОТАЕВИЧ</t>
  </si>
  <si>
    <t>У-19-87436</t>
  </si>
  <si>
    <t>Боровко Игорь Александрович</t>
  </si>
  <si>
    <t>У-19-87439</t>
  </si>
  <si>
    <t>Подопригора Илья Романович</t>
  </si>
  <si>
    <t>У-19-88410</t>
  </si>
  <si>
    <t>Мирзоян Руслан Робертович</t>
  </si>
  <si>
    <t>У-19-88411</t>
  </si>
  <si>
    <t xml:space="preserve">Овчинников Антон </t>
  </si>
  <si>
    <t>У-19-89023</t>
  </si>
  <si>
    <t>Сотников Андрей Николаевич</t>
  </si>
  <si>
    <t>У-19-89041</t>
  </si>
  <si>
    <t>Смирнов Владислав Сергеевич</t>
  </si>
  <si>
    <t>У-19-73712</t>
  </si>
  <si>
    <t>Приморская общественная организация по защите прав автовладельцев "КРАЕВОЕ ОБЩЕСТВО АВТОВЛАДЕЛЬЦЕВ ПРИМОРЬЯ"</t>
  </si>
  <si>
    <t>У-19-79420</t>
  </si>
  <si>
    <t>Кусраев Андро Ромикоевич</t>
  </si>
  <si>
    <t>У-19-79461</t>
  </si>
  <si>
    <t>Евтюхина Светлана Дмитриевна</t>
  </si>
  <si>
    <t>У-19-81252</t>
  </si>
  <si>
    <t>Байгубенов Дмитрий Владимирович</t>
  </si>
  <si>
    <t>У-19-86818</t>
  </si>
  <si>
    <t>Голикова Галина Петровна</t>
  </si>
  <si>
    <t>У-19-87964</t>
  </si>
  <si>
    <t>Вдовенкова Алина Вячеславовна</t>
  </si>
  <si>
    <t>У-19-87965</t>
  </si>
  <si>
    <t>Михалков Станислав Станиславович</t>
  </si>
  <si>
    <t>У-19-87971</t>
  </si>
  <si>
    <t>Туманов Алексей Владимирович</t>
  </si>
  <si>
    <t>АО СК «Двадцать первый век»</t>
  </si>
  <si>
    <t>У-19-87979</t>
  </si>
  <si>
    <t>Великанов Алексей Александрович</t>
  </si>
  <si>
    <t>У-19-87984</t>
  </si>
  <si>
    <t>Кугубаев Геннадий Семниевич</t>
  </si>
  <si>
    <t>У-19-88639</t>
  </si>
  <si>
    <t>Бадма-Горяева Деляш Александровна</t>
  </si>
  <si>
    <t>У-19-88640</t>
  </si>
  <si>
    <t>Воробьев Андрей Владимирович</t>
  </si>
  <si>
    <t>У-19-88641</t>
  </si>
  <si>
    <t>Федоровская Юлия Сергеевна</t>
  </si>
  <si>
    <t>У-19-88647</t>
  </si>
  <si>
    <t>Бренькман Алексей Александрович</t>
  </si>
  <si>
    <t>У-19-89368</t>
  </si>
  <si>
    <t>Грицова Виолетта Валерьевна</t>
  </si>
  <si>
    <t>У-19-89370</t>
  </si>
  <si>
    <t>Иванова Анна Витальевна</t>
  </si>
  <si>
    <t>У-19-89371</t>
  </si>
  <si>
    <t>Полонкоев Умар Саражудинович</t>
  </si>
  <si>
    <t>У-19-89372</t>
  </si>
  <si>
    <t>Булат Джубанаев Зинешевич</t>
  </si>
  <si>
    <t>У-19-89626</t>
  </si>
  <si>
    <t>Фураев Андрей Викторович</t>
  </si>
  <si>
    <t>У-19-89630</t>
  </si>
  <si>
    <t>Мариуца Олег Сергеевич</t>
  </si>
  <si>
    <t>У-19-89633</t>
  </si>
  <si>
    <t>Кащеева Нина Кирилловна</t>
  </si>
  <si>
    <t>У-19-80189</t>
  </si>
  <si>
    <t>Джамалутдинов Гаджи Умарович</t>
  </si>
  <si>
    <t>У-19-85554</t>
  </si>
  <si>
    <t>Новик Полина Анатольевна</t>
  </si>
  <si>
    <t>У-19-85558</t>
  </si>
  <si>
    <t>Верховинский Александр Васильевич</t>
  </si>
  <si>
    <t>У-19-85562</t>
  </si>
  <si>
    <t>Остаев Ирланд Роландович</t>
  </si>
  <si>
    <t>У-19-86130</t>
  </si>
  <si>
    <t>Кулаков Александр Владимирович</t>
  </si>
  <si>
    <t>У-19-86131</t>
  </si>
  <si>
    <t>Асадуллин Батыр Аширафович</t>
  </si>
  <si>
    <t>У-19-86154</t>
  </si>
  <si>
    <t>Клевцов Павел Анатольевич</t>
  </si>
  <si>
    <t>У-19-86281</t>
  </si>
  <si>
    <t>Тимошенко Наталья Анатольевна</t>
  </si>
  <si>
    <t>У-19-87146</t>
  </si>
  <si>
    <t>Маркопольская Александра Сергеевна</t>
  </si>
  <si>
    <t>У-19-87152</t>
  </si>
  <si>
    <t>Магомедалиев Ахмед Магомедтагирович</t>
  </si>
  <si>
    <t>У-19-87161</t>
  </si>
  <si>
    <t>Пыко Дмитрий Александрович</t>
  </si>
  <si>
    <t>У-19-87172</t>
  </si>
  <si>
    <t>Сафонов Эдуард Владимирович</t>
  </si>
  <si>
    <t>У-19-87793</t>
  </si>
  <si>
    <t>Собакин Евгений Владимирович</t>
  </si>
  <si>
    <t>У-19-87796</t>
  </si>
  <si>
    <t>Козлов Игорь Владиславович</t>
  </si>
  <si>
    <t>У-19-87809</t>
  </si>
  <si>
    <t>Лобанов Андрей Викторович</t>
  </si>
  <si>
    <t>У-19-87810</t>
  </si>
  <si>
    <t>Лысенко Александр Александрович</t>
  </si>
  <si>
    <t>У-19-87825</t>
  </si>
  <si>
    <t>Ким Артем Александрович</t>
  </si>
  <si>
    <t>У-19-88992</t>
  </si>
  <si>
    <t>Яковлева Екатерина Сергеевна</t>
  </si>
  <si>
    <t>У-19-88942</t>
  </si>
  <si>
    <t>Черкасских Александр Юрьевич</t>
  </si>
  <si>
    <t>У-19-88969</t>
  </si>
  <si>
    <t>Егорова Любовь Андреевна</t>
  </si>
  <si>
    <t>У-19-89489</t>
  </si>
  <si>
    <t>Релина Екатерина Сергеевна</t>
  </si>
  <si>
    <t>У-19-89491</t>
  </si>
  <si>
    <t>Барсегян Саргис Валтерович</t>
  </si>
  <si>
    <t>У-19-89494</t>
  </si>
  <si>
    <t>Погосян Роман Араикович</t>
  </si>
  <si>
    <t>У-19-62799</t>
  </si>
  <si>
    <t>Петрий Виктория Владимировна</t>
  </si>
  <si>
    <t>У-19-79110</t>
  </si>
  <si>
    <t>Юсупов Фарил Юсупович</t>
  </si>
  <si>
    <t>У-19-79805</t>
  </si>
  <si>
    <t>Карих Денис Владимирович</t>
  </si>
  <si>
    <t>У-19-80815</t>
  </si>
  <si>
    <t>Ивановна Зинаида Казакова</t>
  </si>
  <si>
    <t>У-19-86052</t>
  </si>
  <si>
    <t>Низамутдинова Лилия Шавкятовна</t>
  </si>
  <si>
    <t>У-19-86059</t>
  </si>
  <si>
    <t>Васильева Гузель Наилевна</t>
  </si>
  <si>
    <t>У-19-86917</t>
  </si>
  <si>
    <t>Абдулаев Мурад Магомедович</t>
  </si>
  <si>
    <t>У-19-86933</t>
  </si>
  <si>
    <t>Пыркин Максим Александрович</t>
  </si>
  <si>
    <t>У-19-86993</t>
  </si>
  <si>
    <t>Шайдаков Евгений Алексеевич</t>
  </si>
  <si>
    <t>У-19-86995</t>
  </si>
  <si>
    <t>Нурмагомедов Магомед Халидибирович</t>
  </si>
  <si>
    <t>У-19-87758</t>
  </si>
  <si>
    <t>Шляпин Роман Игоревич</t>
  </si>
  <si>
    <t>У-19-87759</t>
  </si>
  <si>
    <t>Падалка Александр Сергеевич</t>
  </si>
  <si>
    <t>У-19-87763</t>
  </si>
  <si>
    <t>Едиджи Анзор Амирович</t>
  </si>
  <si>
    <t>У-19-87764</t>
  </si>
  <si>
    <t>Бухарин Александр Сергеевич</t>
  </si>
  <si>
    <t>У-19-87766</t>
  </si>
  <si>
    <t>Никитина Ольга Владимировна</t>
  </si>
  <si>
    <t>У-19-88811</t>
  </si>
  <si>
    <t>Ершова Людмила Павловна</t>
  </si>
  <si>
    <t>У-19-88812</t>
  </si>
  <si>
    <t>Самохвалов Николай Дмитриевич</t>
  </si>
  <si>
    <t>У-19-89334</t>
  </si>
  <si>
    <t>Корохоев Магомед-Башир Асланович</t>
  </si>
  <si>
    <t>У-19-89355</t>
  </si>
  <si>
    <t>Толстяков Руслан Владимирович</t>
  </si>
  <si>
    <t>НЕ ПВУ</t>
  </si>
  <si>
    <t>НЕ ПВУ, т.к. есть повреждения другого имущества</t>
  </si>
  <si>
    <t>ННР В СРОК</t>
  </si>
  <si>
    <t>ХОРОШЕЕ ОПИСАНИЕ ПОЛИСА КАСКО</t>
  </si>
  <si>
    <t>У-19-77632</t>
  </si>
  <si>
    <t>Тарасова Анастасия Сергеевна</t>
  </si>
  <si>
    <t>АВАРКОМ, НЕУСТОЙКА</t>
  </si>
  <si>
    <t>Запросили документы, но с нарушением срока</t>
  </si>
  <si>
    <t>Здоровье, полис после 01.05.2019</t>
  </si>
  <si>
    <t>ЖЕСТЬ НЕУСТОЙКА ЗДОРОВЬЕ</t>
  </si>
  <si>
    <t>У-19-76094</t>
  </si>
  <si>
    <t>Комчадалов Василий Юрьевич</t>
  </si>
  <si>
    <t>У-19-78378</t>
  </si>
  <si>
    <t>Бобыльков Алексей Александрович</t>
  </si>
  <si>
    <t>У-19-79856</t>
  </si>
  <si>
    <t>Фомин Сергей Александрович</t>
  </si>
  <si>
    <t>У-19-79890</t>
  </si>
  <si>
    <t>Дубков Сергей Александрович</t>
  </si>
  <si>
    <t>У-19-79905</t>
  </si>
  <si>
    <t>Галимова Алсу Римовна</t>
  </si>
  <si>
    <t>У-19-82196</t>
  </si>
  <si>
    <t>Сукиасян Ани Гагиковна</t>
  </si>
  <si>
    <t>У-19-83178</t>
  </si>
  <si>
    <t>Статуев Дмитрий Сергеевич</t>
  </si>
  <si>
    <t>У-19-83183</t>
  </si>
  <si>
    <t>Моторова Нина Ивановна</t>
  </si>
  <si>
    <t>У-19-83190</t>
  </si>
  <si>
    <t>Смолин Александр Михайлович</t>
  </si>
  <si>
    <t>У-19-83264</t>
  </si>
  <si>
    <t>Железкин Евгений Леонидович</t>
  </si>
  <si>
    <t>У-19-83266</t>
  </si>
  <si>
    <t>Помирко Александра Абсарутдиновна</t>
  </si>
  <si>
    <t>У-19-83273</t>
  </si>
  <si>
    <t>Сидоров Илья Олегович</t>
  </si>
  <si>
    <t>У-19-83721</t>
  </si>
  <si>
    <t>Глушкова Елена Витальевна</t>
  </si>
  <si>
    <t>У-19-84596</t>
  </si>
  <si>
    <t>Коба Елена Павловна</t>
  </si>
  <si>
    <t>Антонова Оксана Владимировна</t>
  </si>
  <si>
    <t>У-19-85032</t>
  </si>
  <si>
    <t>Фатаймуха Сергей Анатольевич</t>
  </si>
  <si>
    <t>У-19-85034</t>
  </si>
  <si>
    <t>Чуликова Жанна Юрьевна</t>
  </si>
  <si>
    <t>У-19-85802</t>
  </si>
  <si>
    <t>Романько Василий Игоревич</t>
  </si>
  <si>
    <t>У-19-86045</t>
  </si>
  <si>
    <t>Тимофеев Николай Александрович</t>
  </si>
  <si>
    <t>У-19-86074</t>
  </si>
  <si>
    <t>Ладыжец Роман Александрович</t>
  </si>
  <si>
    <t>У-19-86347</t>
  </si>
  <si>
    <t>Гюлумян Ева Бениаминовна</t>
  </si>
  <si>
    <t>У-19-86730</t>
  </si>
  <si>
    <t>Маркина Гульнара Галиевна</t>
  </si>
  <si>
    <t>У-19-86774</t>
  </si>
  <si>
    <t>Филипьев Антон Николаевич</t>
  </si>
  <si>
    <t>У-19-86974</t>
  </si>
  <si>
    <t>Хашагульгова Луиза Усмановна</t>
  </si>
  <si>
    <t>У-19-87480</t>
  </si>
  <si>
    <t>Кулебякина Нэли Алексеевна</t>
  </si>
  <si>
    <t>У-19-87496</t>
  </si>
  <si>
    <t>Сорокина Татьяна Викторовна</t>
  </si>
  <si>
    <t>У-19-88560</t>
  </si>
  <si>
    <t>Добрынина Нина Артемьевна</t>
  </si>
  <si>
    <t>У-19-88638</t>
  </si>
  <si>
    <t>Масалова Елена Александровна</t>
  </si>
  <si>
    <t>У-19-88742</t>
  </si>
  <si>
    <t>Греков Сергей Иванович</t>
  </si>
  <si>
    <t>У-19-88904</t>
  </si>
  <si>
    <t>Авдеев Виталий Валерьевич</t>
  </si>
  <si>
    <t>У-19-88905</t>
  </si>
  <si>
    <t>Мауричев Олег Дмитриевич</t>
  </si>
  <si>
    <t>У-19-89186</t>
  </si>
  <si>
    <t>Кокоуров Николай Иннокентьевич</t>
  </si>
  <si>
    <t>У-19-89586</t>
  </si>
  <si>
    <t>Сентябрев Юрий Вячеславович</t>
  </si>
  <si>
    <t>У-19-89636</t>
  </si>
  <si>
    <t>Вдовина Татьяна Ивановна</t>
  </si>
  <si>
    <t>Аварком, почта, юр услуги</t>
  </si>
  <si>
    <t>УЩЕРБ, УТС, ЭВАКУАТОР</t>
  </si>
  <si>
    <t>НЕУСТОЙКА ОТЛОЖНАЯ НОВАЯ</t>
  </si>
  <si>
    <t>ННР НЕ В СРОК</t>
  </si>
  <si>
    <t>ННР, ХРАНЕНИЕ</t>
  </si>
  <si>
    <t>ДОБР ИСП, НЕУСТОЙКА</t>
  </si>
  <si>
    <t>Должно получиться 3600</t>
  </si>
  <si>
    <t>РЕШ ФУ В СРОК, НЕУСТОЙКА</t>
  </si>
  <si>
    <t>Жопная полуотложная неустойка после суда, нет сведений об исполнении. Отдельная на УЩЕРБ и УТС</t>
  </si>
  <si>
    <t>КОММЕРЧЕСКИЙ</t>
  </si>
  <si>
    <t>НЕУСТОЙКА ФУ</t>
  </si>
  <si>
    <t>НЕТ ДОКУМЕНТОВ (СТС)</t>
  </si>
  <si>
    <t>НЕУСТОЙКА СРОК РЕМОНТА</t>
  </si>
  <si>
    <t>ЭКСПЕРТИЗА</t>
  </si>
  <si>
    <t>Нет даты выдачи НРР. НРР есть в документах, представленных Заявителем</t>
  </si>
  <si>
    <t>У-19-88771</t>
  </si>
  <si>
    <t>Ульянов Илья Михайлович</t>
  </si>
  <si>
    <t>У-19-58194</t>
  </si>
  <si>
    <t>Сакаев Руслан Хамитович</t>
  </si>
  <si>
    <t>Симонова Ирина Викторовна</t>
  </si>
  <si>
    <t>Обоснование по ГК смены формы с натуральной на денежную</t>
  </si>
  <si>
    <t>ВИНА 100%</t>
  </si>
  <si>
    <t>214000, Смоленская область, г. Смоленск, ул. Глинки, д. 7, эт. 2, пом. 9</t>
  </si>
  <si>
    <t>Стоимость НТЭ (01.07.2019 - 31.12.2019)</t>
  </si>
  <si>
    <t>Стоимость НТЭ (01.01.2019 - 01.06.2019)</t>
  </si>
  <si>
    <t>Стоимость НТЭ (до 01.01.2019)</t>
  </si>
  <si>
    <t>У-19-68505</t>
  </si>
  <si>
    <t>Либосан Егор Владимирович</t>
  </si>
  <si>
    <t>У-19-77890</t>
  </si>
  <si>
    <t>Эюбова Ирина Кафлановна</t>
  </si>
  <si>
    <t>ООО "Страховая компания Сибирский дом страхования"</t>
  </si>
  <si>
    <t>Смолина Ирина Юрьевна</t>
  </si>
  <si>
    <t>У-19-89678</t>
  </si>
  <si>
    <t>Фурсов Дмитрий Алексеевич</t>
  </si>
  <si>
    <t>У-19-89679</t>
  </si>
  <si>
    <t>Назарова Клара Борисовна</t>
  </si>
  <si>
    <t>У-19-89680</t>
  </si>
  <si>
    <t>Мухтаров Рамиль Васильевич</t>
  </si>
  <si>
    <t>У-19-90336</t>
  </si>
  <si>
    <t>Ибрагимова Муминат Алибековна</t>
  </si>
  <si>
    <t>У-19-90491</t>
  </si>
  <si>
    <t>Лукьянов Алексей Владимирович</t>
  </si>
  <si>
    <t>У-19-90494</t>
  </si>
  <si>
    <t>Косьяненко Анастасия Александровна</t>
  </si>
  <si>
    <t>ООО «СК «Мегарусс-Д»</t>
  </si>
  <si>
    <t>У-19-90708</t>
  </si>
  <si>
    <t>Шиц Василий Владимирович</t>
  </si>
  <si>
    <t>У-19-90716</t>
  </si>
  <si>
    <t>Юшта Наталья Сергеевна</t>
  </si>
  <si>
    <t>У-19-91451</t>
  </si>
  <si>
    <t>Царева Мария Алексеевна</t>
  </si>
  <si>
    <t>У-19-91533</t>
  </si>
  <si>
    <t>Червяков НИКОЛАЙ Николаевич</t>
  </si>
  <si>
    <t>У-19-91537</t>
  </si>
  <si>
    <t>Миронов Евгений Сергеевич</t>
  </si>
  <si>
    <t>У-20-202</t>
  </si>
  <si>
    <t>Голубятников Юрий Михайлович</t>
  </si>
  <si>
    <t>У-20-207</t>
  </si>
  <si>
    <t>Постолатий Владимир Викторович</t>
  </si>
  <si>
    <t>У-20-497</t>
  </si>
  <si>
    <t>Большакова Алина Александровна</t>
  </si>
  <si>
    <t>У-19-78556</t>
  </si>
  <si>
    <t>У-19-83302</t>
  </si>
  <si>
    <t>Сигорских Сергей Викторович</t>
  </si>
  <si>
    <t>У-19-83308</t>
  </si>
  <si>
    <t>Шевченко Галина Викторовна</t>
  </si>
  <si>
    <t>У-19-90484</t>
  </si>
  <si>
    <t>Новокрещенов Владимир Николаевич</t>
  </si>
  <si>
    <t>У-19-90485</t>
  </si>
  <si>
    <t>Кругляков Дмитрий Валентинович</t>
  </si>
  <si>
    <t>У-19-90486</t>
  </si>
  <si>
    <t>Лёвкин Сергей Викторович</t>
  </si>
  <si>
    <t>У-19-90488</t>
  </si>
  <si>
    <t>Денисова Елена Николаевна</t>
  </si>
  <si>
    <t>У-19-90553</t>
  </si>
  <si>
    <t>Бардакова Татьяна Ивановна</t>
  </si>
  <si>
    <t>У-19-90567</t>
  </si>
  <si>
    <t>Чучков Андрей Леонидович</t>
  </si>
  <si>
    <t>У-19-91765</t>
  </si>
  <si>
    <t>Лейба Виктория Валерьевна</t>
  </si>
  <si>
    <t>У-19-91775</t>
  </si>
  <si>
    <t>Хуснутдинов Гусман Мансурович</t>
  </si>
  <si>
    <t>У-20-92</t>
  </si>
  <si>
    <t>Савченко Юрий Николаевич</t>
  </si>
  <si>
    <t>У-20-915</t>
  </si>
  <si>
    <t>Филимонов Сергей Михайлович</t>
  </si>
  <si>
    <t>У-20-919</t>
  </si>
  <si>
    <t>Наземнова Светлана Ивановна</t>
  </si>
  <si>
    <t>У-20-926</t>
  </si>
  <si>
    <t>Чижов Владимир Николаевич</t>
  </si>
  <si>
    <t>У-19-84268</t>
  </si>
  <si>
    <t>Минасян Айк Карапетович</t>
  </si>
  <si>
    <t>У-19-90149</t>
  </si>
  <si>
    <t>Кизик Наталья Викторовна</t>
  </si>
  <si>
    <t>У-19-90151</t>
  </si>
  <si>
    <t>Габеев Тотраз Борисович</t>
  </si>
  <si>
    <t>У-19-90157</t>
  </si>
  <si>
    <t>Ахмедов Муса Ахмедович</t>
  </si>
  <si>
    <t>У-19-90949</t>
  </si>
  <si>
    <t>Лумпов Сергей Аркадьевич</t>
  </si>
  <si>
    <t>У-19-90958</t>
  </si>
  <si>
    <t>Кириченко Вячеслав Александрович</t>
  </si>
  <si>
    <t>У-19-90972</t>
  </si>
  <si>
    <t>Стешенко Андрей Иванович</t>
  </si>
  <si>
    <t>У-19-90981</t>
  </si>
  <si>
    <t>Паскарь Наталия Владимировна</t>
  </si>
  <si>
    <t>У-19-91032</t>
  </si>
  <si>
    <t>Оборин Кирилл Михайлович</t>
  </si>
  <si>
    <t>У-19-91849</t>
  </si>
  <si>
    <t>Новиков Дмитрий Олегович</t>
  </si>
  <si>
    <t>У-19-91852</t>
  </si>
  <si>
    <t>Кукушкин Леонид Алексеевич</t>
  </si>
  <si>
    <t>У-20-54</t>
  </si>
  <si>
    <t>Захаров Дмитрий Викторович</t>
  </si>
  <si>
    <t>У-20-70</t>
  </si>
  <si>
    <t>Кравцов Константин Сергеевич</t>
  </si>
  <si>
    <t>У-20-719</t>
  </si>
  <si>
    <t>Яснова Галина Юрьевна</t>
  </si>
  <si>
    <t>У-20-724</t>
  </si>
  <si>
    <t>Сагилян Геворг Арутюнович</t>
  </si>
  <si>
    <t>У-19-75840</t>
  </si>
  <si>
    <t>Сарнавский Антон Петрович</t>
  </si>
  <si>
    <t>У-19-85292</t>
  </si>
  <si>
    <t>Чемерицын Андрей Викторович</t>
  </si>
  <si>
    <t>У-19-89955</t>
  </si>
  <si>
    <t>Собченко Виктор Леонидович</t>
  </si>
  <si>
    <t>У-19-89969</t>
  </si>
  <si>
    <t>Астафьев Даниил Сергеевич</t>
  </si>
  <si>
    <t>У-19-89974</t>
  </si>
  <si>
    <t>Саляхутдинов Альберт Гайфетдинович</t>
  </si>
  <si>
    <t>У-19-90695</t>
  </si>
  <si>
    <t>Каркусты Заза Георгиевич</t>
  </si>
  <si>
    <t>У-19-90696</t>
  </si>
  <si>
    <t>Шатуло Владимир Олегович</t>
  </si>
  <si>
    <t>У-19-90717</t>
  </si>
  <si>
    <t>Захаренко Валерий Викторович</t>
  </si>
  <si>
    <t>У-19-90728</t>
  </si>
  <si>
    <t>Лапшов Антон Николаевич</t>
  </si>
  <si>
    <t>У-19-90745</t>
  </si>
  <si>
    <t>Степанов Иван Григорьевич</t>
  </si>
  <si>
    <t>АО «СК «ПАРИ»</t>
  </si>
  <si>
    <t>У-19-91825</t>
  </si>
  <si>
    <t>Хубиева Валентина Азретовна</t>
  </si>
  <si>
    <t>У-19-91832</t>
  </si>
  <si>
    <t>Гапонова Елена Викторовна</t>
  </si>
  <si>
    <t>У-20-494</t>
  </si>
  <si>
    <t>Омаров Руслан Казимагомедович</t>
  </si>
  <si>
    <t>У-20-598</t>
  </si>
  <si>
    <t>Скляренко Инна Анатольевна</t>
  </si>
  <si>
    <t>ДСАГО</t>
  </si>
  <si>
    <t>Нет решения суда</t>
  </si>
  <si>
    <t>У-19-90337</t>
  </si>
  <si>
    <t>Третьяков Александр Геннадьевич</t>
  </si>
  <si>
    <t>У-19-90388</t>
  </si>
  <si>
    <t>Насонов Владимир Григорьевич</t>
  </si>
  <si>
    <t>У-19-90493</t>
  </si>
  <si>
    <t>Дерюгин Андрей Викторович</t>
  </si>
  <si>
    <t>У-19-90703</t>
  </si>
  <si>
    <t>Комаров Игорь Владимирович</t>
  </si>
  <si>
    <t>У-19-90732</t>
  </si>
  <si>
    <t>Сухарев Сергей Юрьевич</t>
  </si>
  <si>
    <t>У-19-90733</t>
  </si>
  <si>
    <t>Куракин Евгений Александрович</t>
  </si>
  <si>
    <t>У-19-90815</t>
  </si>
  <si>
    <t>Белов Михаил Дмитриевич</t>
  </si>
  <si>
    <t>У-19-91012</t>
  </si>
  <si>
    <t>Ракитин Вячеслав Васильевич</t>
  </si>
  <si>
    <t>У-19-91739</t>
  </si>
  <si>
    <t>Камалетдинов Руслан Вазыхович</t>
  </si>
  <si>
    <t>У-19-91853</t>
  </si>
  <si>
    <t>Омаров Ислам Магомедович</t>
  </si>
  <si>
    <t>У-20-88</t>
  </si>
  <si>
    <t>Сизов Артур Робертович</t>
  </si>
  <si>
    <t>У-20-90</t>
  </si>
  <si>
    <t>Прокопец Владимир Александрович</t>
  </si>
  <si>
    <t>У-20-957</t>
  </si>
  <si>
    <t>Айгубов Муса Курбанович</t>
  </si>
  <si>
    <t>Взыскана неустойка</t>
  </si>
  <si>
    <t>ПОЧТА БР</t>
  </si>
  <si>
    <t>ПРОСИТ НЕУСТОЙКУ</t>
  </si>
  <si>
    <t>ДОСУДЕБНЫЙ ПОРЯДОК НЕ ТОТ АДРЕС</t>
  </si>
  <si>
    <t>НЕ СОБСТВЕННИК</t>
  </si>
  <si>
    <t>НЕТ ДКОУМЕНТОВ</t>
  </si>
  <si>
    <t>СОГЛАШЕНИЕ, НЕУСТОЙКА</t>
  </si>
  <si>
    <t>Наезд на клумбу и светофор</t>
  </si>
  <si>
    <t>Трактор, НЕ ПВУ, но соглашение. Упал металолом</t>
  </si>
  <si>
    <t>Нет доков</t>
  </si>
  <si>
    <t>НАТУРАЛЬНАЯ ФОРМА</t>
  </si>
  <si>
    <t>Судился по смене формы, получил отказ в удовлетворении требований</t>
  </si>
  <si>
    <t>УЩЕРБ, ЗДОРОВЬЕ</t>
  </si>
  <si>
    <t>Здоровье БР, т.к. нет документов</t>
  </si>
  <si>
    <t>ЗДОРОВЬЕ, ФС</t>
  </si>
  <si>
    <t>Отложенная фин санкция до даты решения ФУ</t>
  </si>
  <si>
    <t>СМЕНА СОБСТВЕННИКА</t>
  </si>
  <si>
    <t>Повреждения частично соответствуют</t>
  </si>
  <si>
    <t>НЕУСТОЙКА ЗЗПП</t>
  </si>
  <si>
    <t>ЗДОРОВЬЕ, УТРАЧЕННЫЙ</t>
  </si>
  <si>
    <t>ОТРЕМОНТИРОВАЛ</t>
  </si>
  <si>
    <t>Предоставил на осмотр в отремонтированном виде</t>
  </si>
  <si>
    <t>У-19-87622</t>
  </si>
  <si>
    <t>Дадаев Иса Салимсолтанович</t>
  </si>
  <si>
    <t>У-19-87668</t>
  </si>
  <si>
    <t>Гранюкова Ольга Александровна</t>
  </si>
  <si>
    <t>У-20-1852</t>
  </si>
  <si>
    <t>Волк Александр ЕВГЕНЬЕВИЧ</t>
  </si>
  <si>
    <t>У-20-1831</t>
  </si>
  <si>
    <t>Шумилкин Александр Сергеевич</t>
  </si>
  <si>
    <t>У-20-1833</t>
  </si>
  <si>
    <t>Медведев Роман Дмитриевич</t>
  </si>
  <si>
    <t>У-20-1836</t>
  </si>
  <si>
    <t>Коновалова Елена Михайловна</t>
  </si>
  <si>
    <t>У-20-2638</t>
  </si>
  <si>
    <t>Конакбиева Барият Салимовна</t>
  </si>
  <si>
    <t>У-20-2642</t>
  </si>
  <si>
    <t>Гаспарян Норайр Овсепович</t>
  </si>
  <si>
    <t>У-20-2650</t>
  </si>
  <si>
    <t>Оленев Александр Дмитриевич</t>
  </si>
  <si>
    <t>У-20-3835</t>
  </si>
  <si>
    <t>Толкачев Александр Юрьевич</t>
  </si>
  <si>
    <t>У-20-3857</t>
  </si>
  <si>
    <t>Чеботарева Анна Евгеньевна</t>
  </si>
  <si>
    <t>У-20-3896</t>
  </si>
  <si>
    <t>Тупицин Максим Викторович</t>
  </si>
  <si>
    <t>У-20-3901</t>
  </si>
  <si>
    <t>Ящук Екатерина Сергеевна</t>
  </si>
  <si>
    <t>У-20-4348</t>
  </si>
  <si>
    <t>Прудников Петр Васильевич</t>
  </si>
  <si>
    <t>У-20-4382</t>
  </si>
  <si>
    <t>Колесников Сергей Сергеевич</t>
  </si>
  <si>
    <t>У-20-4386</t>
  </si>
  <si>
    <t>Метлин Николай Алексеевич</t>
  </si>
  <si>
    <t>У-20-4407</t>
  </si>
  <si>
    <t>Шарапов Василий Викторович</t>
  </si>
  <si>
    <t>У-20-5100</t>
  </si>
  <si>
    <t>Орехов Владимир Александрович</t>
  </si>
  <si>
    <t>У-20-5147</t>
  </si>
  <si>
    <t>Шевский Максим Валерьевич</t>
  </si>
  <si>
    <t>У-20-5154</t>
  </si>
  <si>
    <t>Давыдова Ирина Вадимовна</t>
  </si>
  <si>
    <t>У-20-5163</t>
  </si>
  <si>
    <t>Белобородов Сергей Викторович</t>
  </si>
  <si>
    <t>У-20-1665</t>
  </si>
  <si>
    <t>Кретц Марина Александровна</t>
  </si>
  <si>
    <t>У-20-1667</t>
  </si>
  <si>
    <t>Евстифеев Алексей Александрович</t>
  </si>
  <si>
    <t>У-20-1692</t>
  </si>
  <si>
    <t>Ницевич Дмитрий Владимирович</t>
  </si>
  <si>
    <t>У-20-1702</t>
  </si>
  <si>
    <t>Далгатов Джамал Мурадович</t>
  </si>
  <si>
    <t>У-20-2373</t>
  </si>
  <si>
    <t>Савин Николай Иванович</t>
  </si>
  <si>
    <t>У-20-2455</t>
  </si>
  <si>
    <t>Ермолаева Римма Ильхамовна</t>
  </si>
  <si>
    <t>У-20-2457</t>
  </si>
  <si>
    <t>Романов Алексей Владимирович</t>
  </si>
  <si>
    <t>У-20-3736</t>
  </si>
  <si>
    <t>Юсупов Дамир Гильмуллович</t>
  </si>
  <si>
    <t>У-20-3742</t>
  </si>
  <si>
    <t>Лубянский Андрей Николаевич</t>
  </si>
  <si>
    <t>У-20-3743</t>
  </si>
  <si>
    <t>Хоменко Антон Дмитриевич</t>
  </si>
  <si>
    <t>У-20-3749</t>
  </si>
  <si>
    <t>Гребенюк Оксана Вадимовна</t>
  </si>
  <si>
    <t>У-20-3753</t>
  </si>
  <si>
    <t>Шайбеков Марсель Мазгарович</t>
  </si>
  <si>
    <t>У-20-4210</t>
  </si>
  <si>
    <t>Звонцова Оксана Александровна</t>
  </si>
  <si>
    <t>У-20-4212</t>
  </si>
  <si>
    <t>Бабаев Эльвин Муталлимович</t>
  </si>
  <si>
    <t>У-20-4213</t>
  </si>
  <si>
    <t>Кирьянов Михаил Павлович</t>
  </si>
  <si>
    <t>У-20-4976</t>
  </si>
  <si>
    <t>Трапезников Евгений Михайлович</t>
  </si>
  <si>
    <t>У-20-4977</t>
  </si>
  <si>
    <t>Попова Ксения Александровна</t>
  </si>
  <si>
    <t>У-20-4993</t>
  </si>
  <si>
    <t>Бабичев Павел Владиславович</t>
  </si>
  <si>
    <t>У-20-4996</t>
  </si>
  <si>
    <t>Осмонканова Кыял Абдышевна</t>
  </si>
  <si>
    <t>У-19-80050</t>
  </si>
  <si>
    <t>Тимирбулатов Максим Петрович</t>
  </si>
  <si>
    <t>У-19-81991</t>
  </si>
  <si>
    <t>У-19-88207</t>
  </si>
  <si>
    <t>Бузаев Павел Юрьевич</t>
  </si>
  <si>
    <t>У-20-1183</t>
  </si>
  <si>
    <t>Сусленкова Галина Александровна</t>
  </si>
  <si>
    <t>У-20-3078</t>
  </si>
  <si>
    <t>Савина Вера Семеновна</t>
  </si>
  <si>
    <t>У-20-3084</t>
  </si>
  <si>
    <t>Слепченко Евгений Юрьевич</t>
  </si>
  <si>
    <t>У-20-3086</t>
  </si>
  <si>
    <t>Шелест Анатолий Алексеевич</t>
  </si>
  <si>
    <t>У-20-3092</t>
  </si>
  <si>
    <t>Фомин Александр Александрович</t>
  </si>
  <si>
    <t>У-20-3110</t>
  </si>
  <si>
    <t>Берон Валерий Игоревич</t>
  </si>
  <si>
    <t>У-20-3112</t>
  </si>
  <si>
    <t>Капленко Элеонора Викторовна</t>
  </si>
  <si>
    <t>У-20-3120</t>
  </si>
  <si>
    <t>Харламов Андрей Юрьевич</t>
  </si>
  <si>
    <t>У-20-3961</t>
  </si>
  <si>
    <t>Назарян Анна Размиковна</t>
  </si>
  <si>
    <t>У-20-3964</t>
  </si>
  <si>
    <t>Погудин Максим Евгеньевич</t>
  </si>
  <si>
    <t>У-20-3966</t>
  </si>
  <si>
    <t>Кольцов Роман Сергеевич</t>
  </si>
  <si>
    <t>У-20-3967</t>
  </si>
  <si>
    <t>Насибуллин Ильдар Адгамович</t>
  </si>
  <si>
    <t>У-20-5749</t>
  </si>
  <si>
    <t>Тузов Алексей Юрьевич</t>
  </si>
  <si>
    <t>У-20-5754</t>
  </si>
  <si>
    <t>Демидова Виктория Дмитриевна</t>
  </si>
  <si>
    <t>У-20-5755</t>
  </si>
  <si>
    <t>Якунин Илья Александрович</t>
  </si>
  <si>
    <t>У-20-5765</t>
  </si>
  <si>
    <t>Милишенко Светлана Александровна</t>
  </si>
  <si>
    <t>У-19-88579</t>
  </si>
  <si>
    <t>Шоль Анастасия Викторовна</t>
  </si>
  <si>
    <t>У-20-2067</t>
  </si>
  <si>
    <t>Полторакипка Олег Олегович</t>
  </si>
  <si>
    <t>У-20-2083</t>
  </si>
  <si>
    <t>Пронин Григорий Викторович</t>
  </si>
  <si>
    <t>АО «СК ГАЙДЕ»</t>
  </si>
  <si>
    <t>У-20-2938</t>
  </si>
  <si>
    <t>Зуборев Юрий Александрович</t>
  </si>
  <si>
    <t>У-20-3651</t>
  </si>
  <si>
    <t>Завьялова Наталья Васильевна</t>
  </si>
  <si>
    <t>У-20-3652</t>
  </si>
  <si>
    <t>Воробьев Николай Борисович</t>
  </si>
  <si>
    <t>У-20-3654</t>
  </si>
  <si>
    <t>Марков Сергей Михайлович</t>
  </si>
  <si>
    <t>У-20-3657</t>
  </si>
  <si>
    <t>Жуков Сергей Сергеевич</t>
  </si>
  <si>
    <t>У-20-3658</t>
  </si>
  <si>
    <t>Бухарева Лидия Васильевна</t>
  </si>
  <si>
    <t>У-20-3660</t>
  </si>
  <si>
    <t>Васькова Мария Леонидовна</t>
  </si>
  <si>
    <t>У-20-4451</t>
  </si>
  <si>
    <t>Бариев Ильфат Фанисович</t>
  </si>
  <si>
    <t>У-20-4452</t>
  </si>
  <si>
    <t>Алиев Гандам Рауф Оглы</t>
  </si>
  <si>
    <t>У-20-4485</t>
  </si>
  <si>
    <t>Кравченко Сергей Владмимрович</t>
  </si>
  <si>
    <t>У-20-5211</t>
  </si>
  <si>
    <t>ЖДАНОВ ЕВГЕНИЙ Витальевич</t>
  </si>
  <si>
    <t>У-20-5333</t>
  </si>
  <si>
    <t>Ахмедханов Башир Абуталибович</t>
  </si>
  <si>
    <t>У-20-5537</t>
  </si>
  <si>
    <t>Тухветуллов Рамиль Ильгизарович</t>
  </si>
  <si>
    <t>НЕУСТОЙКА, ФУ</t>
  </si>
  <si>
    <t>Исполнили в срок по решению ФУ</t>
  </si>
  <si>
    <t>ЛИМИТ</t>
  </si>
  <si>
    <t>Выплата за имущество и ТС в рамках лимита 400000</t>
  </si>
  <si>
    <t>Взыскиваем неустойку 180 рублей</t>
  </si>
  <si>
    <t>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t>
  </si>
  <si>
    <t>Дважды выдавали ННР, по первому работы не произведены, получен отказ от СТОА, второе выдано с нарушением срока</t>
  </si>
  <si>
    <t>КОММЕРЧЕСКОЕ, УЧЕБНОЕ ТС</t>
  </si>
  <si>
    <t>НЕУСТОЙКА, ЖИЗНЬ</t>
  </si>
  <si>
    <t>У-19-87086</t>
  </si>
  <si>
    <t>Русецкий Александр Валерьевич</t>
  </si>
  <si>
    <t>У-20-1136</t>
  </si>
  <si>
    <t>Игнатенко Татьяна Ивановна</t>
  </si>
  <si>
    <t>У-20-1137</t>
  </si>
  <si>
    <t>Адаев Андрей Михайлович</t>
  </si>
  <si>
    <t>У-20-2082</t>
  </si>
  <si>
    <t>Алиев Яхиябек Гусейнович</t>
  </si>
  <si>
    <t>У-20-2086</t>
  </si>
  <si>
    <t>Муравьев Александр Викторович</t>
  </si>
  <si>
    <t>У-20-2119</t>
  </si>
  <si>
    <t>Разумова Наталья Владимировна</t>
  </si>
  <si>
    <t>У-20-3503</t>
  </si>
  <si>
    <t>Крюков Дмитрий Петрович</t>
  </si>
  <si>
    <t>У-20-3518</t>
  </si>
  <si>
    <t>Кочарян Лилит Седраковна</t>
  </si>
  <si>
    <t>У-20-3524</t>
  </si>
  <si>
    <t>Доровский Дмитрий Александрович</t>
  </si>
  <si>
    <t>У-20-3527</t>
  </si>
  <si>
    <t>Силкин Ростислав Иванович</t>
  </si>
  <si>
    <t>У-20-3529</t>
  </si>
  <si>
    <t>Карлов Андрей Сергеевич</t>
  </si>
  <si>
    <t>У-20-4114</t>
  </si>
  <si>
    <t>Аристов Алексей Борисович</t>
  </si>
  <si>
    <t>У-20-4119</t>
  </si>
  <si>
    <t>Немсицверидзе Шалва Мурманович</t>
  </si>
  <si>
    <t>У-20-4129</t>
  </si>
  <si>
    <t>Алексеева Милена Тахмасибовна</t>
  </si>
  <si>
    <t>У-20-4869</t>
  </si>
  <si>
    <t>Попова Лариса Сергеевна</t>
  </si>
  <si>
    <t>У-20-4871</t>
  </si>
  <si>
    <t>Захаров Владислав Федорович</t>
  </si>
  <si>
    <t>У-20-4874</t>
  </si>
  <si>
    <t>Пивоварова Инна Сергеевна</t>
  </si>
  <si>
    <t>ЖИЗНЬ, НЕТ ДОКУМЕНТОВ</t>
  </si>
  <si>
    <t>Прекращаем, т.к. согласно ответу ФО, представленному Заявителем, ответственность виновника ДТП застрахована на другое ТС, а не на то, которым он управлял в момент ДТП</t>
  </si>
  <si>
    <t>191014, г. Санкт-Петербург, Литейный пр-кт, д. 57 А, лит. А</t>
  </si>
  <si>
    <t>ФО отказала на том основании, что нет VIN кода</t>
  </si>
  <si>
    <t>ФО идет в суд с иском о снижении неустойки</t>
  </si>
  <si>
    <t>ФО обратилась в суд с иском о снижении неустойки</t>
  </si>
  <si>
    <t>Предлагали эвакуацию из Дагестана в Москву</t>
  </si>
  <si>
    <t>ЗАЧЕТ</t>
  </si>
  <si>
    <t>ВСК проводит зачет, ргегресс к потерпевшему</t>
  </si>
  <si>
    <t>Полуотложная</t>
  </si>
  <si>
    <t>Фин санкция по дату ремонта</t>
  </si>
  <si>
    <t>Выдали ННР не в срок</t>
  </si>
  <si>
    <t>Ущерб, экспертиза, неустойка</t>
  </si>
  <si>
    <t>Неустойка УЩЕРБ и УТС</t>
  </si>
  <si>
    <t>Была траса, но выплатили, взыскали неустойку</t>
  </si>
  <si>
    <t>11-8774</t>
  </si>
  <si>
    <t>Выплатили добровольно</t>
  </si>
  <si>
    <t>КОММЕНТАРИИ</t>
  </si>
  <si>
    <t>УЩЕРБ СВЫШЕ 400000</t>
  </si>
  <si>
    <t>В одной платежке и неустойка и финансовая санкция с НДФЛ</t>
  </si>
  <si>
    <t>НЕУСТОЙКА, КАЧЕСТВО РЕМОНТА</t>
  </si>
  <si>
    <t>НЕТИПОВОЕ Неустойка на эвакуатор, неустойка за нарушение сроков выдачи ННР по суду. Часть страхового возмещения была выплачена деньгами, возвращал в кассу, потом выплатили повторно (за парктроник)</t>
  </si>
  <si>
    <t>Здоровье по нормативам и неустойка, в том числе отложная</t>
  </si>
  <si>
    <t>МОТ</t>
  </si>
  <si>
    <t>РЕЗ</t>
  </si>
  <si>
    <t>Нет документов на право собственности ТС</t>
  </si>
  <si>
    <t>Сравнение ТОТАЛ (ФО) с обычной нашей. Ссылка на 40 пункт пленума</t>
  </si>
  <si>
    <t>Взыскиваем неустойку</t>
  </si>
  <si>
    <t>Обязательное страхование гражданской ответственности владельцев транспортных средств</t>
  </si>
  <si>
    <t>У-19-91417</t>
  </si>
  <si>
    <t>Бухтуева Марина Викторовна</t>
  </si>
  <si>
    <t>У-20-6262</t>
  </si>
  <si>
    <t>Рыжков Максим Викторович</t>
  </si>
  <si>
    <t>У-20-6175</t>
  </si>
  <si>
    <t>Пупков Глеб Вячеславович</t>
  </si>
  <si>
    <t>У-20-6176</t>
  </si>
  <si>
    <t>Джаббаров Темурбек Исмадиярович</t>
  </si>
  <si>
    <t>У-20-6178</t>
  </si>
  <si>
    <t>Шелест Николай Николаевич</t>
  </si>
  <si>
    <t>У-20-7249</t>
  </si>
  <si>
    <t>Якуньков Алексей Алексеевич</t>
  </si>
  <si>
    <t>У-20-7252</t>
  </si>
  <si>
    <t>Минченко Алла Ивановна</t>
  </si>
  <si>
    <t>У-20-7253</t>
  </si>
  <si>
    <t>Задорин Александр Вячеславович</t>
  </si>
  <si>
    <t>У-20-7254</t>
  </si>
  <si>
    <t>Щербицкая Юлия Викторовна</t>
  </si>
  <si>
    <t>У-20-7351</t>
  </si>
  <si>
    <t>ПОПОВ АНТОН ЕВГЕНЬЕВИЧ</t>
  </si>
  <si>
    <t>У-20-8337</t>
  </si>
  <si>
    <t>Новикова Наталья Васильевна</t>
  </si>
  <si>
    <t>У-20-8338</t>
  </si>
  <si>
    <t>Трофимов Никита Сергеевич</t>
  </si>
  <si>
    <t>У-20-8339</t>
  </si>
  <si>
    <t>Мелконян Нелли Арюцуновна</t>
  </si>
  <si>
    <t>У-20-8343</t>
  </si>
  <si>
    <t>Чепрасов Максим Владимирович</t>
  </si>
  <si>
    <t>У-20-8358</t>
  </si>
  <si>
    <t>Свиридова Инна Владимировна</t>
  </si>
  <si>
    <t>У-20-10029</t>
  </si>
  <si>
    <t>Малахов Алексей Николаевич</t>
  </si>
  <si>
    <t>У-20-10031</t>
  </si>
  <si>
    <t>Афанасьев Евгений Викторович</t>
  </si>
  <si>
    <t>У-19-87798</t>
  </si>
  <si>
    <t>У-20-6121</t>
  </si>
  <si>
    <t>Горбунов Анатолий Александрович</t>
  </si>
  <si>
    <t>У-20-6122</t>
  </si>
  <si>
    <t>Горелкин Дмитрий Юрьевич</t>
  </si>
  <si>
    <t>У-20-6123</t>
  </si>
  <si>
    <t>Толстоброва Галина Игоревна</t>
  </si>
  <si>
    <t>У-20-7120</t>
  </si>
  <si>
    <t>Клейменов Михаил ЮРЬЕВИЧ</t>
  </si>
  <si>
    <t>У-20-7123</t>
  </si>
  <si>
    <t>Песчаная Ксения Олеговна</t>
  </si>
  <si>
    <t>У-20-7125</t>
  </si>
  <si>
    <t>Баталов Андрей Алексеевич</t>
  </si>
  <si>
    <t>У-20-7126</t>
  </si>
  <si>
    <t>Нафиков Алик Равильевич</t>
  </si>
  <si>
    <t>У-20-8271</t>
  </si>
  <si>
    <t>Попов Сергей Викторович</t>
  </si>
  <si>
    <t>У-20-8165</t>
  </si>
  <si>
    <t>Зиялтдинов Ильфат Умманович</t>
  </si>
  <si>
    <t>У-20-8272</t>
  </si>
  <si>
    <t>Федоровцева Алена Валерьевна</t>
  </si>
  <si>
    <t>У-20-8273</t>
  </si>
  <si>
    <t>Опрятнов Сергей Александрович</t>
  </si>
  <si>
    <t>У-20-8166</t>
  </si>
  <si>
    <t>Мустафин Ришат Джафярович</t>
  </si>
  <si>
    <t>У-20-9170</t>
  </si>
  <si>
    <t>Валиев Тимур Махарбекович</t>
  </si>
  <si>
    <t>У-20-9181</t>
  </si>
  <si>
    <t>Выймов Дмитрий Сергеевич</t>
  </si>
  <si>
    <t>У-20-9820</t>
  </si>
  <si>
    <t>Векшин Павел Юрьевич</t>
  </si>
  <si>
    <t>У-20-9825</t>
  </si>
  <si>
    <t>Савицкене Валентина Николаевна</t>
  </si>
  <si>
    <t>У-20-6804</t>
  </si>
  <si>
    <t>Иванович Василий Исламов</t>
  </si>
  <si>
    <t>У-20-6833</t>
  </si>
  <si>
    <t>Мочалова Елена Валерьевна</t>
  </si>
  <si>
    <t>У-20-6835</t>
  </si>
  <si>
    <t>Ткач Юрий Димитриевич</t>
  </si>
  <si>
    <t>У-20-6891</t>
  </si>
  <si>
    <t>Нахратов Никита Сергеевич</t>
  </si>
  <si>
    <t>У-20-7584</t>
  </si>
  <si>
    <t>Дейграф Андрей Викторович</t>
  </si>
  <si>
    <t>У-20-7596</t>
  </si>
  <si>
    <t>Касеко Константин Яковлевич</t>
  </si>
  <si>
    <t>У-20-7611</t>
  </si>
  <si>
    <t>Корсуков Сергей Геннадьевич</t>
  </si>
  <si>
    <t>У-20-7623</t>
  </si>
  <si>
    <t>Копотева Екатерина Викторовна</t>
  </si>
  <si>
    <t>У-20-7626</t>
  </si>
  <si>
    <t>Васицкий Руслан Владимирович</t>
  </si>
  <si>
    <t>У-20-8682</t>
  </si>
  <si>
    <t>Ефимов Александр Александрович</t>
  </si>
  <si>
    <t>У-20-8685</t>
  </si>
  <si>
    <t>Газимагомедов Магомед Ильясович</t>
  </si>
  <si>
    <t>У-20-8689</t>
  </si>
  <si>
    <t>Сизоненко Руслан Владимирович</t>
  </si>
  <si>
    <t>У-20-8756</t>
  </si>
  <si>
    <t>Волосов Денис Николаевич</t>
  </si>
  <si>
    <t>У-20-8763</t>
  </si>
  <si>
    <t>Назмутдинова Зульфира Фаритовна</t>
  </si>
  <si>
    <t>У-20-9746</t>
  </si>
  <si>
    <t xml:space="preserve">Ковалева Нина </t>
  </si>
  <si>
    <t>У-20-9747</t>
  </si>
  <si>
    <t>Хусаинов Динис Гумарович</t>
  </si>
  <si>
    <t>У-20-10174</t>
  </si>
  <si>
    <t>Шамехин Станислав Николаевич</t>
  </si>
  <si>
    <t>У-20-10239</t>
  </si>
  <si>
    <t>Михалкова Екатерина Владимировна</t>
  </si>
  <si>
    <t>У-20-6431</t>
  </si>
  <si>
    <t>Хачиров Арасул Абдулович</t>
  </si>
  <si>
    <t>У-20-6613</t>
  </si>
  <si>
    <t>Азарян Мигран Артурович</t>
  </si>
  <si>
    <t>У-20-6625</t>
  </si>
  <si>
    <t>Шарамуков Аскер Русланович</t>
  </si>
  <si>
    <t>У-20-7482</t>
  </si>
  <si>
    <t>Тарасевич Наталья Валерьевна</t>
  </si>
  <si>
    <t>У-20-7484</t>
  </si>
  <si>
    <t>Тхахахо Адам Алимович</t>
  </si>
  <si>
    <t>У-20-7498</t>
  </si>
  <si>
    <t>Колупаев Сергей Анатольевич</t>
  </si>
  <si>
    <t>У-20-7500</t>
  </si>
  <si>
    <t>Касьянов Андрей Федорович</t>
  </si>
  <si>
    <t>У-20-7516</t>
  </si>
  <si>
    <t>Черепов Александр Игоревич</t>
  </si>
  <si>
    <t>У-20-8530</t>
  </si>
  <si>
    <t>Титова Светлана Алексеевна</t>
  </si>
  <si>
    <t>У-20-8540</t>
  </si>
  <si>
    <t>Дзагахов Руслан Сергеевич</t>
  </si>
  <si>
    <t>У-20-8550</t>
  </si>
  <si>
    <t>Васина Юлия Сергеевна</t>
  </si>
  <si>
    <t>У-20-8552</t>
  </si>
  <si>
    <t>Уразаева Надежда Николаевна</t>
  </si>
  <si>
    <t>У-20-9644</t>
  </si>
  <si>
    <t>Майсурадзе Баграт Владимирович</t>
  </si>
  <si>
    <t>У-20-9676</t>
  </si>
  <si>
    <t>Харченко Виталий Викторович</t>
  </si>
  <si>
    <t>У-20-10088</t>
  </si>
  <si>
    <t>Гергаулов Чермен Гурамович</t>
  </si>
  <si>
    <t>У-20-10090</t>
  </si>
  <si>
    <t>Слесарева Ольга Павловна</t>
  </si>
  <si>
    <t>У-19-90630</t>
  </si>
  <si>
    <t>Мирсабзов Худоиназар Махмадназарович</t>
  </si>
  <si>
    <t>У-20-7122</t>
  </si>
  <si>
    <t>Плиев Эльбрус Геннадьевич</t>
  </si>
  <si>
    <t>У-20-7150</t>
  </si>
  <si>
    <t>Гусаров Виктор Александрович</t>
  </si>
  <si>
    <t>У-20-7175</t>
  </si>
  <si>
    <t>Фатыхов Айрат Юнусович</t>
  </si>
  <si>
    <t>У-20-7182</t>
  </si>
  <si>
    <t>Камилов Махмуд Гасангаджиевич</t>
  </si>
  <si>
    <t>У-20-8031</t>
  </si>
  <si>
    <t>Картавцев Игорь Николаевич</t>
  </si>
  <si>
    <t>У-20-8032</t>
  </si>
  <si>
    <t>Кропачева Валерия Алексеевна</t>
  </si>
  <si>
    <t>У-20-8053</t>
  </si>
  <si>
    <t>Чесников Сергей Сергеевич</t>
  </si>
  <si>
    <t>У-20-8067</t>
  </si>
  <si>
    <t>Судуткина Людмила Павловна</t>
  </si>
  <si>
    <t>У-20-8106</t>
  </si>
  <si>
    <t>Горланова Татьяна Алексеевна</t>
  </si>
  <si>
    <t>У-20-8117</t>
  </si>
  <si>
    <t>Андреев Андрей Евгеньевич</t>
  </si>
  <si>
    <t>У-20-8136</t>
  </si>
  <si>
    <t>Глазков Александр Сергеевич</t>
  </si>
  <si>
    <t>У-20-8978</t>
  </si>
  <si>
    <t>Золотенко Николай Александрович</t>
  </si>
  <si>
    <t>У-20-8983</t>
  </si>
  <si>
    <t>Никитина Анна Михайловна</t>
  </si>
  <si>
    <t>У-20-8996</t>
  </si>
  <si>
    <t>Герасимов Кирилл Евгеньевич</t>
  </si>
  <si>
    <t>У-20-8999</t>
  </si>
  <si>
    <t>Лукманов Руслан Шамилевич</t>
  </si>
  <si>
    <t>У-20-9834</t>
  </si>
  <si>
    <t>Зюзиков Иван Васильевич</t>
  </si>
  <si>
    <t>У-20-9839</t>
  </si>
  <si>
    <t>Широков Артем Олегович</t>
  </si>
  <si>
    <t>У-20-10541</t>
  </si>
  <si>
    <t>Хугаев Георгий Борисович</t>
  </si>
  <si>
    <t>У-20-10574</t>
  </si>
  <si>
    <t>Оточкина Лидия Михайловна</t>
  </si>
  <si>
    <t>ЭВАКУАТОР</t>
  </si>
  <si>
    <t>Много требований</t>
  </si>
  <si>
    <t>Ермолаева Елена Александровна</t>
  </si>
  <si>
    <t>У-20-6171</t>
  </si>
  <si>
    <t>Гукасян Карен Хачатурович</t>
  </si>
  <si>
    <t>У-20-6180</t>
  </si>
  <si>
    <t>Майборода Анжела Николаевна</t>
  </si>
  <si>
    <t>У-20-7037</t>
  </si>
  <si>
    <t>Колосов Вячеслав Олегович</t>
  </si>
  <si>
    <t>У-19-90537</t>
  </si>
  <si>
    <t>Якушева Лариса Витальевна</t>
  </si>
  <si>
    <t>У-19-90554</t>
  </si>
  <si>
    <t>Шестаков Сергей Юрьевич</t>
  </si>
  <si>
    <t>У-19-91056</t>
  </si>
  <si>
    <t>Загребин Алексей Николаевич</t>
  </si>
  <si>
    <t>У-20-6453</t>
  </si>
  <si>
    <t>Чичиленко Анастасия Дмитриевна</t>
  </si>
  <si>
    <t>У-20-6758</t>
  </si>
  <si>
    <t>Заболотный Артем Тимофеевич</t>
  </si>
  <si>
    <t>У-20-6871</t>
  </si>
  <si>
    <t>Кобякова Юлия Александровна</t>
  </si>
  <si>
    <t>У-20-6912</t>
  </si>
  <si>
    <t>Николаев Виталий Владимирович</t>
  </si>
  <si>
    <t>У-20-7519</t>
  </si>
  <si>
    <t>Лебедев Сергей Николаевич</t>
  </si>
  <si>
    <t>У-19-91133</t>
  </si>
  <si>
    <t>Капышов Александр Вадимович</t>
  </si>
  <si>
    <t>У-19-91185</t>
  </si>
  <si>
    <t>Наумова Светлана Вячеславовна</t>
  </si>
  <si>
    <t>У-20-8294</t>
  </si>
  <si>
    <t>Павлов Николай Яковлевич</t>
  </si>
  <si>
    <t>У-20-8181</t>
  </si>
  <si>
    <t>Руденко Александр Владимирович</t>
  </si>
  <si>
    <t>У-20-8295</t>
  </si>
  <si>
    <t>Кутушова Яна Павловна</t>
  </si>
  <si>
    <t>У-20-8296</t>
  </si>
  <si>
    <t>Ануфриева Юлия Владимировна</t>
  </si>
  <si>
    <t>Поменялся собственник, виновник не вписан. Полис действует в отношении ТС. Ссылка на Определение Конституционного суда</t>
  </si>
  <si>
    <t>Отказ по тоталу, но взыскание неустойки на эвакуатор</t>
  </si>
  <si>
    <t>ДТП вечером, отказ по трасе, по НТЭ ФУ 10 000</t>
  </si>
  <si>
    <t>Цессия, аварком</t>
  </si>
  <si>
    <t>РАЗНИЦА</t>
  </si>
  <si>
    <t>УТС и неустойка за нарушение сроков восстановительного ремонта</t>
  </si>
  <si>
    <t>Неустойка на сроки ремонта</t>
  </si>
  <si>
    <t>Добровольно выплатили</t>
  </si>
  <si>
    <t>ФС до выдачи ННР</t>
  </si>
  <si>
    <t>Часть соответствует, но уже была повреждена</t>
  </si>
  <si>
    <t>Взыскание неустойки. НТЭ Заявителя как неиспользованная</t>
  </si>
  <si>
    <t>ННР не в срок</t>
  </si>
  <si>
    <t>Добровольная выплата неустойки</t>
  </si>
  <si>
    <t>По нормативам</t>
  </si>
  <si>
    <t>Невозможно определить период неустойки, взысканной решением суда</t>
  </si>
  <si>
    <t>ПОЛЕНО</t>
  </si>
  <si>
    <t>ФО исключила часть повреждений из ННР</t>
  </si>
  <si>
    <t>Расходы</t>
  </si>
  <si>
    <t>Без справки о ДТП и административных материалов, добросовестность</t>
  </si>
  <si>
    <t>У-20-11365</t>
  </si>
  <si>
    <t>Шайхулин Фарит Автохович</t>
  </si>
  <si>
    <t>У-20-11402</t>
  </si>
  <si>
    <t>Малышев Илья Александрович</t>
  </si>
  <si>
    <t>У-20-11546</t>
  </si>
  <si>
    <t>Венедиктов Александр Геннадьевич</t>
  </si>
  <si>
    <t>У-20-11703</t>
  </si>
  <si>
    <t>Хайретдинов Альберт Хасанович</t>
  </si>
  <si>
    <t>У-20-11637</t>
  </si>
  <si>
    <t>Денисова Алина Анатольевна</t>
  </si>
  <si>
    <t>У-20-12152</t>
  </si>
  <si>
    <t>Чабрикова Инна Аркадьевна</t>
  </si>
  <si>
    <t>У-20-12493</t>
  </si>
  <si>
    <t>Табакова Оксана Сергеевна</t>
  </si>
  <si>
    <t>У-20-12602</t>
  </si>
  <si>
    <t>Вожлаков Денис Игоревич</t>
  </si>
  <si>
    <t>У-20-12775</t>
  </si>
  <si>
    <t>Мертвищев Александр Иванович</t>
  </si>
  <si>
    <t>У-20-12979</t>
  </si>
  <si>
    <t>Завалихин Сергей Геннадьевич</t>
  </si>
  <si>
    <t>У-20-13220</t>
  </si>
  <si>
    <t>Филатов Кирилл Валерьевич</t>
  </si>
  <si>
    <t>У-20-13408</t>
  </si>
  <si>
    <t>Никитин Роман Константинович</t>
  </si>
  <si>
    <t>У-20-13421</t>
  </si>
  <si>
    <t>Бибулатов Бибулат Абдуллаевич</t>
  </si>
  <si>
    <t>У-20-13639</t>
  </si>
  <si>
    <t>Сумин Алексей Владимирович</t>
  </si>
  <si>
    <t>У-20-13872</t>
  </si>
  <si>
    <t>Мингалев Вадим Владимирович</t>
  </si>
  <si>
    <t>У-20-14541</t>
  </si>
  <si>
    <t>Севастьянов Денис Вячеславович</t>
  </si>
  <si>
    <t>У-19-90349</t>
  </si>
  <si>
    <t>Грушина Надежда Семёновна</t>
  </si>
  <si>
    <t>У-19-91660</t>
  </si>
  <si>
    <t>Халявин Дмитрий Борисович</t>
  </si>
  <si>
    <t>У-20-4448</t>
  </si>
  <si>
    <t>Заводов Илья Николаевич</t>
  </si>
  <si>
    <t>У-20-10345</t>
  </si>
  <si>
    <t>Радин Владимир Сергеевич</t>
  </si>
  <si>
    <t>У-20-10658</t>
  </si>
  <si>
    <t>Колесник Алексей Филиппович</t>
  </si>
  <si>
    <t>У-20-10977</t>
  </si>
  <si>
    <t>Данилькевич Марина Влдимировна</t>
  </si>
  <si>
    <t>У-20-11061</t>
  </si>
  <si>
    <t>Геворгян Алина Айказовна</t>
  </si>
  <si>
    <t>У-20-11347</t>
  </si>
  <si>
    <t>Раджабов Марсель Девлетханович</t>
  </si>
  <si>
    <t>У-20-11441</t>
  </si>
  <si>
    <t>Симонов Александр Анатольевич</t>
  </si>
  <si>
    <t>У-20-11642</t>
  </si>
  <si>
    <t>Казымов Ахмед Гияс оглы</t>
  </si>
  <si>
    <t>У-20-11996</t>
  </si>
  <si>
    <t>Старкова Елена Константиновна</t>
  </si>
  <si>
    <t>У-20-12060</t>
  </si>
  <si>
    <t>Южанина Любовь Ивановна</t>
  </si>
  <si>
    <t>У-20-12478</t>
  </si>
  <si>
    <t>Насруллаев Рашид Абдусаламович</t>
  </si>
  <si>
    <t>У-20-13163</t>
  </si>
  <si>
    <t>Никешин Владимир Михайлович</t>
  </si>
  <si>
    <t>У-20-13332</t>
  </si>
  <si>
    <t>Тимофеев Андрей Геннадьевич</t>
  </si>
  <si>
    <t>У-20-13374</t>
  </si>
  <si>
    <t>Дараев Сергей Петрович</t>
  </si>
  <si>
    <t>У-20-13546</t>
  </si>
  <si>
    <t>Хитарови Наргиза Жоржиевна</t>
  </si>
  <si>
    <t>У-20-13717</t>
  </si>
  <si>
    <t>Устюгова Ульяна Рустамовна</t>
  </si>
  <si>
    <t>У-20-13856</t>
  </si>
  <si>
    <t>Панин Антон Владимирович</t>
  </si>
  <si>
    <t>У-20-13865</t>
  </si>
  <si>
    <t>Бушуева Людмила Тимофеева</t>
  </si>
  <si>
    <t>У-20-14285</t>
  </si>
  <si>
    <t>Шестаков Константин Юрьевич</t>
  </si>
  <si>
    <t>У-20-4263</t>
  </si>
  <si>
    <t>Логинов Данил Геннадьевич</t>
  </si>
  <si>
    <t>У-20-10089</t>
  </si>
  <si>
    <t>Бацазов Дзамболат Хаджибекирович</t>
  </si>
  <si>
    <t>У-20-10778</t>
  </si>
  <si>
    <t>Белова Анна Николаевна</t>
  </si>
  <si>
    <t>У-20-10878</t>
  </si>
  <si>
    <t>Третьяк Владислав Андреевич</t>
  </si>
  <si>
    <t>У-20-10979</t>
  </si>
  <si>
    <t>Лемешев Иван Александрович</t>
  </si>
  <si>
    <t>У-20-11293</t>
  </si>
  <si>
    <t>Маранян Тигран Нерсесович</t>
  </si>
  <si>
    <t>У-20-11303</t>
  </si>
  <si>
    <t>Хаматшин Илнур Мансурович</t>
  </si>
  <si>
    <t>У-20-11386</t>
  </si>
  <si>
    <t>Гуляева Екатерина Юрьевна</t>
  </si>
  <si>
    <t>У-20-12287</t>
  </si>
  <si>
    <t>Шайымова Лилия Рахманкуловна</t>
  </si>
  <si>
    <t>ООО «СК Екатеринбург»</t>
  </si>
  <si>
    <t>У-20-12601</t>
  </si>
  <si>
    <t>Согомонян Мартин Бартехович</t>
  </si>
  <si>
    <t>У-20-12646</t>
  </si>
  <si>
    <t>Шакуров Айдар Ильфатович</t>
  </si>
  <si>
    <t>У-20-13062</t>
  </si>
  <si>
    <t>Сидорчук Виктор Анатольевич</t>
  </si>
  <si>
    <t>У-20-13129</t>
  </si>
  <si>
    <t>Кропинова Нурзия Хайбрахмановна</t>
  </si>
  <si>
    <t>У-20-13617</t>
  </si>
  <si>
    <t>Зайцев Ярослав Николаевич</t>
  </si>
  <si>
    <t>У-20-13985</t>
  </si>
  <si>
    <t>Кундухова Ангелина Владимировна</t>
  </si>
  <si>
    <t>У-20-14049</t>
  </si>
  <si>
    <t>Логинова Ольга Михайловна</t>
  </si>
  <si>
    <t>У-20-14514</t>
  </si>
  <si>
    <t>Заитов Ришад Хайретдинович</t>
  </si>
  <si>
    <t>У-20-14560</t>
  </si>
  <si>
    <t>Пономарев Артем Сергеевич</t>
  </si>
  <si>
    <t>У-20-11136</t>
  </si>
  <si>
    <t>Жуков Александр Владимирович</t>
  </si>
  <si>
    <t>У-20-11210</t>
  </si>
  <si>
    <t>Фролова Зинаида Васильевна</t>
  </si>
  <si>
    <t>У-20-12401</t>
  </si>
  <si>
    <t>Егоров Сергей Владимирович</t>
  </si>
  <si>
    <t>У-20-12427</t>
  </si>
  <si>
    <t>Санан Абдуллаев Тарланович</t>
  </si>
  <si>
    <t>У-20-13081</t>
  </si>
  <si>
    <t>Хасанова Лилия Минифановна</t>
  </si>
  <si>
    <t>У-20-13844</t>
  </si>
  <si>
    <t>Пивоваров Александр Владимирович</t>
  </si>
  <si>
    <t>У-20-2153</t>
  </si>
  <si>
    <t>Ковалева Надежда Геннадьевна</t>
  </si>
  <si>
    <t>У-20-4045</t>
  </si>
  <si>
    <t>Супиев Омар Мусаевич</t>
  </si>
  <si>
    <t>У-20-10420</t>
  </si>
  <si>
    <t>Мухин Иван Николаевич</t>
  </si>
  <si>
    <t>У-20-10820</t>
  </si>
  <si>
    <t>Яромов Антон Николаевич</t>
  </si>
  <si>
    <t>У-20-11095</t>
  </si>
  <si>
    <t>Зекох Рустам Адамович</t>
  </si>
  <si>
    <t>У-20-11241</t>
  </si>
  <si>
    <t>Токарев Иван Иванович</t>
  </si>
  <si>
    <t>У-20-11415</t>
  </si>
  <si>
    <t>Скударнова Татьяна Михайловна</t>
  </si>
  <si>
    <t>У-20-11586</t>
  </si>
  <si>
    <t>Ушкова Марина Юрьевна</t>
  </si>
  <si>
    <t>У-20-11801</t>
  </si>
  <si>
    <t>Алдатов Давид Николаевич</t>
  </si>
  <si>
    <t>У-20-12026</t>
  </si>
  <si>
    <t>Мнацян Мгер Жани</t>
  </si>
  <si>
    <t>У-20-12316</t>
  </si>
  <si>
    <t>Сколозубов Евгений Сергеевич</t>
  </si>
  <si>
    <t>У-20-12654</t>
  </si>
  <si>
    <t>Зейтунян Овагим Пайлинович</t>
  </si>
  <si>
    <t>У-20-12694</t>
  </si>
  <si>
    <t>Карпеев Константин Валентинович</t>
  </si>
  <si>
    <t>У-20-12953</t>
  </si>
  <si>
    <t>Эбжноу Наргиза Рафетовна</t>
  </si>
  <si>
    <t>У-20-13153</t>
  </si>
  <si>
    <t>Сивый Иван Викторович</t>
  </si>
  <si>
    <t>У-20-13611</t>
  </si>
  <si>
    <t>Чеджемов Руслан Маратович</t>
  </si>
  <si>
    <t>У-20-13901</t>
  </si>
  <si>
    <t>Китапова Альбина Рамилевна</t>
  </si>
  <si>
    <t>У-20-14120</t>
  </si>
  <si>
    <t>Антипин Андрей Алексеевич</t>
  </si>
  <si>
    <t>У-20-14148</t>
  </si>
  <si>
    <t>Белоусова Алевтина Леонидовна</t>
  </si>
  <si>
    <t>ДОГОВОР ПРЕКРАТИЛ ДЕЙСТВИЕ (ТОТАЛ)</t>
  </si>
  <si>
    <t>Альфа за Стерх</t>
  </si>
  <si>
    <t>НЕУСТОЙКА, ЖИЗНЬ, ФУ</t>
  </si>
  <si>
    <t>Исполнили решение ФУ с нарушением сроков</t>
  </si>
  <si>
    <t>Отложенная неустойка до 100000. Европротокол</t>
  </si>
  <si>
    <t>Ремонт больше 400000, согласия на доплату нет</t>
  </si>
  <si>
    <t>Здоровье по нормативам и утраченный заработок</t>
  </si>
  <si>
    <t>Лимит 50000</t>
  </si>
  <si>
    <t>Нет даты выдачи повторного направления на ремонт</t>
  </si>
  <si>
    <t>У-20-2329</t>
  </si>
  <si>
    <t>ООО "Партнер"</t>
  </si>
  <si>
    <t>У-20-6318</t>
  </si>
  <si>
    <t>Цехер Татьяна Ивановна</t>
  </si>
  <si>
    <t>У-20-14307</t>
  </si>
  <si>
    <t>Горьков Алексей Сергеевич</t>
  </si>
  <si>
    <t>У-20-14407</t>
  </si>
  <si>
    <t>Калмыков Андрей Александрович</t>
  </si>
  <si>
    <t>У-20-14540</t>
  </si>
  <si>
    <t>Акопян Артем Владимирович</t>
  </si>
  <si>
    <t>У-20-14693</t>
  </si>
  <si>
    <t>Лепистов Максим Андреевич</t>
  </si>
  <si>
    <t>У-20-15425</t>
  </si>
  <si>
    <t>Алешина Юлия Альбертовна</t>
  </si>
  <si>
    <t>У-20-15507</t>
  </si>
  <si>
    <t>Гуреева Екатерина Викторовна</t>
  </si>
  <si>
    <t>У-20-15823</t>
  </si>
  <si>
    <t>Костылева Александра Степановна</t>
  </si>
  <si>
    <t>У-20-16129</t>
  </si>
  <si>
    <t>Нечкина Людмила Викторовна</t>
  </si>
  <si>
    <t>У-20-16797</t>
  </si>
  <si>
    <t>Карпов Иван Васильевич</t>
  </si>
  <si>
    <t>У-20-16914</t>
  </si>
  <si>
    <t>Старковский Борис Николаевич</t>
  </si>
  <si>
    <t>У-20-16971</t>
  </si>
  <si>
    <t>Долгов Константин Алекандрович</t>
  </si>
  <si>
    <t>У-20-17179</t>
  </si>
  <si>
    <t>Меняйлова Наталья Сергеевна</t>
  </si>
  <si>
    <t>У-20-17305</t>
  </si>
  <si>
    <t>Хозиев Аслан Ахмедович</t>
  </si>
  <si>
    <t>У-20-17357</t>
  </si>
  <si>
    <t>Федоров Дмитрий Сергеевич</t>
  </si>
  <si>
    <t>У-20-17712</t>
  </si>
  <si>
    <t>Чернышов Сергей Владимирович</t>
  </si>
  <si>
    <t>У-20-17886</t>
  </si>
  <si>
    <t>У-20-13083</t>
  </si>
  <si>
    <t>Доржиев Алексей Артемович</t>
  </si>
  <si>
    <t>У-20-14417</t>
  </si>
  <si>
    <t>Махмудов Магамедэмин Вячеславович</t>
  </si>
  <si>
    <t>У-20-14427</t>
  </si>
  <si>
    <t>Зотов Анатолий Александрович</t>
  </si>
  <si>
    <t>У-20-14902</t>
  </si>
  <si>
    <t>Гулян Айк Аршавирович</t>
  </si>
  <si>
    <t>У-20-14955</t>
  </si>
  <si>
    <t>Зязиков Назир Уматгиреевич</t>
  </si>
  <si>
    <t>У-20-15224</t>
  </si>
  <si>
    <t>Родионова Алена Игоревна</t>
  </si>
  <si>
    <t>У-20-15311</t>
  </si>
  <si>
    <t>Соловьев Александр Александрович</t>
  </si>
  <si>
    <t>У-20-15378</t>
  </si>
  <si>
    <t>Дюдина Нина Петровна</t>
  </si>
  <si>
    <t>У-20-15620</t>
  </si>
  <si>
    <t>Рудик Сергей Ильич</t>
  </si>
  <si>
    <t>У-20-16350</t>
  </si>
  <si>
    <t>Белявцева Светлана Витальевна</t>
  </si>
  <si>
    <t>У-20-16402</t>
  </si>
  <si>
    <t>Розенфельд Марк Григорьевич</t>
  </si>
  <si>
    <t>У-20-16823</t>
  </si>
  <si>
    <t>Мирзабеков Айгуб Расулович</t>
  </si>
  <si>
    <t>У-20-16934</t>
  </si>
  <si>
    <t>Давтян Вардан Гургенович</t>
  </si>
  <si>
    <t>У-20-17196</t>
  </si>
  <si>
    <t>Павлов Станислав Вячеславович</t>
  </si>
  <si>
    <t>У-20-17355</t>
  </si>
  <si>
    <t>Магомедов Магомедзагир Гасанович</t>
  </si>
  <si>
    <t>У-20-17577</t>
  </si>
  <si>
    <t>Курзенев Евгений Иванович</t>
  </si>
  <si>
    <t>У-20-17646</t>
  </si>
  <si>
    <t>Сазонов Андрей Игоревич</t>
  </si>
  <si>
    <t>У-20-18147</t>
  </si>
  <si>
    <t>Астапов Николай Михайлович</t>
  </si>
  <si>
    <t>Инвалид</t>
  </si>
  <si>
    <t>У-20-14441</t>
  </si>
  <si>
    <t>У-20-15094</t>
  </si>
  <si>
    <t>Коваль Виктор Николаевич</t>
  </si>
  <si>
    <t>Османов Нариман Шевкетович</t>
  </si>
  <si>
    <t>Выплата по соглашению не в срок</t>
  </si>
  <si>
    <t>У-20-15584</t>
  </si>
  <si>
    <t>Ужбанокова Зарема Джабировна</t>
  </si>
  <si>
    <t>Чернов Игорь Юрьевич</t>
  </si>
  <si>
    <t>У-20-14539</t>
  </si>
  <si>
    <t>ДЕФЕКТОВКА</t>
  </si>
  <si>
    <t>У-20-7989</t>
  </si>
  <si>
    <t>Касумов Ильяз Интигамович</t>
  </si>
  <si>
    <t>У-20-14322</t>
  </si>
  <si>
    <t>Дубов Владимир Владимирович</t>
  </si>
  <si>
    <t>У-20-14674</t>
  </si>
  <si>
    <t>Тряпицин Владислав Игоревич</t>
  </si>
  <si>
    <t>У-20-14716</t>
  </si>
  <si>
    <t>Гура Вадим Константинович</t>
  </si>
  <si>
    <t>У-20-14965</t>
  </si>
  <si>
    <t>Дворяшин Сергей Васильевич</t>
  </si>
  <si>
    <t>У-20-15256</t>
  </si>
  <si>
    <t>Жуков Дмитрий Андреевич</t>
  </si>
  <si>
    <t>У-20-15375</t>
  </si>
  <si>
    <t>Плугин Николай Олегович</t>
  </si>
  <si>
    <t>У-20-15659</t>
  </si>
  <si>
    <t>Доржиев Жаргал Баирович</t>
  </si>
  <si>
    <t>У-20-15749</t>
  </si>
  <si>
    <t>Перфилов Андрей Николаевич</t>
  </si>
  <si>
    <t>У-20-15801</t>
  </si>
  <si>
    <t>Рабинович Елена Викторовна</t>
  </si>
  <si>
    <t>У-20-16115</t>
  </si>
  <si>
    <t>Нигматуллин Руслан Айратович</t>
  </si>
  <si>
    <t>У-20-16240</t>
  </si>
  <si>
    <t>Коваленко Николай Викторович</t>
  </si>
  <si>
    <t>У-20-16606</t>
  </si>
  <si>
    <t>Вердян Андраник Межлумович</t>
  </si>
  <si>
    <t>У-20-16810</t>
  </si>
  <si>
    <t>Доставалов Антон Олегович</t>
  </si>
  <si>
    <t>У-20-17137</t>
  </si>
  <si>
    <t>Шангараев Ильшат Ильфатович</t>
  </si>
  <si>
    <t>У-20-17586</t>
  </si>
  <si>
    <t>Трофименко Ольга Владимировна</t>
  </si>
  <si>
    <t>У-20-17763</t>
  </si>
  <si>
    <t>Абакумов Кирилл Андреевич</t>
  </si>
  <si>
    <t>У-20-18010</t>
  </si>
  <si>
    <t>Иванов Николай Николаевич</t>
  </si>
  <si>
    <t>У-20-13178</t>
  </si>
  <si>
    <t>Гилалов Руслан Сергеевич</t>
  </si>
  <si>
    <t>У-20-14332</t>
  </si>
  <si>
    <t>Акопов Григорий Артемович</t>
  </si>
  <si>
    <t>У-20-14766</t>
  </si>
  <si>
    <t>Миронов Сергей Владимирович</t>
  </si>
  <si>
    <t>У-20-14941</t>
  </si>
  <si>
    <t>Петухов Сергей Александрович</t>
  </si>
  <si>
    <t>У-20-15491</t>
  </si>
  <si>
    <t>Петросян Севак Юрикович</t>
  </si>
  <si>
    <t>У-20-15743</t>
  </si>
  <si>
    <t>Шакирова Фарида Фаритовна</t>
  </si>
  <si>
    <t>У-20-16136</t>
  </si>
  <si>
    <t>Галуза Ирина Николаевна</t>
  </si>
  <si>
    <t>У-20-16179</t>
  </si>
  <si>
    <t>Власов Алексей Сергеевич</t>
  </si>
  <si>
    <t>У-20-16278</t>
  </si>
  <si>
    <t>Никольский Геннадий Владимирович</t>
  </si>
  <si>
    <t>У-20-16439</t>
  </si>
  <si>
    <t>У-20-16526</t>
  </si>
  <si>
    <t>Варданян Маргарита Ашотовна</t>
  </si>
  <si>
    <t>У-20-17274</t>
  </si>
  <si>
    <t>Гагауз Александра Ивановна</t>
  </si>
  <si>
    <t>У-20-17364</t>
  </si>
  <si>
    <t>Садуев Абдулхалим Гаджиевич</t>
  </si>
  <si>
    <t>У-20-17456</t>
  </si>
  <si>
    <t>Бабенко Владимир Федорович</t>
  </si>
  <si>
    <t>У-20-17574</t>
  </si>
  <si>
    <t>Калинин Александр Владимирович</t>
  </si>
  <si>
    <t>У-20-17668</t>
  </si>
  <si>
    <t>Бурда Роберт Анатольевич</t>
  </si>
  <si>
    <t>У-20-17791</t>
  </si>
  <si>
    <t>Шварова Валерия Вячеславовна</t>
  </si>
  <si>
    <t>Соглашение, решение ФУ</t>
  </si>
  <si>
    <t>У-20-2409</t>
  </si>
  <si>
    <t>У-20-9689</t>
  </si>
  <si>
    <t>Чухнов Иван Павлович</t>
  </si>
  <si>
    <t>У-20-9696</t>
  </si>
  <si>
    <t>Писаренко Александр Александрович</t>
  </si>
  <si>
    <t>У-20-14531</t>
  </si>
  <si>
    <t>Черных Александр Борисович</t>
  </si>
  <si>
    <t>У-20-14971</t>
  </si>
  <si>
    <t>Семенченко Дмитрий Александрович</t>
  </si>
  <si>
    <t>У-20-15304</t>
  </si>
  <si>
    <t>Сиукаева Людмила Муратовна</t>
  </si>
  <si>
    <t>У-20-15605</t>
  </si>
  <si>
    <t>Мурадян Лида Андраниковна</t>
  </si>
  <si>
    <t>У-20-15949</t>
  </si>
  <si>
    <t>Маркин Сергей Евгеньевич</t>
  </si>
  <si>
    <t>У-20-16077</t>
  </si>
  <si>
    <t>Сальков Владимир Ильич</t>
  </si>
  <si>
    <t>У-20-16590</t>
  </si>
  <si>
    <t>Пашкова Анна Геннадьевна</t>
  </si>
  <si>
    <t>У-20-16640</t>
  </si>
  <si>
    <t>Печорина Наталия Борисовна</t>
  </si>
  <si>
    <t>У-20-16668</t>
  </si>
  <si>
    <t>Талутис Виктор Александрович</t>
  </si>
  <si>
    <t>У-20-16833</t>
  </si>
  <si>
    <t>Неклюдов Александр Михайлович</t>
  </si>
  <si>
    <t>У-20-17371</t>
  </si>
  <si>
    <t>Овсоян Марина Христоевна</t>
  </si>
  <si>
    <t>У-20-17779</t>
  </si>
  <si>
    <t>Гарцева Наталья Ивановна</t>
  </si>
  <si>
    <t>У-20-17887</t>
  </si>
  <si>
    <t>Матвеев Андрей Владимирович</t>
  </si>
  <si>
    <t>Неустойка и плата за рассмотрение дела ФУ</t>
  </si>
  <si>
    <t>ФРАНШИЗА</t>
  </si>
  <si>
    <t>Двойная отложенная неустойка</t>
  </si>
  <si>
    <t>Тотал не тотал</t>
  </si>
  <si>
    <t>Предоставлены фото другого ТС</t>
  </si>
  <si>
    <t>Здоровье</t>
  </si>
  <si>
    <t>Полуотложная неустойка и финсанкция</t>
  </si>
  <si>
    <t>НЕУСТОЙКУА, ФС</t>
  </si>
  <si>
    <t>Запрос документов с нарушением сроков</t>
  </si>
  <si>
    <t>Нет даты выдачи Завителю направления на ремонт</t>
  </si>
  <si>
    <t>Без рассмотрения основаное требование, остальные отказ</t>
  </si>
  <si>
    <t>ДТП было оформлено без участия сотрудников полиции. Повреждено иное имущество (барьерное ограждение)</t>
  </si>
  <si>
    <t>НЕУСТОЙКА,ФС</t>
  </si>
  <si>
    <t>Ранее обращался к ФУ, часть требований БР, т.к. не соблюден досудебный порядок, сейчас ДП соблюден, поэтому рассматриваем</t>
  </si>
  <si>
    <t>ЗАПРОС РЕКВИЗИТОВ</t>
  </si>
  <si>
    <t>Хочет в кассе, запросили реквизиты</t>
  </si>
  <si>
    <t>Требование об организации ремонта. Не страховой случай. На машину упала дверь.</t>
  </si>
  <si>
    <t>Хочет по среднему рынку, но положено по методике</t>
  </si>
  <si>
    <t>УТС БР красивое</t>
  </si>
  <si>
    <t>У-20-2466</t>
  </si>
  <si>
    <t>У-20-5660</t>
  </si>
  <si>
    <t>У-20-5785</t>
  </si>
  <si>
    <t>У-20-8483</t>
  </si>
  <si>
    <t>У-20-9924</t>
  </si>
  <si>
    <t>У-20-10312</t>
  </si>
  <si>
    <t>У-20-10441</t>
  </si>
  <si>
    <t>У-20-10692</t>
  </si>
  <si>
    <t>У-20-18043</t>
  </si>
  <si>
    <t>У-20-18053</t>
  </si>
  <si>
    <t>У-20-18062</t>
  </si>
  <si>
    <t>У-20-18075</t>
  </si>
  <si>
    <t>У-20-18163</t>
  </si>
  <si>
    <t>У-20-18177</t>
  </si>
  <si>
    <t>У-20-18209</t>
  </si>
  <si>
    <t>У-20-18363</t>
  </si>
  <si>
    <t>У-20-18367</t>
  </si>
  <si>
    <t>У-20-18550</t>
  </si>
  <si>
    <t>У-20-18568</t>
  </si>
  <si>
    <t>У-20-18714</t>
  </si>
  <si>
    <t>У-20-18717</t>
  </si>
  <si>
    <t>У-20-18760</t>
  </si>
  <si>
    <t>У-20-18769</t>
  </si>
  <si>
    <t>У-20-18829</t>
  </si>
  <si>
    <t>У-20-18846</t>
  </si>
  <si>
    <t>У-20-18991</t>
  </si>
  <si>
    <t>У-20-19035</t>
  </si>
  <si>
    <t>У-20-19059</t>
  </si>
  <si>
    <t>У-20-19078</t>
  </si>
  <si>
    <t>У-20-19104</t>
  </si>
  <si>
    <t>У-20-19166</t>
  </si>
  <si>
    <t>У-20-19212</t>
  </si>
  <si>
    <t>У-20-19283</t>
  </si>
  <si>
    <t>У-20-19318</t>
  </si>
  <si>
    <t>У-20-19346</t>
  </si>
  <si>
    <t>У-20-19363</t>
  </si>
  <si>
    <t>У-20-19372</t>
  </si>
  <si>
    <t>У-20-19464</t>
  </si>
  <si>
    <t>У-20-19551</t>
  </si>
  <si>
    <t>У-20-19557</t>
  </si>
  <si>
    <t>У-20-19633</t>
  </si>
  <si>
    <t>У-20-19657</t>
  </si>
  <si>
    <t>У-20-19684</t>
  </si>
  <si>
    <t>У-20-19748</t>
  </si>
  <si>
    <t>У-20-19888</t>
  </si>
  <si>
    <t>У-20-19960</t>
  </si>
  <si>
    <t>У-20-19970</t>
  </si>
  <si>
    <t>У-20-19981</t>
  </si>
  <si>
    <t>У-20-20042</t>
  </si>
  <si>
    <t>У-20-20049</t>
  </si>
  <si>
    <t>У-20-20136</t>
  </si>
  <si>
    <t>У-20-20319</t>
  </si>
  <si>
    <t>У-20-20338</t>
  </si>
  <si>
    <t>У-20-20372</t>
  </si>
  <si>
    <t>У-20-20380</t>
  </si>
  <si>
    <t>У-20-20448</t>
  </si>
  <si>
    <t>У-20-20546</t>
  </si>
  <si>
    <t>У-20-20555</t>
  </si>
  <si>
    <t>У-20-20649</t>
  </si>
  <si>
    <t>У-20-20694</t>
  </si>
  <si>
    <t>У-20-20709</t>
  </si>
  <si>
    <t>У-20-20711</t>
  </si>
  <si>
    <t>У-20-20749</t>
  </si>
  <si>
    <t>У-20-20954</t>
  </si>
  <si>
    <t>У-20-21060</t>
  </si>
  <si>
    <t>У-20-21127</t>
  </si>
  <si>
    <t>У-20-21335</t>
  </si>
  <si>
    <t>У-20-21364</t>
  </si>
  <si>
    <t>У-20-21388</t>
  </si>
  <si>
    <t>У-20-21429</t>
  </si>
  <si>
    <t>У-20-21444</t>
  </si>
  <si>
    <t>У-20-21482</t>
  </si>
  <si>
    <t>У-20-21498</t>
  </si>
  <si>
    <t>У-20-21504</t>
  </si>
  <si>
    <t>У-20-21691</t>
  </si>
  <si>
    <t>У-20-21703</t>
  </si>
  <si>
    <t>У-20-21608</t>
  </si>
  <si>
    <t>У-20-21808</t>
  </si>
  <si>
    <t>У-20-21817</t>
  </si>
  <si>
    <t>У-20-21828</t>
  </si>
  <si>
    <t>У-20-21863</t>
  </si>
  <si>
    <t>У-20-22110</t>
  </si>
  <si>
    <t>У-20-22129</t>
  </si>
  <si>
    <t>У-20-22476</t>
  </si>
  <si>
    <t>У-20-22441</t>
  </si>
  <si>
    <t>У-20-22446</t>
  </si>
  <si>
    <t>У-20-22554</t>
  </si>
  <si>
    <t>У-20-22453</t>
  </si>
  <si>
    <t>У-20-22578</t>
  </si>
  <si>
    <t>У-20-22697</t>
  </si>
  <si>
    <t>У-20-22729</t>
  </si>
  <si>
    <t>У-20-22878</t>
  </si>
  <si>
    <t>У-20-22917</t>
  </si>
  <si>
    <t>У-20-22965</t>
  </si>
  <si>
    <t>У-20-23162</t>
  </si>
  <si>
    <t>Сницаренко Алексей Сергеевич</t>
  </si>
  <si>
    <t>Крутских Роман Викторович</t>
  </si>
  <si>
    <t>Ядыкина Алена Сергеевна</t>
  </si>
  <si>
    <t>ООО "Направление ВЛ"</t>
  </si>
  <si>
    <t>Васецкий Николай Иванович</t>
  </si>
  <si>
    <t>Панов Виталий Юрьевич</t>
  </si>
  <si>
    <t>Лемаева Елена Александровна</t>
  </si>
  <si>
    <t>Мартиросян Наре Агасиевна</t>
  </si>
  <si>
    <t>Макаров Александр Михайлович</t>
  </si>
  <si>
    <t>Лисов Антон Юрьевич</t>
  </si>
  <si>
    <t>Горбунов Александр Александрович</t>
  </si>
  <si>
    <t>Сорокин Дмитрий Аркадьевич</t>
  </si>
  <si>
    <t>Тадтаев Нарик Ибрагимович</t>
  </si>
  <si>
    <t>Козлов Роман Геннадьевич</t>
  </si>
  <si>
    <t>Старостин Валерий Анатольевич</t>
  </si>
  <si>
    <t>Нечаев Владимир Владимирович</t>
  </si>
  <si>
    <t>Зыков Анатолий Валентинович</t>
  </si>
  <si>
    <t>Глуховцова Элионора Алексеевна</t>
  </si>
  <si>
    <t>Боднар Василий Николаевич</t>
  </si>
  <si>
    <t>Быков Виталий Дмитриевич</t>
  </si>
  <si>
    <t>Корниенко Анна Эдиковна</t>
  </si>
  <si>
    <t>Георгиев Павел Геннадьевич</t>
  </si>
  <si>
    <t>Коновалов Евгений Владимирович</t>
  </si>
  <si>
    <t>Вологин Александр Игоревич</t>
  </si>
  <si>
    <t>Гавенко Анастасия Александровна</t>
  </si>
  <si>
    <t xml:space="preserve">Максаков Сергей </t>
  </si>
  <si>
    <t>Калуцких Александр Владимирович</t>
  </si>
  <si>
    <t>Крысин Роман Игоревич</t>
  </si>
  <si>
    <t>Чернов Сергей Петрович</t>
  </si>
  <si>
    <t>Шафиев Эльнур Назим Оглы</t>
  </si>
  <si>
    <t>Архипов Евгений Иванович</t>
  </si>
  <si>
    <t>Гришин Михаил Александрович</t>
  </si>
  <si>
    <t>Гевель Светлана Вячеславовна</t>
  </si>
  <si>
    <t>Рубаева Альбина Леонидовна</t>
  </si>
  <si>
    <t>Якупов Валиулла Гиниятович</t>
  </si>
  <si>
    <t>Рафиков Руслан Венерович</t>
  </si>
  <si>
    <t>Каратаев Сергей Михайлович</t>
  </si>
  <si>
    <t>Апанасенко Сергей Геннадьевич</t>
  </si>
  <si>
    <t>Охрименко Павел Анатольевич</t>
  </si>
  <si>
    <t>Киселев Сергей Александрович</t>
  </si>
  <si>
    <t>Григолия Рустан Эдикович</t>
  </si>
  <si>
    <t>Флегентов Александр Валентинович</t>
  </si>
  <si>
    <t>Царев Константин Владимирович</t>
  </si>
  <si>
    <t>Мякотин Николай Александрович</t>
  </si>
  <si>
    <t>Антонов Дмитрий Викторович</t>
  </si>
  <si>
    <t>Мамонтов Александр Петрович</t>
  </si>
  <si>
    <t>Дмитриев Андрей Федорович</t>
  </si>
  <si>
    <t>Сакин Сергей Николаевич</t>
  </si>
  <si>
    <t>Максимов ДМИТРИЙ Александрович</t>
  </si>
  <si>
    <t>Агаджанян Саркис Арагацевич</t>
  </si>
  <si>
    <t>Нигматуллин Ринат Рашитович</t>
  </si>
  <si>
    <t>Апарян Роберт Оганесович</t>
  </si>
  <si>
    <t>Бузган Иван Михайлович</t>
  </si>
  <si>
    <t>Мхитарян Марина Сергеевна</t>
  </si>
  <si>
    <t>Масалытин Иван Викторович</t>
  </si>
  <si>
    <t>Варин Марат Ильгизович</t>
  </si>
  <si>
    <t>Зарайская Анжелика Евгеньевна</t>
  </si>
  <si>
    <t>Скретнев Андрей Викторович</t>
  </si>
  <si>
    <t>Леухова Юлия Евгеньевна</t>
  </si>
  <si>
    <t>Каджаев Артур Асламбекович</t>
  </si>
  <si>
    <t>Сапрыкин Александр Александрович</t>
  </si>
  <si>
    <t>Данько Иван Андреевич</t>
  </si>
  <si>
    <t>Маслобоев Андрей Викторович</t>
  </si>
  <si>
    <t>Некрасова Анна Андреевна</t>
  </si>
  <si>
    <t>Соловьев Ярослав Николаевич</t>
  </si>
  <si>
    <t>Беляев Вячеслав Александрович</t>
  </si>
  <si>
    <t>Зубков Станислав Александрович</t>
  </si>
  <si>
    <t>Живлехин Андрей Викторович</t>
  </si>
  <si>
    <t>Стригин Игорь Владимирович</t>
  </si>
  <si>
    <t>Аверьянов Дмитрий Владимирович</t>
  </si>
  <si>
    <t>Лебединец Илья Витальевич</t>
  </si>
  <si>
    <t>Александров Виктор Егорович</t>
  </si>
  <si>
    <t>Гусев Илья Андреевич</t>
  </si>
  <si>
    <t>Гадыльшин Шамиль Мусаевич</t>
  </si>
  <si>
    <t>Тракимус Екатерина Олеговна</t>
  </si>
  <si>
    <t>Каптелин Дмитрий Александрович</t>
  </si>
  <si>
    <t>Куликов Владимир Николаевич</t>
  </si>
  <si>
    <t>Никитин Алексей Александрович</t>
  </si>
  <si>
    <t>Гаглоева Елизавета Юрьевна</t>
  </si>
  <si>
    <t>Согомонов Алексей Сергеевич</t>
  </si>
  <si>
    <t>Парасиди Георгий Станиславович</t>
  </si>
  <si>
    <t>Алехин Станислав Михайлович</t>
  </si>
  <si>
    <t>Вершинина Наталья Николаевна</t>
  </si>
  <si>
    <t>Сейтц Сергей Владимирович</t>
  </si>
  <si>
    <t>Мусаельян Жанна Игоревна</t>
  </si>
  <si>
    <t>Король Ольга Александровна</t>
  </si>
  <si>
    <t>Гукасян Тигран Артурович</t>
  </si>
  <si>
    <t>Копылов Алексей Юрьевич</t>
  </si>
  <si>
    <t>Мусабикова Аэлита Флоридовна</t>
  </si>
  <si>
    <t>Бугмырин Иван Александрович</t>
  </si>
  <si>
    <t>Потехина Маргарита Владимировна</t>
  </si>
  <si>
    <t>Рендаревская Наталья Евгеньевна</t>
  </si>
  <si>
    <t>Бадмаева Евгения Филипповна</t>
  </si>
  <si>
    <t>Игнатьева Елена Владимировна</t>
  </si>
  <si>
    <t>Саранина Елена Владимировна</t>
  </si>
  <si>
    <t>ДТП оформлено без участия ГИБДД</t>
  </si>
  <si>
    <t>Организовали осмотр больше чем через 5 дней</t>
  </si>
  <si>
    <t>Больше двух лет. На дилер не положено</t>
  </si>
  <si>
    <t>ЦЕССИЯ НЕУСТОЙКА</t>
  </si>
  <si>
    <t>На Татьяну</t>
  </si>
  <si>
    <t>Максу. ННР смской в срок, нормальное не в срок 14351</t>
  </si>
  <si>
    <t>ИМУЩЕСТВО</t>
  </si>
  <si>
    <t>Гидроцикл</t>
  </si>
  <si>
    <t>Судом установлен размер выплаты. Квазипреюдиция</t>
  </si>
  <si>
    <t>Квазипреюдиция</t>
  </si>
  <si>
    <t>Пассажир открывал дверь, нанес ущерб проезжавшему ТС</t>
  </si>
  <si>
    <t>ДВЕРЬ, ПАССАЖИР</t>
  </si>
  <si>
    <t>Не потребитель</t>
  </si>
  <si>
    <t>Неустойка за несоблюдение срока выдачи ННР после суда. Добровольное исполнение 400000</t>
  </si>
  <si>
    <t>ВОЗВРАТ. Неправильный расчет периода неустойки</t>
  </si>
  <si>
    <t>Два обращения в одном</t>
  </si>
  <si>
    <t>ПВУ</t>
  </si>
  <si>
    <t>Должен идти по ПВУ, т.к. согласно материалам дела бордюр повреждений не получил</t>
  </si>
  <si>
    <t>ВОЗВРАТ. ПОЧТА БР, НЕТ РАСЧЕТА НЕУСТОЙКИ</t>
  </si>
  <si>
    <t>Нет документов. Ждем 16</t>
  </si>
  <si>
    <t>ВОЗВРАТ. Не рассмотрен период неустойки до суда на сумму суда</t>
  </si>
  <si>
    <t>ПРЕЮДИЦИЯ ФУ</t>
  </si>
  <si>
    <t>620014, Свердловская обл., г. Екатеринбург, ул. Урицкого, д. 7, оф. 60</t>
  </si>
  <si>
    <t>ВОЗВРАТ. НЕУСТОЙКА рассмотреть, экспертиза после 01.06.2019</t>
  </si>
  <si>
    <t>ВОЗВРАТ. Не правильный расчет неустойки</t>
  </si>
  <si>
    <t>Основное БР, в остальных отказ</t>
  </si>
  <si>
    <t>Неустойка на эвакуатор</t>
  </si>
  <si>
    <t>У-20-7358</t>
  </si>
  <si>
    <t>У-20-9818</t>
  </si>
  <si>
    <t>У-20-14887</t>
  </si>
  <si>
    <t>У-20-14909</t>
  </si>
  <si>
    <t>У-20-15515</t>
  </si>
  <si>
    <t>У-20-15862</t>
  </si>
  <si>
    <t>У-20-16542</t>
  </si>
  <si>
    <t>У-20-16928</t>
  </si>
  <si>
    <t>У-20-22575</t>
  </si>
  <si>
    <t>У-20-22838</t>
  </si>
  <si>
    <t>У-20-23012</t>
  </si>
  <si>
    <t>У-20-23088</t>
  </si>
  <si>
    <t>У-20-23172</t>
  </si>
  <si>
    <t>У-20-23224</t>
  </si>
  <si>
    <t>У-20-23308</t>
  </si>
  <si>
    <t>У-20-23255</t>
  </si>
  <si>
    <t>У-20-23442</t>
  </si>
  <si>
    <t>У-20-23449</t>
  </si>
  <si>
    <t>У-20-23458</t>
  </si>
  <si>
    <t>У-20-23490</t>
  </si>
  <si>
    <t>У-20-23511</t>
  </si>
  <si>
    <t>У-20-23533</t>
  </si>
  <si>
    <t>У-20-23560</t>
  </si>
  <si>
    <t>У-20-23766</t>
  </si>
  <si>
    <t>У-20-23773</t>
  </si>
  <si>
    <t>У-20-23928</t>
  </si>
  <si>
    <t>У-20-23965</t>
  </si>
  <si>
    <t>У-20-24021</t>
  </si>
  <si>
    <t>У-20-24069</t>
  </si>
  <si>
    <t>У-20-24090</t>
  </si>
  <si>
    <t>У-20-24216</t>
  </si>
  <si>
    <t>У-20-24235</t>
  </si>
  <si>
    <t>У-20-24258</t>
  </si>
  <si>
    <t>У-20-24282</t>
  </si>
  <si>
    <t>У-20-24350</t>
  </si>
  <si>
    <t>У-20-24462</t>
  </si>
  <si>
    <t>У-20-24465</t>
  </si>
  <si>
    <t>У-20-24526</t>
  </si>
  <si>
    <t>У-20-24563</t>
  </si>
  <si>
    <t>У-20-24579</t>
  </si>
  <si>
    <t>У-20-24628</t>
  </si>
  <si>
    <t>У-20-24635</t>
  </si>
  <si>
    <t>У-20-24709</t>
  </si>
  <si>
    <t>У-20-24746</t>
  </si>
  <si>
    <t>У-20-24861</t>
  </si>
  <si>
    <t>У-20-24867</t>
  </si>
  <si>
    <t>У-20-24869</t>
  </si>
  <si>
    <t>У-20-24911</t>
  </si>
  <si>
    <t>У-20-24981</t>
  </si>
  <si>
    <t>У-20-25156</t>
  </si>
  <si>
    <t>У-20-25162</t>
  </si>
  <si>
    <t>У-20-25176</t>
  </si>
  <si>
    <t>У-20-25189</t>
  </si>
  <si>
    <t>У-20-25312</t>
  </si>
  <si>
    <t>У-20-25347</t>
  </si>
  <si>
    <t>У-20-25375</t>
  </si>
  <si>
    <t>У-20-25408</t>
  </si>
  <si>
    <t>У-20-25483</t>
  </si>
  <si>
    <t>У-20-25493</t>
  </si>
  <si>
    <t>У-20-25497</t>
  </si>
  <si>
    <t>У-20-25577</t>
  </si>
  <si>
    <t>У-20-25686</t>
  </si>
  <si>
    <t>У-20-25720</t>
  </si>
  <si>
    <t>У-20-25984</t>
  </si>
  <si>
    <t>У-20-26196</t>
  </si>
  <si>
    <t>Едиджи Нальбий Шехамович</t>
  </si>
  <si>
    <t>Осокина Вера Александровна</t>
  </si>
  <si>
    <t>Борискин Сергей Борисович</t>
  </si>
  <si>
    <t>Салко Сергей Юрьевич</t>
  </si>
  <si>
    <t>Мстоян Лиана Нугзаровна</t>
  </si>
  <si>
    <t>Волощук Анна Петровна</t>
  </si>
  <si>
    <t>Суслова Галина Сергеевна</t>
  </si>
  <si>
    <t>Муталибов Расим Музаудинович</t>
  </si>
  <si>
    <t>Зубахин Илья Александрович</t>
  </si>
  <si>
    <t>Асанов Ремзи Асанович</t>
  </si>
  <si>
    <t>Зинченко Евгений Васильевич</t>
  </si>
  <si>
    <t>Вахитова Альбина Маликовна</t>
  </si>
  <si>
    <t>Манукян Овик Каридонович</t>
  </si>
  <si>
    <t>Фролов Виталий Александрович</t>
  </si>
  <si>
    <t>Кусаева Марина Тамерлановна</t>
  </si>
  <si>
    <t>Максименко Валерий Васильевич</t>
  </si>
  <si>
    <t>Галеева Гульназ Мингараевна</t>
  </si>
  <si>
    <t>Савельева Мария Михайловна</t>
  </si>
  <si>
    <t>Кунижева Назик-Хан Магомедовна</t>
  </si>
  <si>
    <t>Касымов Ильдар Рауфович</t>
  </si>
  <si>
    <t>Джаджиев Петр Заликаевич</t>
  </si>
  <si>
    <t>Панин Владислав Николаевич</t>
  </si>
  <si>
    <t>Алексеев Артём Владимирович</t>
  </si>
  <si>
    <t>Рукавишников Александр Викторович</t>
  </si>
  <si>
    <t>Алекнович Николай Станиславович</t>
  </si>
  <si>
    <t>Стрекашов Александр Васильевич</t>
  </si>
  <si>
    <t>Бортов Александр Сергеевич</t>
  </si>
  <si>
    <t>Антохи Евгений Петрович</t>
  </si>
  <si>
    <t>Задорожная Марина Владимировна</t>
  </si>
  <si>
    <t>Панченко Олег Михайлович</t>
  </si>
  <si>
    <t>Тимофеева Александра Евгеньевна</t>
  </si>
  <si>
    <t>Тебекин Денис Игоревич</t>
  </si>
  <si>
    <t>САО «Медэкспресс»</t>
  </si>
  <si>
    <t>Александрова Марина Александровна</t>
  </si>
  <si>
    <t>Адигюзелов Ростам Черкесович</t>
  </si>
  <si>
    <t>Аргун Инал Валентинович</t>
  </si>
  <si>
    <t>Харчилава Алхас Тенгизович</t>
  </si>
  <si>
    <t>Мамадалиев Бахтиёр Хамитджанович</t>
  </si>
  <si>
    <t>Бабаян Сейран Бабаевич</t>
  </si>
  <si>
    <t>Вердеш Альбина Димитриевна</t>
  </si>
  <si>
    <t>МИХАИЛ ЛАПИН Дмитриевич</t>
  </si>
  <si>
    <t>Красильников Александр Николаевич</t>
  </si>
  <si>
    <t>Стукалов Станислав Олегович</t>
  </si>
  <si>
    <t>Заболотний Александр Алексеевич</t>
  </si>
  <si>
    <t>Кузнецова Татьяна Семеновна</t>
  </si>
  <si>
    <t>Морозова Татьяна Михайловна</t>
  </si>
  <si>
    <t>Нестеренко Юрий Викторович</t>
  </si>
  <si>
    <t>Галанова Татьяна Анатольевна</t>
  </si>
  <si>
    <t>Габитова Гульназ Айдаровна</t>
  </si>
  <si>
    <t>Есин Денис Александрович</t>
  </si>
  <si>
    <t>Дубов Александр Евгеньевич</t>
  </si>
  <si>
    <t>Алексеев Павел Александрович</t>
  </si>
  <si>
    <t>Кузиев Фарход Сохибович</t>
  </si>
  <si>
    <t>Моромов Александр Иванович</t>
  </si>
  <si>
    <t>Хвостов Александр Вадимович</t>
  </si>
  <si>
    <t>Карпенко Андрей Алексеевич</t>
  </si>
  <si>
    <t>Маргарян Гегам Мурадович</t>
  </si>
  <si>
    <t>Крыжановская Юлия Александровна</t>
  </si>
  <si>
    <t>Дядченко Максим Александрович</t>
  </si>
  <si>
    <t>Хуснуллин Василий Владимирович</t>
  </si>
  <si>
    <t>Кичигин Евгений Александрович</t>
  </si>
  <si>
    <t>Коробко Дарья Владленовна</t>
  </si>
  <si>
    <t>Мнацаканян Мелине Артуриковна</t>
  </si>
  <si>
    <t>Скрыльников Владимир Васильевич</t>
  </si>
  <si>
    <t>Соломонов Игорь Васильевич</t>
  </si>
  <si>
    <t>НЕУСТОЙКА, ЦЕССИЯ</t>
  </si>
  <si>
    <t>Плата за рассмотрение дела</t>
  </si>
  <si>
    <t>НЕАКЦЕПТ, ТРАСА</t>
  </si>
  <si>
    <t>Срок давности</t>
  </si>
  <si>
    <t>ПРЕКРАЩЕНИЕ (ПРОПУЩЕН СРОК)</t>
  </si>
  <si>
    <t>Таким образом, Заявитель узнал о нарушении своего права на получение страховой выплаты</t>
  </si>
  <si>
    <t>При этом, Заявитель обратился с Обращением к Финансовому уполномоченному только</t>
  </si>
  <si>
    <t>, то есть, по истечении трех лет со дня, когда узнал или должен был узнать о нарушении своего права.</t>
  </si>
  <si>
    <t xml:space="preserve">Согласно пункту 1 части 1 статьи 19 Закона № 123-ФЗ Финансовый уполномоченный не рассматривает обращение, если оно не соответствует части 1 статьи 15 Закона № 123-ФЗ.
Пунктом 1 части 1 статьи 27 Закона № 123-ФЗ установлено, что финансовый уполномоченный прекращает рассмотрение обращения в случае выявления в процессе рассмотрения обращения обстоятельств, указанных в части 1 статьи 19 Закона № 123-ФЗ.
Учитывая изложенное, рассмотрение Обращения подлежит прекращению Финансовым уполномоченным.
</t>
  </si>
  <si>
    <t>, последним днем принятия решения о выплате страхового возмещения является</t>
  </si>
  <si>
    <t>Согласно части 1 статьи 15 Закона № 123-ФЗ, Финансовый уполномоченный рассматривает обращения в отношении финансовых организаций, включенных в реестр, указанный в статье 29 Закона № 123-ФЗ (в отношении финансовых услуг, которые указаны в реестре), или перечень, указанный в статье 30 Закона № 123-ФЗ, если размер требований потребителя финансовых услуг о взыскании денежных сумм не превышает 500 тысяч рублей (за исключением обращений, указанных в статье 19 Закона № 123-ФЗ) либо если требования потребителя финансовых услуг вытекают из нарушения страховщиком порядка осуществления страхового возмещения, установленного Законом № 40-ФЗ, и если со дня, когда потребитель финансовых услуг узнал или должен был узнать о нарушении своего права, прошло не более трех лет.
В соответствии с пунктом 21 статьи 12 Закона № 40-ФЗ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Статьей 191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</si>
  <si>
    <t>В части требований Заявителя о взыскании с</t>
  </si>
  <si>
    <t>Финансовым уполномоченным установлено следующее.
Пунктом 2 части 1 статьи 19 Закона № 123-ФЗ установлено, что финансовый уполномоченный не рассматривает обращения, в том числе, если потребитель финансовых услуг предварительно не обратился в финансовую организацию в порядке, установленном статьей 16 Закона № 123-ФЗ.
В соответствии с пунктом 1 статьи 16.1 Закона № 40-ФЗ, с 01.06.2019 при наличии разногласий между потерпевшим, являющимся потребителем финансовых услуг, определенным в соответствии с Законом № 123-ФЗ,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указанного потерпевшего с размером осуществленной страховщиком страховой выплаты, несоблюдения станцией технического обслуживания срока передачи указанному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указанный потерпевший должен направить страховщику письменное заявление, а страховщик обязан рассмотреть его в порядке, установленном Законом № 123-ФЗ.
Согласно части 1 статьи 16 Закона № 123-ФЗ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соответствии с частью 4 статьи 16 Закона № 123-ФЗ потребитель финансовых услуг вправе направить обращение финансовому уполномоченному после получения ответа финансовой организации либо в случае неполучения ответа финансовой организации по истечении соответствующих сроков рассмотрения финансовой организацией заявления потребителя финансовых услуг, установленных частью 2 статьи 16 Закона № 123-ФЗ. 
Согласно пункту 5 части 1 статьи 17 Закона № 123-ФЗ обращение направляется в письменной или электронной форме и включает в себя сведения о направлении заявления в финансовую организацию, наличии ее ответа.
Таким образом, до направления финансовому уполномоченному обращения потребитель финансовых услуг должен направить в финансовую организацию заявление в письменной или электронной форме в установленном законом порядке. При направлении заявления в финансовую организацию следует учитывать, что финансовым уполномоченным подлежат рассмотрению требования имущественного характера, которые содержались в направленном финансовой организации заявлении.
Из Обращения не следует, что после 01.06.2019 Заявитель в порядке статьи 16 Закона № 123-ФЗ обращался в</t>
  </si>
  <si>
    <r>
      <t xml:space="preserve">(далее </t>
    </r>
    <r>
      <rPr>
        <sz val="11"/>
        <color theme="1"/>
        <rFont val="Calibri"/>
        <family val="2"/>
        <charset val="204"/>
      </rPr>
      <t>–</t>
    </r>
    <r>
      <rPr>
        <sz val="11"/>
        <color theme="1"/>
        <rFont val="Calibri"/>
        <family val="2"/>
        <charset val="204"/>
        <scheme val="minor"/>
      </rPr>
      <t xml:space="preserve"> Экспертное заключение)</t>
    </r>
  </si>
  <si>
    <t>Учитывая выводы Экспертного заключения и при отсутствии иных доказательств, Финансовый уполномоченный считает, что требование Заявителя о взыскании страхового возмещения по Договору ОСАГО удовлетворению не подлежит.</t>
  </si>
  <si>
    <t>В пункте 2 статьи 9 Закона Российской Федерации от 27.11.1992 № 4015-1 «Об организации страхового дела в Российской Федерации» (далее – Закон № 4015-1) определено, что страховым случаем является совершившееся событие, предусмотренное договором страхования или законом, с наступлением которого возникает обязанность страховщика произвести страховую выплату страхователю, застрахованному лицу, выгодоприобретателю или иным третьим лицам.
В соответствии с пунктом 1 статьи 929 Гражданского кодекса Российской Федерации и пунктом 2 статьи 9 Закона № 4015-1 основанием для выплаты страхового возмещения является наступление страхового события в период действия договора страхования.
Имущественное страхование носит компенсационный характер и призвано возмещать убытки, причиненные страхователю в результате страхового случая.
Учитывая выводы Экспертного заключения и при отсутствии иных доказательств, Финансовый уполномоченный приходит к выводу об отсутствии оснований для удовлетворения требования Заявителя о взыскании страхового возмещения в связи с ненаступлением страхового случая по Договору ОСАГО вследствие ДТП от</t>
  </si>
  <si>
    <t>ВОЗВРАТ ШИЛЯЕВ</t>
  </si>
  <si>
    <t>ВОЗВРАТ БОГАТОВА</t>
  </si>
  <si>
    <t>Предмет договора цессии указать как в договоре</t>
  </si>
  <si>
    <t>ФОРМУЛЫ</t>
  </si>
  <si>
    <t>Анализ срока давности</t>
  </si>
  <si>
    <t>ВОЗВРАТ ФИН</t>
  </si>
  <si>
    <t>с заявлением (претензией) о выплате</t>
  </si>
  <si>
    <t>рассмотрению не подлежат.</t>
  </si>
  <si>
    <t>, представленное Заявителем заявление (претензия) данные требования не содержит, таким образом, основания для рассмотрения указанных требований в порядке, предусмотренном Законом № 123-ФЗ, отсутствуют.
Таким образом, требования Заявителя о взыскании</t>
  </si>
  <si>
    <t>страхового возмещения по договору ОСАГО</t>
  </si>
  <si>
    <t>страхового возмещения по договору ОСАГО в части УТС</t>
  </si>
  <si>
    <t>страхового возмещения по договору ОСАГО в части УТС в размере</t>
  </si>
  <si>
    <t>страховое возмещение по договору ОСАГО в размере</t>
  </si>
  <si>
    <t>страховое возмещение по договору ОСАГО в части УТС в размере</t>
  </si>
  <si>
    <t>страховое возмещение по договору КАСКО в размере</t>
  </si>
  <si>
    <t>страховое возмещение по договору КАСКО в части УТС в размере</t>
  </si>
  <si>
    <t>Не соблюден досудебный порядок по УТС</t>
  </si>
  <si>
    <t>Не рассмотрен штраф, перепутаны поличы ОСАГО, юр услуги, телеграммы по нормативке, а не как производные</t>
  </si>
  <si>
    <t>ТРАСА С ВЫПЛАТОЙ</t>
  </si>
  <si>
    <t>Должен идти по ПВУ</t>
  </si>
  <si>
    <t>НЕ ВОЗВРАТ. Нет добавлена фраза: "но, совокупно с суммой неустойки, взысканной ФУ в размере __________"</t>
  </si>
  <si>
    <t>Уведомление об осмотре не в 5-дневный срок</t>
  </si>
  <si>
    <t>ФС БР, Неустойка как производная, выплаты не было, анализировать не нужно</t>
  </si>
  <si>
    <t>Здоровье по двум полисам</t>
  </si>
  <si>
    <t>НЕ ВОЗВРАТ. Прописала сумму, которая Заявителю не выплачивалась, начислина на нее неустойку, нотариус БР</t>
  </si>
  <si>
    <t>0411063374</t>
  </si>
  <si>
    <t>Невозможно определить период взысканной неустойки судом. Добровольно выплатили неустойку</t>
  </si>
  <si>
    <t>НЕ ВОЗВРАТ. Не рассмотрено требование о взыскании расходов на НТЭ, напутаны результаты НТЭ Заявителя, не прописан предмет договора цессии</t>
  </si>
  <si>
    <t>Юлькино</t>
  </si>
  <si>
    <t>Судом взыскана неустойка на день вынесения решения суда</t>
  </si>
  <si>
    <t>НЕ СТРАХОВОЙ СЛУЧАЙ</t>
  </si>
  <si>
    <t>Компенсационная выплата. Прекращение</t>
  </si>
  <si>
    <t>ВОЗВРАТ. Начислила неустойку на сумму по решению ФУ, выплаченную в срок по 123-ФЗ.</t>
  </si>
  <si>
    <t>Потерпевший - водитель. Не 3-е лицо</t>
  </si>
  <si>
    <t>У-20-25747</t>
  </si>
  <si>
    <t>Ломакин Станислав Сергеевич</t>
  </si>
  <si>
    <t>НЕУСТОЙКА,ФУ</t>
  </si>
  <si>
    <t>Ждем доки от ФО. Отказ ННР не в срок</t>
  </si>
  <si>
    <t>НЕ ВОЗВРАТ. Не правильно указал дату проведени НТЭ Заявителя и сумму по среднему рынку</t>
  </si>
  <si>
    <t>НЕ ВОЗВРАТ. Начислила неустойку не на ту сумму</t>
  </si>
  <si>
    <t>НЕ ВОЗВРАТ. Не правильно указал страховую сумму</t>
  </si>
  <si>
    <t>НЕ ВОЗВРАТ. НЕ правильно прописал НТЭ ФО (было 2)</t>
  </si>
  <si>
    <t>У-20-10034</t>
  </si>
  <si>
    <t>У-20-17935</t>
  </si>
  <si>
    <t>У-20-18131</t>
  </si>
  <si>
    <t>У-20-18226</t>
  </si>
  <si>
    <t>У-20-19160</t>
  </si>
  <si>
    <t>У-20-20363</t>
  </si>
  <si>
    <t>У-20-21190</t>
  </si>
  <si>
    <t>У-20-21267</t>
  </si>
  <si>
    <t>У-20-26103</t>
  </si>
  <si>
    <t>У-20-26104</t>
  </si>
  <si>
    <t>У-20-26133</t>
  </si>
  <si>
    <t>У-20-26141</t>
  </si>
  <si>
    <t>У-20-26185</t>
  </si>
  <si>
    <t>У-20-26217</t>
  </si>
  <si>
    <t>У-20-26233</t>
  </si>
  <si>
    <t>У-20-26357</t>
  </si>
  <si>
    <t>У-20-26440</t>
  </si>
  <si>
    <t>У-20-26518</t>
  </si>
  <si>
    <t>У-20-26612</t>
  </si>
  <si>
    <t>У-20-26736</t>
  </si>
  <si>
    <t>У-20-26756</t>
  </si>
  <si>
    <t>У-20-26757</t>
  </si>
  <si>
    <t>У-20-26767</t>
  </si>
  <si>
    <t>У-20-26932</t>
  </si>
  <si>
    <t>У-20-27007</t>
  </si>
  <si>
    <t>У-20-26970</t>
  </si>
  <si>
    <t>У-20-27072</t>
  </si>
  <si>
    <t>У-20-27088</t>
  </si>
  <si>
    <t>У-20-27140</t>
  </si>
  <si>
    <t>У-20-27207</t>
  </si>
  <si>
    <t>У-20-27276</t>
  </si>
  <si>
    <t>У-20-27300</t>
  </si>
  <si>
    <t>У-20-27310</t>
  </si>
  <si>
    <t>У-20-27323</t>
  </si>
  <si>
    <t>У-20-27434</t>
  </si>
  <si>
    <t>У-20-27484</t>
  </si>
  <si>
    <t>У-20-27691</t>
  </si>
  <si>
    <t>У-20-27712</t>
  </si>
  <si>
    <t>У-20-27948</t>
  </si>
  <si>
    <t>У-20-27970</t>
  </si>
  <si>
    <t>У-20-27991</t>
  </si>
  <si>
    <t>У-20-28075</t>
  </si>
  <si>
    <t>У-20-28076</t>
  </si>
  <si>
    <t>У-20-28165</t>
  </si>
  <si>
    <t>У-20-28182</t>
  </si>
  <si>
    <t>У-20-28226</t>
  </si>
  <si>
    <t>У-20-28365</t>
  </si>
  <si>
    <t>У-20-28399</t>
  </si>
  <si>
    <t>У-20-28401</t>
  </si>
  <si>
    <t>У-20-28529</t>
  </si>
  <si>
    <t>У-20-28503</t>
  </si>
  <si>
    <t>У-20-28507</t>
  </si>
  <si>
    <t>У-20-28587</t>
  </si>
  <si>
    <t>У-20-28646</t>
  </si>
  <si>
    <t>У-20-28662</t>
  </si>
  <si>
    <t>У-20-28690</t>
  </si>
  <si>
    <t>У-20-28703</t>
  </si>
  <si>
    <t>У-20-28742</t>
  </si>
  <si>
    <t>У-20-28799</t>
  </si>
  <si>
    <t>У-20-28808</t>
  </si>
  <si>
    <t>У-20-28814</t>
  </si>
  <si>
    <t>У-20-28846</t>
  </si>
  <si>
    <t>У-20-28874</t>
  </si>
  <si>
    <t>У-20-29017</t>
  </si>
  <si>
    <t>У-20-29019</t>
  </si>
  <si>
    <t>У-20-29073</t>
  </si>
  <si>
    <t>У-20-29121</t>
  </si>
  <si>
    <t>У-20-29149</t>
  </si>
  <si>
    <t>У-20-29315</t>
  </si>
  <si>
    <t>У-20-29390</t>
  </si>
  <si>
    <t>У-20-29487</t>
  </si>
  <si>
    <t>У-20-29586</t>
  </si>
  <si>
    <t>У-20-29696</t>
  </si>
  <si>
    <t>У-20-29703</t>
  </si>
  <si>
    <t>У-20-29721</t>
  </si>
  <si>
    <t>У-20-29727</t>
  </si>
  <si>
    <t>У-20-29772</t>
  </si>
  <si>
    <t>У-20-29951</t>
  </si>
  <si>
    <t>У-20-29998</t>
  </si>
  <si>
    <t>У-20-30049</t>
  </si>
  <si>
    <t>У-20-30217</t>
  </si>
  <si>
    <t>У-20-30289</t>
  </si>
  <si>
    <t>У-20-30313</t>
  </si>
  <si>
    <t>У-20-30350</t>
  </si>
  <si>
    <t>У-20-30387</t>
  </si>
  <si>
    <t>У-20-30413</t>
  </si>
  <si>
    <t>У-20-30955</t>
  </si>
  <si>
    <t>Саакян Мисак Гамлетович</t>
  </si>
  <si>
    <t>Бондаренко Денис Олегович</t>
  </si>
  <si>
    <t>Ляшенко Юлия Евгеньевна</t>
  </si>
  <si>
    <t>Ивашкова Зоя Николаевна</t>
  </si>
  <si>
    <t>Островская Марина Владимировна</t>
  </si>
  <si>
    <t>Лушникова Юлия Николаевна</t>
  </si>
  <si>
    <t>Тарасов Константин Дмитриевич</t>
  </si>
  <si>
    <t>Писаренко Антон Сергеевич</t>
  </si>
  <si>
    <t>Засимова Александра Тимофеевна</t>
  </si>
  <si>
    <t>Карибов Замир Гамидулахович</t>
  </si>
  <si>
    <t>Пельтихин Юрий Николаевич</t>
  </si>
  <si>
    <t>Митин Андрей Александрович</t>
  </si>
  <si>
    <t>Шевердина Татьяна Валентиновна</t>
  </si>
  <si>
    <t>Эркинбек Уулу Болот</t>
  </si>
  <si>
    <t>Филимонова Алла Николаевна</t>
  </si>
  <si>
    <t>Алимирзаев Рамазан Омаргаджиевич</t>
  </si>
  <si>
    <t>Литвиненко Мария Филипповна</t>
  </si>
  <si>
    <t>Дадаян Санвел Робертович</t>
  </si>
  <si>
    <t>Фисунов Максим Викторович</t>
  </si>
  <si>
    <t>Литвинов Андрей Владимирович</t>
  </si>
  <si>
    <t>Гуданович Александр Николаевич</t>
  </si>
  <si>
    <t>Саарян Армен Ендрикович</t>
  </si>
  <si>
    <t>Зеленюк Ирина Михайловна</t>
  </si>
  <si>
    <t>Вишняков Александр Вениаминович</t>
  </si>
  <si>
    <t>Таранов Максим Александрович</t>
  </si>
  <si>
    <t>Карабанов Владимир Александрович</t>
  </si>
  <si>
    <t>Золотарева Альбина Игоревна</t>
  </si>
  <si>
    <t>Бобер Евгений Анатольевич</t>
  </si>
  <si>
    <t>Соловьев Павел Николаевич</t>
  </si>
  <si>
    <t>Роде Ольга Сергеевна</t>
  </si>
  <si>
    <t>Полунин Евгений Сергеевич</t>
  </si>
  <si>
    <t>Аристов Алексей Юрьевич</t>
  </si>
  <si>
    <t>Сильвестров Александр Александрович</t>
  </si>
  <si>
    <t>Черных Елена Юрьевна</t>
  </si>
  <si>
    <t>Сластихин Сергей Александрович</t>
  </si>
  <si>
    <t>Аджиев Нурали Хаджиисхакович</t>
  </si>
  <si>
    <t>Гайгер Валентин Яковлевич</t>
  </si>
  <si>
    <t>АКБАЕВ АРТУР Шакманович</t>
  </si>
  <si>
    <t>Беликов Павел Владимирович</t>
  </si>
  <si>
    <t>Скачко Светлана Юрьевна</t>
  </si>
  <si>
    <t>Назаров Сабухи Гюльага Оглы</t>
  </si>
  <si>
    <t>Ларкова Александра Евгеньевна</t>
  </si>
  <si>
    <t>Михалев Алексей Анатольевич</t>
  </si>
  <si>
    <t>Рыбаков Григорий Геннадьевич</t>
  </si>
  <si>
    <t>Назаров Александр Владимирович</t>
  </si>
  <si>
    <t>Сельвян Руслан Юрьевич</t>
  </si>
  <si>
    <t>Насретдинов Ильгиз Хаерьянович</t>
  </si>
  <si>
    <t>Заяц Дмитрий Евгеньевич</t>
  </si>
  <si>
    <t>Чигин Дмитрий Юрьевич</t>
  </si>
  <si>
    <t>Хориков Николай Юрьевич</t>
  </si>
  <si>
    <t>Козлов Владимир Алексеевич</t>
  </si>
  <si>
    <t>Чайников Александр Викторович</t>
  </si>
  <si>
    <t>Шишкин Алексей Иванович</t>
  </si>
  <si>
    <t>Петров Александр Сергеевич</t>
  </si>
  <si>
    <t>Зубайдуллин Рустам Ринатович</t>
  </si>
  <si>
    <t>Фёдорова Виктория Юрьевна</t>
  </si>
  <si>
    <t>Федоренко Любовь Анатольевна</t>
  </si>
  <si>
    <t>Генер Роман Иванович</t>
  </si>
  <si>
    <t>Кочергина Ольга Евгеньевна</t>
  </si>
  <si>
    <t>Теблоев Артур Олегович</t>
  </si>
  <si>
    <t>Вавренюк Галина Юльевна</t>
  </si>
  <si>
    <t>Горохов Михаил Гаврилович</t>
  </si>
  <si>
    <t>Засеев Гиви Заурбекович</t>
  </si>
  <si>
    <t>Порымов Константин Иванович</t>
  </si>
  <si>
    <t>Хорошавина Надежда Анатольевна</t>
  </si>
  <si>
    <t>Агамалян Сашик Грайрович</t>
  </si>
  <si>
    <t>Жохов Андрей Юрьевич</t>
  </si>
  <si>
    <t>Когут Анастасия Владимировна</t>
  </si>
  <si>
    <t>Нураева Айгуль Халифовна</t>
  </si>
  <si>
    <t>БОРОДИН НИКОЛАЙ Сергеевич</t>
  </si>
  <si>
    <t>Лычева Ирина Юрьевна</t>
  </si>
  <si>
    <t>Абросимов Андрей Викторович</t>
  </si>
  <si>
    <t>Лисковский Андрей Александрович</t>
  </si>
  <si>
    <t>Рябков Алексей Сергеевич</t>
  </si>
  <si>
    <t>Санелин Владимир Андреевич</t>
  </si>
  <si>
    <t>Киселева Наталья Семеновна</t>
  </si>
  <si>
    <t>Гаглоев Хетаг Станиславович</t>
  </si>
  <si>
    <t>Леонтьева Елена Александровна</t>
  </si>
  <si>
    <t>Черномаз Александр Сергеевич</t>
  </si>
  <si>
    <t>Гаджиев Рашид Ровшан оглы</t>
  </si>
  <si>
    <t>Компанец Василий Николаевич</t>
  </si>
  <si>
    <t>Жуков Георгий Валентинович</t>
  </si>
  <si>
    <t>Титова Олеся Александровна</t>
  </si>
  <si>
    <t>Ларин Артем Борисович</t>
  </si>
  <si>
    <t>Виктор Панитков Викторович</t>
  </si>
  <si>
    <t>Сафиуллин Мухаммад Рашидович</t>
  </si>
  <si>
    <t>Потапенко Сергей Викторович</t>
  </si>
  <si>
    <t>Отложенная неустойки по суду. Хочет неустойку за несвоевременное исполнение решения суда</t>
  </si>
  <si>
    <t>ВОЗВРАТ. Не рассмотрена экспертиза, абзац с отложенной неустойкой в резолютивной части с ошибкой</t>
  </si>
  <si>
    <t>обязательства по выплате страхового возмещения, указанного в пункте 1 резолютивной части настоящего решения, исходя из ставки 1% (один процент) за каждый день просрочки, начисляя на сумму, указанную в пункте 1 резолютивной части настоящего решения, но</t>
  </si>
  <si>
    <t xml:space="preserve"> не более 400 000 (четырехсот тысяч) рублей 00 копеек.</t>
  </si>
  <si>
    <t>КАЧЕСТВО, НЕТ ДОКУМЕНТОВ</t>
  </si>
  <si>
    <t>НЕ ВОЗВРАТ. Не указана одна претения и ответ</t>
  </si>
  <si>
    <t>ХЗ почему не по ПВУ</t>
  </si>
  <si>
    <t>, совокупно с суммой неустойки,</t>
  </si>
  <si>
    <t>, а также</t>
  </si>
  <si>
    <t>добровольно выплаченной</t>
  </si>
  <si>
    <t>взысканной Финансовым уполномоченным в размере</t>
  </si>
  <si>
    <t>, исходя из ставки 1% за каждый день просрочки, но</t>
  </si>
  <si>
    <t xml:space="preserve"> не более 400 000 рублей 00 копеек.
Вместе с тем, в силу статьи 24 Закона № 123-ФЗ исполнение финансовой организацией вступившего в силу решения финансового уполномоченного признается надлежащим исполнением финансовой организацией обязанностей по соответствующему договору с потребителем финансовых услуг об оказании ему или в его пользу финансовой услуги.
Согласно части 5 статьи 16.1 Закона № 40-ФЗ страховщик освобождается от обязанности уплаты неустойки (пени), суммы финансовой санкции и (или) штрафа, если обязательства страховщика были исполнены в порядке и в сроки, которые установлены Законом № 40-ФЗ, Законом № 123-ФЗ, а также если страховщик докажет, что нарушение сроков произошло вследствие непреодолимой силы или по вине потерпевшего.
Таким образом, неустойка, начисляемая на сумму</t>
  </si>
  <si>
    <t>В ответ на Запрос Финансового уполномоченного</t>
  </si>
  <si>
    <t>не предоставило сведения и документы по страховому событию.
Ввиду отсутствия вышеуказанных сведений и документов рассмотрение Обращения Заявителя не представляется возможным.
Таким образом, основания для рассмотрения Обращения в порядке, предусмотренном Законом № 123-ФЗ, отсутствуют.
Учитывая изложенное, рассмотрение Обращения подлежит прекращению Финансовым уполномоченным.</t>
  </si>
  <si>
    <t>Документы ГИБДД</t>
  </si>
  <si>
    <t>Акт осмотра, фото</t>
  </si>
  <si>
    <t>Платежные документы</t>
  </si>
  <si>
    <t>Заявление о страховой выплате</t>
  </si>
  <si>
    <t>СРТС, ПТС, ДКП</t>
  </si>
  <si>
    <t>Срок исчисляется с момента предоставления реквизитов</t>
  </si>
  <si>
    <t>ДТП было оформлено в соответствии с пунктом 1 статьи 11.1 Закона № 40-ФЗ без участия уполномоченных на то сотрудников полиции.</t>
  </si>
  <si>
    <t>У-20-27009</t>
  </si>
  <si>
    <t>Тихомиров Георгий Владимирович</t>
  </si>
  <si>
    <t>У-20-26545</t>
  </si>
  <si>
    <t>Исмагилова Зиля Хатмуллиновна</t>
  </si>
  <si>
    <t>об удовлетворении исковых требований Заявителя, в соответствии с которым</t>
  </si>
  <si>
    <t>ВОЗВРАТ. Неверно определена сумма страхового возмщения, взысканная судом. Включили в нее расходы на экспертизу</t>
  </si>
  <si>
    <t>У-20-27724</t>
  </si>
  <si>
    <t>Григорьев Юрий Васильевич</t>
  </si>
  <si>
    <t>НЕ ВОЗВРАТ. Много всего</t>
  </si>
  <si>
    <t>УЩЕРБ, НЕ ТОТАЛ</t>
  </si>
  <si>
    <t>Выпрлатили по ТОТАЛУ, но нет</t>
  </si>
  <si>
    <t>ЗЛОУПОТРЕБЛЕНИЕ</t>
  </si>
  <si>
    <t>Ходатайство о возобновлении</t>
  </si>
  <si>
    <t>НЕ ВОЗВРАТ. Стат погрешность 10,35. Отказала, нужно взыскивать</t>
  </si>
  <si>
    <t>Страховая сумма</t>
  </si>
  <si>
    <t>Срок вступления в силу</t>
  </si>
  <si>
    <t>Рассмотрев требование Заявителя о взыскании с</t>
  </si>
  <si>
    <t>Если документы о дорожно-транспортном происшествии оформлены без участия уполномоченных сотрудников полиции, то размер финансовой санкции за несоблюдение срока направления потерпевшему мотивированного отказа в страховой выплате определяется в размере 0,05 процента за каждый день просрочки от предельной суммы, установленной пунктами 4 и 5 статьи 111 Закона об ОСАГО.
Согласно пункту 4 статьи 11.1 Закона № 40-ФЗ (в редакции, действующей на момент заключения Договора ОСАГО) в случае оформления документов о дорожно-транспортном происшествии без участия уполномоченных на то сотрудников полиции размер страхового возмещения, причитающегося потерпевшему в счет возмещения вреда, причиненного его транспортному средству, не может превышать</t>
  </si>
  <si>
    <r>
      <t xml:space="preserve">Финансовая санкция исчисляется со дня, следующего за днем, установленным для принятия решения о выплате страхового возмещения, т.е. с 21-го дня после получения страховщиком заявления потерпевшего о страховой выплате и документов, предусмотренных Правилами ОСАГО, и до дня направления мотивированного отказа потерпевшему, а при его не направлении </t>
    </r>
    <r>
      <rPr>
        <sz val="11"/>
        <color theme="1"/>
        <rFont val="Calibri"/>
        <family val="2"/>
        <charset val="204"/>
      </rPr>
      <t>–</t>
    </r>
    <r>
      <rPr>
        <sz val="11"/>
        <color theme="1"/>
        <rFont val="Calibri"/>
        <family val="2"/>
        <charset val="204"/>
        <scheme val="minor"/>
      </rPr>
      <t xml:space="preserve"> до дня присуждения ее судом.
Если после начала начисления финансовой санкции страховщиком полностью или частично осуществлено страховое возмещение в пользу потерпевшего, финансовая санкция подлежит начислению до момента осуществления такого возмещения.</t>
    </r>
  </si>
  <si>
    <t>Поскольку Заявитель обратился в</t>
  </si>
  <si>
    <t>с Заявлением о выплате страхового возмещения</t>
  </si>
  <si>
    <t>(включительно), а финансовая санкция подлежит начислению с</t>
  </si>
  <si>
    <t>Таким образом, финансовая санкция подлежит расчету за период с</t>
  </si>
  <si>
    <t>дней) от суммы</t>
  </si>
  <si>
    <t>Заявление + требования</t>
  </si>
  <si>
    <t>Хранение</t>
  </si>
  <si>
    <t>Анализ страховой суммы</t>
  </si>
  <si>
    <t>ВОЗВРАТ. НЕ правильно прописаны договоры ОСАГО. Претензия направлена не на тот адрес (e-mail)</t>
  </si>
  <si>
    <t>Требования в первоначальном Заявлении</t>
  </si>
  <si>
    <t>ВОЗВРАТ. Не рассмотрены требования о взыскании неустоки и расходов за эвакуатор. Юр услуги и НТЭ вместе</t>
  </si>
  <si>
    <t>ВОЗВРАТ. Прекращение, СУД</t>
  </si>
  <si>
    <t>НЕ ВОЗВРАТ. Много косяков по тексту</t>
  </si>
  <si>
    <t>ВОЗВРАТ. Не теды даты обращения и претензии, не учтено оформление ДТП без участия ГИБДД</t>
  </si>
  <si>
    <t>ВОЗВРАТ. ЭВАКУАТОР БР, Не рассмотрена диагностика, отложная неустойка с ошибкой</t>
  </si>
  <si>
    <t>НЕ ВОЗВРАТ. Мотивировка</t>
  </si>
  <si>
    <t>расходов на оплату услуг по эвакуации транспортного средства</t>
  </si>
  <si>
    <t>расходов на оплату услуг по эвакуации транспортного средства в размере</t>
  </si>
  <si>
    <t>расходы на оплату услуг по эвакуации транспортного средства в размере</t>
  </si>
  <si>
    <t>Отложенная неустойка на эвакуатор</t>
  </si>
  <si>
    <t>ТОТАЛ. Вычли стоимость предстраховых повреждений и неоплаченную часть страховой премии из страховой суммы. Годные передал</t>
  </si>
  <si>
    <t xml:space="preserve">НЕ ВОЗВРАТ. Неправильно указала по НТЭ ФО </t>
  </si>
  <si>
    <t>НЕ ВОЗВРАТ. НТЭ как неиспользованную, не та сумма выплаты</t>
  </si>
  <si>
    <t>Траса с выплатой</t>
  </si>
  <si>
    <t>Даты</t>
  </si>
  <si>
    <t>КБМ, ВОЗВРАТ ПРЕМИИ</t>
  </si>
  <si>
    <t>Цессия</t>
  </si>
  <si>
    <t>СРОК ДАВНОСТИ</t>
  </si>
  <si>
    <t>НЕ ВОЗВРАТ. Не прописана телеграмма и акт о непредоставлении ТС на осмотр</t>
  </si>
  <si>
    <t>Выходные</t>
  </si>
  <si>
    <t>Заявление также содержало требования о выплате</t>
  </si>
  <si>
    <t>расходов на оплату услуг по хранению транспортного средства</t>
  </si>
  <si>
    <t>расходов на оплату услуг по хранению транспортного средства в размере</t>
  </si>
  <si>
    <t>расходы на оплату услуг по хранению транспортного средства в размере</t>
  </si>
  <si>
    <t>Стоимость НТЭ (01.07.2018 - 31.12.2018)</t>
  </si>
  <si>
    <t>Европротокол, отложная с учетом неустойки и ФС</t>
  </si>
  <si>
    <t>У-20-14146</t>
  </si>
  <si>
    <t>У-20-15346</t>
  </si>
  <si>
    <t>У-20-18660</t>
  </si>
  <si>
    <t>У-20-20182</t>
  </si>
  <si>
    <t>У-20-20653</t>
  </si>
  <si>
    <t>У-20-21680</t>
  </si>
  <si>
    <t>У-20-21746</t>
  </si>
  <si>
    <t>У-20-21923</t>
  </si>
  <si>
    <t>У-20-22168</t>
  </si>
  <si>
    <t>У-20-22321</t>
  </si>
  <si>
    <t>У-20-22684</t>
  </si>
  <si>
    <t>У-20-22894</t>
  </si>
  <si>
    <t>У-20-22982</t>
  </si>
  <si>
    <t>У-20-23444</t>
  </si>
  <si>
    <t>У-20-23643</t>
  </si>
  <si>
    <t>У-20-23780</t>
  </si>
  <si>
    <t>У-20-23946</t>
  </si>
  <si>
    <t>У-20-24006</t>
  </si>
  <si>
    <t>У-20-24120</t>
  </si>
  <si>
    <t>У-20-24259</t>
  </si>
  <si>
    <t>У-20-24410</t>
  </si>
  <si>
    <t>У-20-24849</t>
  </si>
  <si>
    <t>У-20-24850</t>
  </si>
  <si>
    <t>У-20-25400</t>
  </si>
  <si>
    <t>У-20-25404</t>
  </si>
  <si>
    <t>У-20-25467</t>
  </si>
  <si>
    <t>У-20-25621</t>
  </si>
  <si>
    <t>У-20-25684</t>
  </si>
  <si>
    <t>У-20-25846</t>
  </si>
  <si>
    <t>У-20-30539</t>
  </si>
  <si>
    <t>У-20-30598</t>
  </si>
  <si>
    <t>У-20-30647</t>
  </si>
  <si>
    <t>У-20-30659</t>
  </si>
  <si>
    <t>У-20-30767</t>
  </si>
  <si>
    <t>У-20-30815</t>
  </si>
  <si>
    <t>У-20-30822</t>
  </si>
  <si>
    <t>У-20-30825</t>
  </si>
  <si>
    <t>У-20-30856</t>
  </si>
  <si>
    <t>У-20-30928</t>
  </si>
  <si>
    <t>У-20-30951</t>
  </si>
  <si>
    <t>У-20-30979</t>
  </si>
  <si>
    <t>У-20-30984</t>
  </si>
  <si>
    <t>У-20-30991</t>
  </si>
  <si>
    <t>У-20-30994</t>
  </si>
  <si>
    <t>У-20-31016</t>
  </si>
  <si>
    <t>У-20-31140</t>
  </si>
  <si>
    <t>У-20-31215</t>
  </si>
  <si>
    <t>У-20-31252</t>
  </si>
  <si>
    <t>У-20-31379</t>
  </si>
  <si>
    <t>У-20-31445</t>
  </si>
  <si>
    <t>У-20-31455</t>
  </si>
  <si>
    <t>У-20-31544</t>
  </si>
  <si>
    <t>У-20-31571</t>
  </si>
  <si>
    <t>У-20-31645</t>
  </si>
  <si>
    <t>У-20-31671</t>
  </si>
  <si>
    <t>У-20-31856</t>
  </si>
  <si>
    <t>У-20-31866</t>
  </si>
  <si>
    <t>У-20-31967</t>
  </si>
  <si>
    <t>У-20-32000</t>
  </si>
  <si>
    <t>У-20-32016</t>
  </si>
  <si>
    <t>У-20-32068</t>
  </si>
  <si>
    <t>У-20-32147</t>
  </si>
  <si>
    <t>У-20-32330</t>
  </si>
  <si>
    <t>У-20-32338</t>
  </si>
  <si>
    <t>У-20-32456</t>
  </si>
  <si>
    <t>У-20-32366</t>
  </si>
  <si>
    <t>У-20-32474</t>
  </si>
  <si>
    <t>У-20-32583</t>
  </si>
  <si>
    <t>У-20-32591</t>
  </si>
  <si>
    <t>У-20-32667</t>
  </si>
  <si>
    <t>У-20-32669</t>
  </si>
  <si>
    <t>У-20-32674</t>
  </si>
  <si>
    <t>У-20-32725</t>
  </si>
  <si>
    <t>У-20-32819</t>
  </si>
  <si>
    <t>У-20-32838</t>
  </si>
  <si>
    <t>У-20-32915</t>
  </si>
  <si>
    <t>У-20-32917</t>
  </si>
  <si>
    <t>У-20-32922</t>
  </si>
  <si>
    <t>У-20-32976</t>
  </si>
  <si>
    <t>У-20-32997</t>
  </si>
  <si>
    <t>У-20-33030</t>
  </si>
  <si>
    <t>У-20-33039</t>
  </si>
  <si>
    <t>У-20-33097</t>
  </si>
  <si>
    <t>У-20-33148</t>
  </si>
  <si>
    <t>У-20-33156</t>
  </si>
  <si>
    <t>У-20-33182</t>
  </si>
  <si>
    <t>У-20-33208</t>
  </si>
  <si>
    <t>У-20-33217</t>
  </si>
  <si>
    <t>У-20-33242</t>
  </si>
  <si>
    <t>У-20-33320</t>
  </si>
  <si>
    <t>У-20-33385</t>
  </si>
  <si>
    <t>У-20-33392</t>
  </si>
  <si>
    <t>У-20-33449</t>
  </si>
  <si>
    <t>У-20-33479</t>
  </si>
  <si>
    <t>У-20-33637</t>
  </si>
  <si>
    <t>У-20-33592</t>
  </si>
  <si>
    <t>У-20-33770</t>
  </si>
  <si>
    <t>У-20-33788</t>
  </si>
  <si>
    <t>У-20-33800</t>
  </si>
  <si>
    <t>У-20-33812</t>
  </si>
  <si>
    <t>У-20-33846</t>
  </si>
  <si>
    <t>У-20-33856</t>
  </si>
  <si>
    <t>У-20-33910</t>
  </si>
  <si>
    <t>У-20-33937</t>
  </si>
  <si>
    <t>У-20-34075</t>
  </si>
  <si>
    <t>У-20-34147</t>
  </si>
  <si>
    <t>У-20-34161</t>
  </si>
  <si>
    <t>У-20-34170</t>
  </si>
  <si>
    <t>У-20-34291</t>
  </si>
  <si>
    <t>У-20-34346</t>
  </si>
  <si>
    <t>У-20-34351</t>
  </si>
  <si>
    <t>У-20-34438</t>
  </si>
  <si>
    <t>У-20-34387</t>
  </si>
  <si>
    <t>У-20-34411</t>
  </si>
  <si>
    <t>У-20-34416</t>
  </si>
  <si>
    <t>У-20-34421</t>
  </si>
  <si>
    <t>У-20-34547</t>
  </si>
  <si>
    <t>У-20-34639</t>
  </si>
  <si>
    <t>У-20-34643</t>
  </si>
  <si>
    <t>У-20-34662</t>
  </si>
  <si>
    <t>У-20-34702</t>
  </si>
  <si>
    <t>У-20-34761</t>
  </si>
  <si>
    <t>У-20-34763</t>
  </si>
  <si>
    <t>У-20-34809</t>
  </si>
  <si>
    <t>У-20-34891</t>
  </si>
  <si>
    <t>У-20-34979</t>
  </si>
  <si>
    <t>У-20-34996</t>
  </si>
  <si>
    <t>У-20-35013</t>
  </si>
  <si>
    <t>У-20-35061</t>
  </si>
  <si>
    <t>У-20-35080</t>
  </si>
  <si>
    <t>У-20-35187</t>
  </si>
  <si>
    <t>У-20-35197</t>
  </si>
  <si>
    <t>У-20-35256</t>
  </si>
  <si>
    <t>У-20-35426</t>
  </si>
  <si>
    <t>У-20-35685</t>
  </si>
  <si>
    <t>У-20-35744</t>
  </si>
  <si>
    <t>У-20-35805</t>
  </si>
  <si>
    <t>У-20-35950</t>
  </si>
  <si>
    <t>У-20-36076</t>
  </si>
  <si>
    <t>Ханафиева Резеда Талгатовна</t>
  </si>
  <si>
    <t>Лариновская Светлана Александровна</t>
  </si>
  <si>
    <t>Дерендяев Александр Усманович</t>
  </si>
  <si>
    <t>ООО "НЭО-Волгоград"</t>
  </si>
  <si>
    <t>Аман Артем Владимирович</t>
  </si>
  <si>
    <t>Щербаков Иван Александрович</t>
  </si>
  <si>
    <t>Евтушенко Евгений Владимирович</t>
  </si>
  <si>
    <t>Ткачева Ольга Сергеевна</t>
  </si>
  <si>
    <t>Степыгин Сергей Иванович</t>
  </si>
  <si>
    <t>Годженов Мемет Юнусович</t>
  </si>
  <si>
    <t>Филатова Людмила Николаевна</t>
  </si>
  <si>
    <t>Ляшков Андрей Валерьевич</t>
  </si>
  <si>
    <t>Дробинин Роман Игоревич</t>
  </si>
  <si>
    <t>Байков Александр Николаевич</t>
  </si>
  <si>
    <t>Молотков Виталий Александрович</t>
  </si>
  <si>
    <t>Мингазов Рамис Раисович</t>
  </si>
  <si>
    <t>Рыбаков Евгений Александрович</t>
  </si>
  <si>
    <t>Богатырев Батыр Исаевич</t>
  </si>
  <si>
    <t>Волкова Екатерина Михайловна</t>
  </si>
  <si>
    <t>Календжан Гасмик Ефремовна</t>
  </si>
  <si>
    <t>Туманчин Дмитрий Витальевич</t>
  </si>
  <si>
    <t>Маркушин Юрий Владимирович</t>
  </si>
  <si>
    <t>Рычков Николай Сергеевич</t>
  </si>
  <si>
    <t>Еникеев Леонид Равильевич</t>
  </si>
  <si>
    <t>Булатов Александр Сергеевич</t>
  </si>
  <si>
    <t>Звонова Анна Вениаминовна</t>
  </si>
  <si>
    <t>Афанасьев Илья Павлович</t>
  </si>
  <si>
    <t>Мартиросьян Артём Алексеевич</t>
  </si>
  <si>
    <t>Агамирли Миррафи Мирисмаилович</t>
  </si>
  <si>
    <t>Севрюгин Владимир Викторович</t>
  </si>
  <si>
    <t>Сорокин Владимир Владимирович</t>
  </si>
  <si>
    <t>Новиков Евгений Александрович</t>
  </si>
  <si>
    <t>Олексенко Алексей Григорьевич</t>
  </si>
  <si>
    <t>Голубцов Артём Владимирович</t>
  </si>
  <si>
    <t>Синьков Николай Владимирович</t>
  </si>
  <si>
    <t>Кривошеев Олег Валентинович</t>
  </si>
  <si>
    <t>Жабитенко Антон Владимирович</t>
  </si>
  <si>
    <t>Якименко Дмитрий Васильевич</t>
  </si>
  <si>
    <t>Моторин Сергей Александрович</t>
  </si>
  <si>
    <t>Никулина Мария Валерьевна</t>
  </si>
  <si>
    <t>Сковородин Валерий Васильевич</t>
  </si>
  <si>
    <t>Липкин Сергей Сергеевич</t>
  </si>
  <si>
    <t>Дурнев Леонид Михайлович</t>
  </si>
  <si>
    <t>Иванов Максим Сергеевич</t>
  </si>
  <si>
    <t>Кузин Никита Александрович</t>
  </si>
  <si>
    <t>Евстафьев Михаил Викторович</t>
  </si>
  <si>
    <t>Яковлев Владислав Сергеевич</t>
  </si>
  <si>
    <t>Пахомов Антон Александрович</t>
  </si>
  <si>
    <t>Филиппов Алексей Олегович</t>
  </si>
  <si>
    <t>Маковеев Александр Геннадьевич</t>
  </si>
  <si>
    <t>Голубева Оксана Гаджиевна</t>
  </si>
  <si>
    <t>Лалиева Залина Сергеевна</t>
  </si>
  <si>
    <t>Быстрова Татьяна Юрьевна</t>
  </si>
  <si>
    <t>Третьякова Светлана Леонидовна</t>
  </si>
  <si>
    <t>Романов Эдуард Викторович</t>
  </si>
  <si>
    <t>Римарук Алена Петровна</t>
  </si>
  <si>
    <t>Андреякин Игорь Константинович</t>
  </si>
  <si>
    <t>Ахметзянов Заньфир Шарифзянович</t>
  </si>
  <si>
    <t>Мешалкин Александр Александрович</t>
  </si>
  <si>
    <t>Московцева Елена Юрьевна</t>
  </si>
  <si>
    <t>Костылев Александр Андреевич</t>
  </si>
  <si>
    <t>Нихти Иван Андреевич</t>
  </si>
  <si>
    <t>Сухих Роман Юрьевич</t>
  </si>
  <si>
    <t>Асатрян Ашот Карапетович</t>
  </si>
  <si>
    <t>Дуденков Вячеслав Александрович</t>
  </si>
  <si>
    <t>Насыпов Евгений Вячеславович</t>
  </si>
  <si>
    <t>Одинцов Никита Витальевич</t>
  </si>
  <si>
    <t>Мархиев Азамат Ахметович</t>
  </si>
  <si>
    <t>Мещерякова Екатерина Витальевна</t>
  </si>
  <si>
    <t>Радченко Александр Иванович</t>
  </si>
  <si>
    <t>Нурмагомедов Закари Джахбарович</t>
  </si>
  <si>
    <t>Куренков Виктор Васильевич</t>
  </si>
  <si>
    <t>Небыш Людмила Антоновна</t>
  </si>
  <si>
    <t>Созинов Игорь Анатольевич</t>
  </si>
  <si>
    <t>Бурганова Нина Александровна</t>
  </si>
  <si>
    <t>Ендонов Владислав Андреевич</t>
  </si>
  <si>
    <t>Паршина Мария Алексеевна</t>
  </si>
  <si>
    <t>Гадеева Нурзиля Маратовна</t>
  </si>
  <si>
    <t>Вайс Нина Алексеевна</t>
  </si>
  <si>
    <t>Муратов Виктор Васильевич</t>
  </si>
  <si>
    <t>АТАЕВ МАГОМЕД МУГАЖИРОВИЧ</t>
  </si>
  <si>
    <t>Подольский Владимир Владимирович</t>
  </si>
  <si>
    <t>Волков Роман Валерьевич</t>
  </si>
  <si>
    <t>Аракелян Армен Михайлович</t>
  </si>
  <si>
    <t>Тагиев Эльнур Магеррам Оглы</t>
  </si>
  <si>
    <t>Эккерман Дмитрий Александрович</t>
  </si>
  <si>
    <t>Бурцев Андрей Николаевич</t>
  </si>
  <si>
    <t>Бородина Надежда Андреевна</t>
  </si>
  <si>
    <t>Желтобрюх Владислав Витальевич</t>
  </si>
  <si>
    <t>Манеев Альберт Равильевич</t>
  </si>
  <si>
    <t>Милякин Дмитрий Олегович</t>
  </si>
  <si>
    <t>Амирханова Сания Закиевна</t>
  </si>
  <si>
    <t>Семыкин Юрий Владимирович</t>
  </si>
  <si>
    <t>Моргачев Дмитрий Вениаминович</t>
  </si>
  <si>
    <t>Амирянц Раиса Гургеновна</t>
  </si>
  <si>
    <t>Прусакова Ольга Анатольевна</t>
  </si>
  <si>
    <t>Курков Александр Николаевич</t>
  </si>
  <si>
    <t>Кубатов Мурад Насирович</t>
  </si>
  <si>
    <t>Магомедов Магомед Амирханович</t>
  </si>
  <si>
    <t>Белоусова Екатерина Сергеевна</t>
  </si>
  <si>
    <t>Шевченко Олег Даниилович</t>
  </si>
  <si>
    <t>Куделькин Олег Викторович</t>
  </si>
  <si>
    <t>Чернов Владимир Алексеевич</t>
  </si>
  <si>
    <t>Высоцкий Станислав Игоревич</t>
  </si>
  <si>
    <t>Булатова Алсыу Шакировна</t>
  </si>
  <si>
    <t>Мосейко Максим Олегович</t>
  </si>
  <si>
    <t>Муллаянова Раузиля Рифгатовна</t>
  </si>
  <si>
    <t>Машков Вячеслав Александрович</t>
  </si>
  <si>
    <t>Скачкова Галина Алексеевна</t>
  </si>
  <si>
    <t>Абрамов Алексей Александрович</t>
  </si>
  <si>
    <t>Силантьев Константин Владиирович</t>
  </si>
  <si>
    <t>Броканс Нина Владимировна</t>
  </si>
  <si>
    <t>Гусейнова Елена Валентиновна</t>
  </si>
  <si>
    <t>Багирян Ваня Гургенович</t>
  </si>
  <si>
    <t>Дубро Антон Константинович</t>
  </si>
  <si>
    <t>Таран Иван Викторович</t>
  </si>
  <si>
    <t>Кузнецов Сергей Александрович</t>
  </si>
  <si>
    <t>Якушева Светлана Юрьевна</t>
  </si>
  <si>
    <t>Шафигуллина Юлия Валентиновна</t>
  </si>
  <si>
    <t>Подолин Сергей Александрович</t>
  </si>
  <si>
    <t>Федорова Татьяна Михайловна</t>
  </si>
  <si>
    <t>Сычев Кирилл Максимович</t>
  </si>
  <si>
    <t>Шульженко Владимир Владимирович</t>
  </si>
  <si>
    <t>Жаворонков Сергей Михайлович</t>
  </si>
  <si>
    <t>Кузьмин Семен Михайлович</t>
  </si>
  <si>
    <t>Зубаирова Рида Габдрафиковна</t>
  </si>
  <si>
    <t>Кочкарова Изольда Алимуратовна</t>
  </si>
  <si>
    <t>Абунагимов Фанис Мазгарович</t>
  </si>
  <si>
    <t>Кожемяченко Вадим Валерьевич</t>
  </si>
  <si>
    <t>Папян Вардан Сейранович</t>
  </si>
  <si>
    <t>Петров Сергей Валерьевич</t>
  </si>
  <si>
    <t>Чмеленко Михаил Александрович</t>
  </si>
  <si>
    <t>Яковенко Марина Степановна</t>
  </si>
  <si>
    <t>Унжаков Захар Игоревич</t>
  </si>
  <si>
    <t>АО "Страховая Компания  "ПОЛИС-ГАРАНТ"</t>
  </si>
  <si>
    <t>МУСИНА РЕНАТА Рустамовна</t>
  </si>
  <si>
    <t>Черкезов Борис Михайлович</t>
  </si>
  <si>
    <t>Сагателян Ольга Сергеевна</t>
  </si>
  <si>
    <t>Голубкова Екатерина Сергеевна</t>
  </si>
  <si>
    <t>Виновник не вписан или вписан (не понятно), взыскиваем</t>
  </si>
  <si>
    <t>Кроме того, Заявитель предоставил экспертное заключение</t>
  </si>
  <si>
    <t>C:\Users\Lenovo\Documents\Nextcloud\РАБОЧИЕ ФАЙЛЫ</t>
  </si>
  <si>
    <t>Адреса</t>
  </si>
  <si>
    <t>Пользователи</t>
  </si>
  <si>
    <t>Александра</t>
  </si>
  <si>
    <t>Максим</t>
  </si>
  <si>
    <t>Татьяна</t>
  </si>
  <si>
    <t>Эдуард</t>
  </si>
  <si>
    <t>Дом</t>
  </si>
  <si>
    <t>Работа</t>
  </si>
  <si>
    <t>Юлия</t>
  </si>
  <si>
    <t>, в соответствии с которым</t>
  </si>
  <si>
    <t>страхового возмещения по договору ОСАГО в размере</t>
  </si>
  <si>
    <t>Дата выдачи</t>
  </si>
  <si>
    <t>Доказательства выдачи Заявителю Направления на СТОА Финансовому уполномоченному не предоставлены</t>
  </si>
  <si>
    <r>
      <t xml:space="preserve">(далее </t>
    </r>
    <r>
      <rPr>
        <sz val="11"/>
        <color theme="1"/>
        <rFont val="Calibri"/>
        <family val="2"/>
        <charset val="204"/>
      </rPr>
      <t>–</t>
    </r>
    <r>
      <rPr>
        <sz val="11"/>
        <color theme="1"/>
        <rFont val="Calibri"/>
        <family val="2"/>
        <charset val="204"/>
        <scheme val="minor"/>
      </rPr>
      <t xml:space="preserve"> Направление) на станцию технического обслуживания автомобилей</t>
    </r>
  </si>
  <si>
    <t>Получение Направления на СТОА Заявителем не оспаривается</t>
  </si>
  <si>
    <t>Проверка</t>
  </si>
  <si>
    <t>Причина отказа</t>
  </si>
  <si>
    <t>Отсутствующие документы</t>
  </si>
  <si>
    <t>Формулировка в решении</t>
  </si>
  <si>
    <t>Следствие отсутствия документов</t>
  </si>
  <si>
    <t>акт осмотра Транспортного средство Заявителя с приложением фотоматериалов</t>
  </si>
  <si>
    <t>установить факт наступления страхового случая</t>
  </si>
  <si>
    <t>подтвердить право Заявителя на выплату страхового возмещения вреда</t>
  </si>
  <si>
    <t>документы, подтверждающие право собственности Заявителя на Транспортное средство</t>
  </si>
  <si>
    <t>определить обоснованный размер подлежащего выплате страхового возмещения в рамках проведения независимой технической экспертизы по инициативе Финансового уполномоченного</t>
  </si>
  <si>
    <t>осуществить расчет неустойки в связи с нарушением срока выплаты страхового возмещения по Договору ОСАГО</t>
  </si>
  <si>
    <t>, в связи с чем, не представляется возможным</t>
  </si>
  <si>
    <t>Заявителем не предоставлены</t>
  </si>
  <si>
    <t>расходов по оплате услуг независимой экспертизы в размере</t>
  </si>
  <si>
    <t>), при наличии разногласий между потерпевшим и страховщиком относительно исполнения последним своих обязательств по договору обязательного страхования до предъявления к страховщику иска, вытекающего из неисполнения или ненадлежащего исполнения им обязательств по договору обязательного страхования, несогласия потерпевшего с размером осуществленной страховщиком страховой выплаты, несоблюдения станцией технического обслуживания срока передачи потерпевшему отремонтированного транспортного средства, нарушения иных обязательств по проведению восстановительного ремонта транспортного средства потерпевший направляет страховщику претензию с документами, приложенными к ней и обосновывающими требование потерпевшего.
В соответствии с абзацем 3 пункта 3.12 Правил ОСАГО стоимость независимой технической экспертизы, независимой экспертизы (оценки), на основании которой осуществлено страховое возмещение, включается в состав убытков, подлежащих возмещению страховщиком по договору обязательного страхования.
Выплата страхового возмещения была осуществлена</t>
  </si>
  <si>
    <t>на основании экспертного заключения</t>
  </si>
  <si>
    <t>Приложенное Заявителем к претензии экспертное заключение</t>
  </si>
  <si>
    <t>не было использовано</t>
  </si>
  <si>
    <t>при осуществлении выплаты страхового возмещения. Кроме того, рассчитанная в экспертном заключении</t>
  </si>
  <si>
    <t>сумма причиненного Заявителю ущерба не была подтверждена результатами экспертизы, проведенной по инициативе Финансового уполномоченного.
Учитывая вышеизложенное, требование Заявителя о взыскании с</t>
  </si>
  <si>
    <t>, Финансовый уполномоченный приходит к следующему.
В соответствии с пунктом 1 статьи 12.1 Закона № 40-ФЗ в целях установления обстоятельств причинения вреда транспортному средству, установления повреждений транспортного средства и их причин, технологии, методов и стоимости его восстановительного ремонта проводится независимая техническая экспертиза. 
Согласно пункту 1 статьи 16.1 Закона № 40-ФЗ в редакции, действовавшей на дату проведения независимой экспертизы по инициативе Заявителя (</t>
  </si>
  <si>
    <t>НТЭ обоснование</t>
  </si>
  <si>
    <t>После 01.06.2019</t>
  </si>
  <si>
    <t>По среднему</t>
  </si>
  <si>
    <t>Не использованная</t>
  </si>
  <si>
    <t>расходов на оплату экспертизы удовлетворению не подлежит</t>
  </si>
  <si>
    <t>11-71217</t>
  </si>
  <si>
    <t>2600/0739</t>
  </si>
  <si>
    <t>полугодие</t>
  </si>
  <si>
    <t>года</t>
  </si>
  <si>
    <t>, в соответствии с которым на территории</t>
  </si>
  <si>
    <r>
      <t xml:space="preserve">В то же время, согласно пункту 3 статьи 1 Гражданского кодекса Российской Федерации (далее – ГК РФ) при установлении, осуществлении и защите гражданских прав и при исполнении гражданских обязанностей участники гражданских правоотношений должны действовать добросовестно.
Согласно пункту 3 статьи 393 ГК РФ, если иное не предусмотрено законом, иными правовыми актами или договором, при определении убытков принимаются во внимание цены, существовавшие в том месте, где обязательство должно было быть исполнено, в день добровольного удовлетворения должником требования кредитора, а если требование добровольно удовлетворено не было, </t>
    </r>
    <r>
      <rPr>
        <sz val="11"/>
        <color theme="1"/>
        <rFont val="Calibri"/>
        <family val="2"/>
        <charset val="204"/>
      </rPr>
      <t>–</t>
    </r>
    <r>
      <rPr>
        <sz val="11"/>
        <color theme="1"/>
        <rFont val="Calibri"/>
        <family val="2"/>
        <charset val="204"/>
        <scheme val="minor"/>
      </rPr>
      <t xml:space="preserve"> в день предъявления иска.
АНО «СОЮЗЭКСПЕРТИЗА» Торг</t>
    </r>
    <r>
      <rPr>
        <sz val="11"/>
        <rFont val="Calibri"/>
        <family val="2"/>
        <charset val="204"/>
        <scheme val="minor"/>
      </rPr>
      <t>ово-промышленной палаты Российской Федерации по заказу Российского Союза Автостраховщиков подготовлено заключение о среднерыночной стоимости услуг по проведению независимой технической экспертизы между страховщиками и потерпевшими в разрезе субъектов Российской Федерации</t>
    </r>
  </si>
  <si>
    <t>Взыскание неустойки</t>
  </si>
  <si>
    <t>, датой окончания срока направления Заявителю мотивированного отказа в страховом возмещении является</t>
  </si>
  <si>
    <t>направило в адрес Заявителя мотивированный отказ в выплате страхового возмещения</t>
  </si>
  <si>
    <t>собственноручной подписью Заявителя на указанном направлении</t>
  </si>
  <si>
    <t>Выдача Заявителю Направления на СТОА подтверждается</t>
  </si>
  <si>
    <t>реестром внутренних почтовых отправлений №</t>
  </si>
  <si>
    <t>В соответствии с требованиями, установленными пунктом 21 статьи 12 Закона № 40-ФЗ, размер финансовой санкции, подлежащей выплате за период с</t>
  </si>
  <si>
    <t>дней × 0,05%)</t>
  </si>
  <si>
    <t>Учитывая вышеизложенное, требования Заявителя о взыскании финансовой санкции за несоблюдение срока направления Заявителю мотивированного отказа в выплате страхового возмещения подлежат удовлетворению в размере</t>
  </si>
  <si>
    <t>финансовой санкции за несоблюдение срока направления Заявителю мотивированного отказа в выплате страхового возмещения, Финансовый уполномоченный приходит к следующему.
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ОСАГО,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Согласно подпункту 3 пункта 21 статьи 12 Закона № 40-ФЗ при несоблюдении срока направления потерпевшему мотивированного отказа в страховом возмещении страховщик за каждый день просрочки уплачивает потерпевшему денежные средства в виде финансовой санкции в размере 0,05 процента от установленной Законом № 40-ФЗ страховой суммы по виду причиненного вреда каждому потерпевшему.
Согласно пункту 77 Постановления № 58 размер финансовой санкции за несоблюдение срока направления потерпевшему мотивированного отказа в страховой выплате определяется в размере 0,05 процента за каждый день просрочки от страховой суммы по виду причиненного вреда каждому потерпевшему, установленной статьей 7 Закона № 40-ФЗ.</t>
  </si>
  <si>
    <t>Согласно статье 7 Закона № 40-ФЗ (в редакции, действующей на момент заключения Договора ОСАГО)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имуществу каждого потерпевшего,</t>
  </si>
  <si>
    <t>Согласно статье 7 Закона № 40-ФЗ (в редакции, действующей на момент заключения Договора ОСАГО)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страховая) обязуется возместить потерпевшим причиненный вред, составляет: в части возмещения вреда, причиненного жизни или здоровью каждого потерпевшего,</t>
  </si>
  <si>
    <t>выдало Заявителю направление на ремонт от</t>
  </si>
  <si>
    <t>C:\Гурьянова\</t>
  </si>
  <si>
    <t>C:\Users\hahaleveo\ДЛЯ РАБОТЫ\_ЭДУАРД</t>
  </si>
  <si>
    <t>C:\!МаКсИм</t>
  </si>
  <si>
    <t>C:\ДЕЛА ТОЛИК\NextCloud\РАБОЧИЕ ФАЙЛЫ</t>
  </si>
  <si>
    <t>C:\ЮЛЯ ФУ</t>
  </si>
  <si>
    <t>C:\Дела</t>
  </si>
  <si>
    <t>Выплата по НТЭ Заявителя 50%</t>
  </si>
  <si>
    <t>Заявитель не оспаривает сумму по НТЭ ФО</t>
  </si>
  <si>
    <t>Нет доказательства выдачи ННР</t>
  </si>
  <si>
    <t>Осмотр организован в нарушение положений Закона № 40-ФЗ</t>
  </si>
  <si>
    <t>Бесконтактное ДТП</t>
  </si>
  <si>
    <t>БЕСКОНТАКТА</t>
  </si>
  <si>
    <t>Европротокол 50000</t>
  </si>
  <si>
    <t>НТЭ по УТС, бесконтактное ДТП</t>
  </si>
  <si>
    <t>ЗДОРОВЬЕ, НЕУСТОЙКА, СУД</t>
  </si>
  <si>
    <t>Продление сроков рассмотрения на основании пункта 4.26 Правил ОСАГО</t>
  </si>
  <si>
    <t>ПРОДЛЕНИЕ СРОКОВ</t>
  </si>
  <si>
    <t>НЕУСТОЙКА, УТС</t>
  </si>
  <si>
    <t>Fiat Ducato</t>
  </si>
  <si>
    <t>Вина застрахованного в ВСК не установлена</t>
  </si>
  <si>
    <t>, с учетом невозможности установления, исходя из представленных Заявителем документов, степени вины участников в ДТП</t>
  </si>
  <si>
    <t>ПОДПИСАНТ</t>
  </si>
  <si>
    <t>Предоставил незавевернные копии документов</t>
  </si>
  <si>
    <t>По экспертизе Заявителю меньше, чем по экспертизе ФО</t>
  </si>
  <si>
    <t>ОТЗЫВ</t>
  </si>
  <si>
    <t>191186, г. Санкт-Петербург, ул. Гороховая, д. 14/26</t>
  </si>
  <si>
    <t>СМИРНОВ С.В.</t>
  </si>
  <si>
    <t>ВОЗВРАТ</t>
  </si>
  <si>
    <t>Причина</t>
  </si>
  <si>
    <t>Есть доказательство направления ННР</t>
  </si>
  <si>
    <t>Прописать точно выводы из НТЭ ФО и ответ. ПОВТОРНЫЙ ВОЗВРАТ. Не понятно прописан отказ ФО</t>
  </si>
  <si>
    <t>НТЭ БР. ВОЗВРАТ. Вместо БР отказала по нормативке</t>
  </si>
  <si>
    <t>Более подробно прописать про вызовы на осмотр</t>
  </si>
  <si>
    <t>Прописть подробнее про предоставление незаверенных копий документов</t>
  </si>
  <si>
    <t>Не верные данные по ФО, дата заявления в ФО</t>
  </si>
  <si>
    <t>Не рассмотрены ФС и Штраф</t>
  </si>
  <si>
    <t>Требования в претензии и дата заявлени (претензии)</t>
  </si>
  <si>
    <t>Лимит по европротоколу, не та дата обращения, юруслуги и НТЭ вместе</t>
  </si>
  <si>
    <t>Сумма по НТЭ Заявитял меньше, чем по НТЭ ФО. Экспертиза была не нужна</t>
  </si>
  <si>
    <t>Перепутаны ТС, неверное отчество</t>
  </si>
  <si>
    <t>Дата обращения по 123-ФЗ, сумма без износа не та, пункт части 1 статьи 27 не тот</t>
  </si>
  <si>
    <t>Уточнить, что неустойка на расходы на погребение</t>
  </si>
  <si>
    <t>Почта БР, ПОВТОРНЫЙ ВОЗВРАТ. БР по неустойке</t>
  </si>
  <si>
    <t>Не прописана осмотр, НТЭ и одно письмо от ФО</t>
  </si>
  <si>
    <t>Переделать на отказ. Начало срока неустойки определено судом</t>
  </si>
  <si>
    <t>Переделать на отказ, сведения об исполнении решения есть</t>
  </si>
  <si>
    <t>Нет спора по сумме, НТЭ не нужна</t>
  </si>
  <si>
    <t>Не согласовано предложение (первоначальный отказ ФО в выплате)</t>
  </si>
  <si>
    <t>Отказали, т.к. водитель ТС не вписан в полис</t>
  </si>
  <si>
    <t>НЕД 13</t>
  </si>
  <si>
    <t>НЕД 14</t>
  </si>
  <si>
    <t>ВОЗВРАТ. Заявлен срок исковой давности</t>
  </si>
  <si>
    <t>Пункты 2.1, 5.1, 5.5 Матрицы</t>
  </si>
  <si>
    <t>Не прописано совокупно с суммой неустойки, взысканной ФУ</t>
  </si>
  <si>
    <t>Прописать франшизу, выгодоприобретателя, премию, сумму, доводы ФО про франшизу, неустойка с суммы страховой премии, а не выплаты</t>
  </si>
  <si>
    <t>Доводы ФО о несоблюдении досудебного порядка</t>
  </si>
  <si>
    <t>ВОЗВРАТ. В резолютивной части моральный вред не без рассмотрения</t>
  </si>
  <si>
    <t>Есть ответ на претензию</t>
  </si>
  <si>
    <t>Бесконтактное ДТП. Наезд на гибкую сцепку</t>
  </si>
  <si>
    <t>ПРОПИСАТЬ ПРО ПРЕДСТРАХОВОЙ АКТ, ПРОПИСАТЬ ДТП, ПРОПИСАТЬ РЕМОНТ ЕСТЬ ЗАКАЗ НАРЯД, АКТ ВЫПОЛНЕННЫХ РАБОТ</t>
  </si>
  <si>
    <t>Наезд на сугроб. ФО отказала по причине того, что наехал не на тот сугроб. Доводы про франшизу, оплата страховой премии двумя частями. Нет доказательства оплаты второй части</t>
  </si>
  <si>
    <t>ТРАСА, КАЧЕСТВО</t>
  </si>
  <si>
    <t>На момент заключения Договора КАСКО был поврежден бампер. Составлен представховой акт о том, что повреждений на ТС нет. Однако есть фото, на которых повреждения есть, проведена НТЭ, согласно которой на момент заключения Договора КАСКО повреждения есть</t>
  </si>
  <si>
    <t>У-20-18736</t>
  </si>
  <si>
    <t>У-20-19208</t>
  </si>
  <si>
    <t>У-20-23462</t>
  </si>
  <si>
    <t>У-20-25388</t>
  </si>
  <si>
    <t>У-20-26265</t>
  </si>
  <si>
    <t>У-20-26304</t>
  </si>
  <si>
    <t>У-20-26735</t>
  </si>
  <si>
    <t>У-20-26821</t>
  </si>
  <si>
    <t>У-20-26926</t>
  </si>
  <si>
    <t>У-20-27673</t>
  </si>
  <si>
    <t>У-20-27701</t>
  </si>
  <si>
    <t>У-20-27707</t>
  </si>
  <si>
    <t>У-20-27772</t>
  </si>
  <si>
    <t>У-20-27877</t>
  </si>
  <si>
    <t>У-20-28072</t>
  </si>
  <si>
    <t>У-20-28262</t>
  </si>
  <si>
    <t>У-20-28306</t>
  </si>
  <si>
    <t>У-20-28382</t>
  </si>
  <si>
    <t>У-20-28389</t>
  </si>
  <si>
    <t>У-20-28781</t>
  </si>
  <si>
    <t>У-20-29222</t>
  </si>
  <si>
    <t>У-20-29317</t>
  </si>
  <si>
    <t>У-20-29542</t>
  </si>
  <si>
    <t>У-20-29607</t>
  </si>
  <si>
    <t>У-20-29981</t>
  </si>
  <si>
    <t>У-20-35287</t>
  </si>
  <si>
    <t>У-20-35309</t>
  </si>
  <si>
    <t>У-20-35336</t>
  </si>
  <si>
    <t>У-20-35383</t>
  </si>
  <si>
    <t>У-20-35388</t>
  </si>
  <si>
    <t>У-20-35702</t>
  </si>
  <si>
    <t>У-20-35732</t>
  </si>
  <si>
    <t>У-20-35734</t>
  </si>
  <si>
    <t>У-20-35865</t>
  </si>
  <si>
    <t>У-20-35869</t>
  </si>
  <si>
    <t>У-20-35883</t>
  </si>
  <si>
    <t>У-20-35886</t>
  </si>
  <si>
    <t>У-20-35897</t>
  </si>
  <si>
    <t>У-20-35920</t>
  </si>
  <si>
    <t>У-20-35934</t>
  </si>
  <si>
    <t>У-20-35942</t>
  </si>
  <si>
    <t>У-20-35945</t>
  </si>
  <si>
    <t>У-20-35958</t>
  </si>
  <si>
    <t>У-20-35995</t>
  </si>
  <si>
    <t>У-20-36005</t>
  </si>
  <si>
    <t>У-20-36208</t>
  </si>
  <si>
    <t>У-20-36216</t>
  </si>
  <si>
    <t>У-20-36237</t>
  </si>
  <si>
    <t>У-20-36238</t>
  </si>
  <si>
    <t>У-20-36247</t>
  </si>
  <si>
    <t>У-20-36270</t>
  </si>
  <si>
    <t>У-20-36277</t>
  </si>
  <si>
    <t>У-20-36302</t>
  </si>
  <si>
    <t>У-20-36339</t>
  </si>
  <si>
    <t>У-20-36382</t>
  </si>
  <si>
    <t>У-20-36409</t>
  </si>
  <si>
    <t>У-20-36423</t>
  </si>
  <si>
    <t>У-20-36508</t>
  </si>
  <si>
    <t>У-20-36529</t>
  </si>
  <si>
    <t>У-20-36549</t>
  </si>
  <si>
    <t>У-20-36575</t>
  </si>
  <si>
    <t>У-20-36589</t>
  </si>
  <si>
    <t>У-20-36629</t>
  </si>
  <si>
    <t>У-20-36773</t>
  </si>
  <si>
    <t>У-20-36818</t>
  </si>
  <si>
    <t>У-20-36920</t>
  </si>
  <si>
    <t>У-20-36975</t>
  </si>
  <si>
    <t>У-20-36938</t>
  </si>
  <si>
    <t>У-20-36941</t>
  </si>
  <si>
    <t>У-20-36986</t>
  </si>
  <si>
    <t>У-20-36950</t>
  </si>
  <si>
    <t>У-20-37022</t>
  </si>
  <si>
    <t>У-20-37057</t>
  </si>
  <si>
    <t>У-20-37089</t>
  </si>
  <si>
    <t>У-20-37145</t>
  </si>
  <si>
    <t>У-20-37150</t>
  </si>
  <si>
    <t>У-20-37188</t>
  </si>
  <si>
    <t>У-20-37251</t>
  </si>
  <si>
    <t>У-20-37274</t>
  </si>
  <si>
    <t>У-20-37284</t>
  </si>
  <si>
    <t>У-20-37393</t>
  </si>
  <si>
    <t>У-20-37410</t>
  </si>
  <si>
    <t>У-20-37447</t>
  </si>
  <si>
    <t>У-20-37454</t>
  </si>
  <si>
    <t>У-20-37546</t>
  </si>
  <si>
    <t>У-20-37550</t>
  </si>
  <si>
    <t>У-20-37561</t>
  </si>
  <si>
    <t>У-20-37625</t>
  </si>
  <si>
    <t>У-20-37656</t>
  </si>
  <si>
    <t>У-20-37764</t>
  </si>
  <si>
    <t>У-20-37879</t>
  </si>
  <si>
    <t>У-20-37884</t>
  </si>
  <si>
    <t>У-20-37955</t>
  </si>
  <si>
    <t>У-20-37986</t>
  </si>
  <si>
    <t>У-20-38108</t>
  </si>
  <si>
    <t>У-20-38119</t>
  </si>
  <si>
    <t>У-20-38142</t>
  </si>
  <si>
    <t>У-20-38146</t>
  </si>
  <si>
    <t>У-20-38084</t>
  </si>
  <si>
    <t>У-20-38233</t>
  </si>
  <si>
    <t>У-20-38285</t>
  </si>
  <si>
    <t>У-20-38309</t>
  </si>
  <si>
    <t>У-20-38387</t>
  </si>
  <si>
    <t>У-20-38407</t>
  </si>
  <si>
    <t>У-20-38425</t>
  </si>
  <si>
    <t>У-20-38442</t>
  </si>
  <si>
    <t>У-20-38492</t>
  </si>
  <si>
    <t>У-20-38505</t>
  </si>
  <si>
    <t>У-20-38595</t>
  </si>
  <si>
    <t>У-20-38597</t>
  </si>
  <si>
    <t>У-20-38680</t>
  </si>
  <si>
    <t>У-20-38692</t>
  </si>
  <si>
    <t>У-20-38757</t>
  </si>
  <si>
    <t>У-20-38770</t>
  </si>
  <si>
    <t>У-20-38873</t>
  </si>
  <si>
    <t>У-20-38887</t>
  </si>
  <si>
    <t>У-20-38895</t>
  </si>
  <si>
    <t>У-20-39034</t>
  </si>
  <si>
    <t>У-20-39047</t>
  </si>
  <si>
    <t>У-20-39137</t>
  </si>
  <si>
    <t>У-20-39155</t>
  </si>
  <si>
    <t>У-20-39160</t>
  </si>
  <si>
    <t>У-20-39166</t>
  </si>
  <si>
    <t>У-20-39174</t>
  </si>
  <si>
    <t>У-20-39246</t>
  </si>
  <si>
    <t>У-20-39265</t>
  </si>
  <si>
    <t>У-20-39325</t>
  </si>
  <si>
    <t>У-20-39326</t>
  </si>
  <si>
    <t>У-20-39363</t>
  </si>
  <si>
    <t>У-20-39408</t>
  </si>
  <si>
    <t>У-20-39410</t>
  </si>
  <si>
    <t>У-20-39515</t>
  </si>
  <si>
    <t>У-20-39518</t>
  </si>
  <si>
    <t>У-20-39537</t>
  </si>
  <si>
    <t>У-20-39579</t>
  </si>
  <si>
    <t>У-20-39636</t>
  </si>
  <si>
    <t>У-20-39644</t>
  </si>
  <si>
    <t>У-20-39682</t>
  </si>
  <si>
    <t>У-20-39696</t>
  </si>
  <si>
    <t>У-20-39719</t>
  </si>
  <si>
    <t>У-20-39809</t>
  </si>
  <si>
    <t>У-20-39822</t>
  </si>
  <si>
    <t>У-20-39826</t>
  </si>
  <si>
    <t>У-20-39862</t>
  </si>
  <si>
    <t>У-20-39870</t>
  </si>
  <si>
    <t>У-20-39980</t>
  </si>
  <si>
    <t>У-20-39925</t>
  </si>
  <si>
    <t>У-20-40148</t>
  </si>
  <si>
    <t>У-20-40163</t>
  </si>
  <si>
    <t>У-20-40204</t>
  </si>
  <si>
    <t>У-20-40548</t>
  </si>
  <si>
    <t>Хабуев Руслан Абдулкадерович</t>
  </si>
  <si>
    <t>Ларионова Наталья Александровна</t>
  </si>
  <si>
    <t>ООО "ЛК ГАЗИНВЕСТГРУПП"</t>
  </si>
  <si>
    <t>ООО "Дальневосточный центр страховых выплат""</t>
  </si>
  <si>
    <t>Приймак Наталья Иосифовна</t>
  </si>
  <si>
    <t>Сарханова Адила Джалил Кызы</t>
  </si>
  <si>
    <t>Кухтин Руслан Сергеевич</t>
  </si>
  <si>
    <t>Филин Алексей Анатольевич</t>
  </si>
  <si>
    <t>Панаратова Татьяна Викторовна</t>
  </si>
  <si>
    <t>Етимян Марат Серёжаевич</t>
  </si>
  <si>
    <t>Савченко Андрей Александрович</t>
  </si>
  <si>
    <t>Протасов Александр Сергеевич</t>
  </si>
  <si>
    <t>Соболев Сергей Игоревич</t>
  </si>
  <si>
    <t>Пашкевич Дмитрий Владимирович</t>
  </si>
  <si>
    <t>Хупсароков Схатбий Сафарбиевич</t>
  </si>
  <si>
    <t>Зайцев Александр Андреевич</t>
  </si>
  <si>
    <t>Идрисов Мурад Вячеславович</t>
  </si>
  <si>
    <t>Васин Дмитрий Алексеевич</t>
  </si>
  <si>
    <t>Левенец Виктор Дмитриевич</t>
  </si>
  <si>
    <t>Рындин Роман Николаевич</t>
  </si>
  <si>
    <t>Акбаев Алибек Ахматович</t>
  </si>
  <si>
    <t>Тодуа Дмитрий Джамбулович</t>
  </si>
  <si>
    <t>Хайруллин Айрат Флурович</t>
  </si>
  <si>
    <t>Абзалов Алик Радикович</t>
  </si>
  <si>
    <t>Сикора Николай Иосифович</t>
  </si>
  <si>
    <t>Чернодуб Сергей Александрович</t>
  </si>
  <si>
    <t>Абишев Денис Азретович</t>
  </si>
  <si>
    <t>Кузнецов Александр Сергеевич</t>
  </si>
  <si>
    <t>Ефименко Оксана Владимировна</t>
  </si>
  <si>
    <t>Мытаркин Геннадий Терентьевич</t>
  </si>
  <si>
    <t>Джакавов Сайпутдин Сосуранович</t>
  </si>
  <si>
    <t>Власов Иван Владиславович</t>
  </si>
  <si>
    <t>Ильина Алевтина Эдуардовна</t>
  </si>
  <si>
    <t>Солонцов Илья Сергеевич</t>
  </si>
  <si>
    <t>Бордунова Наталья Витальевна</t>
  </si>
  <si>
    <t>Павлов Виталий Николаевич</t>
  </si>
  <si>
    <t>Глущенко Виктор Константинович</t>
  </si>
  <si>
    <t>Васильев Юрий Вячеславович</t>
  </si>
  <si>
    <t>Седешев Николай Николаевич</t>
  </si>
  <si>
    <t>Фролов Роман Ильич</t>
  </si>
  <si>
    <t>Кашин Дмитрий Павлович</t>
  </si>
  <si>
    <t>Кочиев Михаил Павлович</t>
  </si>
  <si>
    <t>Отроков Максим Викторович</t>
  </si>
  <si>
    <t>Алексеев Роман Вячеславович</t>
  </si>
  <si>
    <t>Пермяков Владимир Михайлович</t>
  </si>
  <si>
    <t>Чиндин Вячеслав Львович</t>
  </si>
  <si>
    <t>Клещук Лидия Григорьевна</t>
  </si>
  <si>
    <t>Аксентьева Анна Вячеславовна</t>
  </si>
  <si>
    <t>Янбулатов Ленар Наилевич</t>
  </si>
  <si>
    <t>Кесян Анжела Петросовна</t>
  </si>
  <si>
    <t>Козин Алексей Александрович</t>
  </si>
  <si>
    <t>Ибрагимов Рашит Варисович</t>
  </si>
  <si>
    <t>Юналиев Равиль Бяширович</t>
  </si>
  <si>
    <t>Лях Ульяна Игоревна</t>
  </si>
  <si>
    <t>Агаджанян Гагик Гарникович</t>
  </si>
  <si>
    <t>Остапов Александр Витальевич</t>
  </si>
  <si>
    <t>Колесников Андрей Викторович</t>
  </si>
  <si>
    <t>Бавеян Анжелика Арменовна</t>
  </si>
  <si>
    <t>Дудкин Сергей Александрович</t>
  </si>
  <si>
    <t>Жиляев Илья Геннадьевич</t>
  </si>
  <si>
    <t>Павлов Артем Александрович</t>
  </si>
  <si>
    <t>Алабугина Елена Владимировна</t>
  </si>
  <si>
    <t>Лебединская Вера Николаевна</t>
  </si>
  <si>
    <t>Гаджибабаева Каинат Гамидовна</t>
  </si>
  <si>
    <t>Ковшиков Павел Юрьевич</t>
  </si>
  <si>
    <t>Афанасьева Елена Валерьевна</t>
  </si>
  <si>
    <t>Костяев Александр Александрович</t>
  </si>
  <si>
    <t>Федирко Святослав Игоревич</t>
  </si>
  <si>
    <t>Иванова Елена Викторовна</t>
  </si>
  <si>
    <t>Зарипов Денис Николаевич</t>
  </si>
  <si>
    <t>Татаркулов Артур Султанхамитович</t>
  </si>
  <si>
    <t>Абдувахитов Махаматясын Нурматович</t>
  </si>
  <si>
    <t>Габдуллина Гузель Шамилевна</t>
  </si>
  <si>
    <t>Павленко Антон Константинович</t>
  </si>
  <si>
    <t>Зебольд Павел Владимирович</t>
  </si>
  <si>
    <t>Соколов Сергей Вячеславович</t>
  </si>
  <si>
    <t>Леонов Егор Дмитриевич</t>
  </si>
  <si>
    <t>Кучеренко Дмитрий Павлович</t>
  </si>
  <si>
    <t>Палей Александр Демьянович</t>
  </si>
  <si>
    <t>Канашенко Олег Сергеевич</t>
  </si>
  <si>
    <t>Трофимов Валерий Григорьевич</t>
  </si>
  <si>
    <t>Николаиди Иван Николаевич</t>
  </si>
  <si>
    <t>Ильин Павел Валерьевич</t>
  </si>
  <si>
    <t>Крепишев Андрей Александрович</t>
  </si>
  <si>
    <t>Меликян Эдуард Ованесович</t>
  </si>
  <si>
    <t>Яматин Владимир Юрьевич</t>
  </si>
  <si>
    <t>Тарасов Юрий Алексеевич</t>
  </si>
  <si>
    <t>Данилов Дмитрий Евгеньевич</t>
  </si>
  <si>
    <t>Малюга Игорь Михайлович</t>
  </si>
  <si>
    <t>Гореничая Дарья Сергеевна</t>
  </si>
  <si>
    <t>Плеханова Елена Юрьевна</t>
  </si>
  <si>
    <t>Нескоромный Николай Николаевич</t>
  </si>
  <si>
    <t>Даллакян Сергей Галустович</t>
  </si>
  <si>
    <t>Французова Карина Чопановна</t>
  </si>
  <si>
    <t>Иванов Александр Александрович</t>
  </si>
  <si>
    <t>Парталян Николай Карекинович</t>
  </si>
  <si>
    <t>Козлов Дмитрий Владимирович</t>
  </si>
  <si>
    <t>Плишко Пётр Алексеевич</t>
  </si>
  <si>
    <t>Бычкова Александра Андреевна</t>
  </si>
  <si>
    <t>Цурцумия Дарья Николаевна</t>
  </si>
  <si>
    <t>Мхитарян Артак Газарович</t>
  </si>
  <si>
    <t>Притчин Виталий Александрович</t>
  </si>
  <si>
    <t>Слободская Елена Владимировна</t>
  </si>
  <si>
    <t>Донченко Евгений Павлович</t>
  </si>
  <si>
    <t>Топоркова Галина Шамилевна</t>
  </si>
  <si>
    <t>Емельянова Марина Анатольевна</t>
  </si>
  <si>
    <t>Бондаренко Иван Сергеевич</t>
  </si>
  <si>
    <t>Городничая Екатерина Владимировна</t>
  </si>
  <si>
    <t>Нуриев Руслан Айратович</t>
  </si>
  <si>
    <t>Леонова Инна Геннадьевна</t>
  </si>
  <si>
    <t>Никифоров Данила Юрьевич</t>
  </si>
  <si>
    <t>Мамаев Руслан Салаудинович</t>
  </si>
  <si>
    <t>Джамалуев Роман Вахитович</t>
  </si>
  <si>
    <t>Галкин Александр Юрьевич</t>
  </si>
  <si>
    <t>Абайдулин Махмуд Адамович</t>
  </si>
  <si>
    <t>Голубев Сергей Николаевич</t>
  </si>
  <si>
    <t>Замалютдинова Эльмира Рафаилевна</t>
  </si>
  <si>
    <t>Дементьева Юлия Александровна</t>
  </si>
  <si>
    <t>Геннадий Токарев Петрович</t>
  </si>
  <si>
    <t>Пешехонова Ольга Николаевна</t>
  </si>
  <si>
    <t>Цыпленков Андрей Леонидович</t>
  </si>
  <si>
    <t>Соколов Сергей Александрович</t>
  </si>
  <si>
    <t>Сабиров Вениамин Махсудович</t>
  </si>
  <si>
    <t>Козлов Андрей Евгеньевич</t>
  </si>
  <si>
    <t>Авдонькина Юлия Евгеньевна</t>
  </si>
  <si>
    <t>Бураков Дмитрий ПЕТРОВИЧ</t>
  </si>
  <si>
    <t>Байрамов Гюльали Михралиевич</t>
  </si>
  <si>
    <t>Казибекова Фарида Алихан Кызы</t>
  </si>
  <si>
    <t>Радчук Олег Леонтьевич</t>
  </si>
  <si>
    <t>Кульбульдин Ришат Каримович</t>
  </si>
  <si>
    <t>Чемова Евгения Юрьевна</t>
  </si>
  <si>
    <t>Цибин Денис Александрович</t>
  </si>
  <si>
    <t>Щеклеин Евгений Геннадьевич</t>
  </si>
  <si>
    <t>Нухкадиев Иби Хасаевич</t>
  </si>
  <si>
    <t>Бакеева Айгуль Ринатовна</t>
  </si>
  <si>
    <t>Захаров Алексей Федорович</t>
  </si>
  <si>
    <t>Карабашева Фарида Азнауровна</t>
  </si>
  <si>
    <t>Романова Людмила Владимировна</t>
  </si>
  <si>
    <t>Юсупов Ильяс Гасангусейнович</t>
  </si>
  <si>
    <t>Анатольевич Сергей Кислый</t>
  </si>
  <si>
    <t>Рустамова Саидат Магомедовна</t>
  </si>
  <si>
    <t>Лунева Анастасия Сергеевна</t>
  </si>
  <si>
    <t>Крылов Эдуард Юрьевич</t>
  </si>
  <si>
    <t>Карел Давид Сержович</t>
  </si>
  <si>
    <t>Александрова Светлана Васильевна</t>
  </si>
  <si>
    <t>Кушу Тимур Юрьевич</t>
  </si>
  <si>
    <t>Рощин Иван Сергеевич</t>
  </si>
  <si>
    <t>Подоляко Лариса Николаевна</t>
  </si>
  <si>
    <t>Малахов Алексей Анатольевич</t>
  </si>
  <si>
    <t>Вяльцев Вячеслав Васильевич</t>
  </si>
  <si>
    <t>По нормативам, утраченный заработок, доп расходы</t>
  </si>
  <si>
    <t>Из решения суда невозможно определить период взысканной неустойки</t>
  </si>
  <si>
    <t>Запрос</t>
  </si>
  <si>
    <t>Документы</t>
  </si>
  <si>
    <t>Извещение 1</t>
  </si>
  <si>
    <t>Дата осмотра</t>
  </si>
  <si>
    <t>Извещение 2</t>
  </si>
  <si>
    <t>ННР 1</t>
  </si>
  <si>
    <t>БР</t>
  </si>
  <si>
    <t>Выплаты</t>
  </si>
  <si>
    <t>Неустойка с</t>
  </si>
  <si>
    <t>Событие</t>
  </si>
  <si>
    <t>Прописью</t>
  </si>
  <si>
    <t>Без износа</t>
  </si>
  <si>
    <t>С износом</t>
  </si>
  <si>
    <t>Годники</t>
  </si>
  <si>
    <t>Имеет право</t>
  </si>
  <si>
    <t>Выплатили</t>
  </si>
  <si>
    <t>Неправильно определил дату обращения</t>
  </si>
  <si>
    <t>СУД с</t>
  </si>
  <si>
    <t>СУД по</t>
  </si>
  <si>
    <t>НАИМЕНОВАНИЕ</t>
  </si>
  <si>
    <t>Взыскание страхового возмещения</t>
  </si>
  <si>
    <t>1.1.</t>
  </si>
  <si>
    <t>Право требования как выгодоприобретателя/потребителя финансовых услуг не подтверждено</t>
  </si>
  <si>
    <t>1.2.</t>
  </si>
  <si>
    <t>По результатам трасологической экспертизы</t>
  </si>
  <si>
    <t>1.3.</t>
  </si>
  <si>
    <t>Заявитель не предоставил ТС на осмотр</t>
  </si>
  <si>
    <t>1.4.</t>
  </si>
  <si>
    <t>Предоставлен не полный комплект документов, предусмотренный Правилами ОСАГО</t>
  </si>
  <si>
    <t>1.5.</t>
  </si>
  <si>
    <t>Отказ в акцепте страховой компании причинителя вреда по причине того, что изменился собственник транспортного средства причинителя вреда, а новый договор ОСАГО не заключен</t>
  </si>
  <si>
    <t>1.6.</t>
  </si>
  <si>
    <t>СК согласовала, но не произвела выплату</t>
  </si>
  <si>
    <t>1.7.</t>
  </si>
  <si>
    <t>Нарушение требований обращения в порядке ПВУ</t>
  </si>
  <si>
    <t>1.8.</t>
  </si>
  <si>
    <t>Вина застрахованного лица не установлена/обоюдная вина в ДТП, с участием двух ТС</t>
  </si>
  <si>
    <t>1.9.</t>
  </si>
  <si>
    <t>Пропущен срок исковой давности</t>
  </si>
  <si>
    <t>1.10.</t>
  </si>
  <si>
    <t>Пропущен срок на обращение к финансовому уполномоченному</t>
  </si>
  <si>
    <t>Доплата страхового возмещения (по результатам экспертизы)</t>
  </si>
  <si>
    <t>2.1.</t>
  </si>
  <si>
    <t>Оснований для доплаты по результатам независимой экспертизы, проведенной заявителем, не имеется</t>
  </si>
  <si>
    <t>Взыскание и доплата страхового возмещения в части возмещения вреда, причиненного жизни или здоровью</t>
  </si>
  <si>
    <t>3.1.</t>
  </si>
  <si>
    <t>Заявление о страховой выплате в связи с причинением вреда жизни или здоровью потерпевшего пассажира (пешехода) направлено не в ту СК</t>
  </si>
  <si>
    <t>3.2.</t>
  </si>
  <si>
    <t>Оснований для доплаты по экспертизе не имеется</t>
  </si>
  <si>
    <t>3.3.</t>
  </si>
  <si>
    <t>Обоснование расходов на лечение и расчет утраты заработка</t>
  </si>
  <si>
    <t>3.4.</t>
  </si>
  <si>
    <t>Отказ в выплате расходов на погребение в связи с непредставлением документов, подтверждающих нахождение на иждивении у погибшего</t>
  </si>
  <si>
    <t>3.5.</t>
  </si>
  <si>
    <t>Отказ в выплате страхового возмещения при причинении вреда здоровью (установлена инвалидность)</t>
  </si>
  <si>
    <t>Натуральное возмещение</t>
  </si>
  <si>
    <t>(обязанность по организации осмотра и ремонта автомобиля)</t>
  </si>
  <si>
    <t>4.1.</t>
  </si>
  <si>
    <t>Изменение формы страхового возмещения (с натуральной на денежную)</t>
  </si>
  <si>
    <t>4.2.</t>
  </si>
  <si>
    <t>Отказ в выдаче направления на СТОА официального дилера (потребитель обратился к ФУ с требованием натурального возмещения)</t>
  </si>
  <si>
    <t>4.3.</t>
  </si>
  <si>
    <t>Несоответствие СТОА требованиям Закона № 40-ФЗ об организации и оплате восстановительного ремонта поврежденного транспортного средства на СТОА</t>
  </si>
  <si>
    <t>4.4.</t>
  </si>
  <si>
    <t>Соответствие качества произведенного ремонта</t>
  </si>
  <si>
    <t>(потребитель обратился к ФУ с требованием натурального возмещения)</t>
  </si>
  <si>
    <t>Взыскание неустойки и финансовой санкции</t>
  </si>
  <si>
    <t>5.1.</t>
  </si>
  <si>
    <t>Нарушение срока исполнения обязательств, в т.ч. по выплате УТС, возмещение расходов на эвакуацию и хранение</t>
  </si>
  <si>
    <t>5.2.</t>
  </si>
  <si>
    <t>Начисленной по решению суда</t>
  </si>
  <si>
    <t>5.3.</t>
  </si>
  <si>
    <t>Нарушение срока проведения восстановительного ремонта</t>
  </si>
  <si>
    <t>5.4.</t>
  </si>
  <si>
    <t>5.5.</t>
  </si>
  <si>
    <t>Условная неустойка</t>
  </si>
  <si>
    <t>5.6.</t>
  </si>
  <si>
    <t>Снижение неустойки, применение ст. 333 ГК РФ</t>
  </si>
  <si>
    <t>6.1.</t>
  </si>
  <si>
    <t>Доплата неустойки за иной период, начисленной по решению суда</t>
  </si>
  <si>
    <t>7.1.</t>
  </si>
  <si>
    <t>Выплата (доплата) УТС</t>
  </si>
  <si>
    <t>Возмещение расходов</t>
  </si>
  <si>
    <t>8.1.</t>
  </si>
  <si>
    <t>На проведение независимой  экспертизы, проведенной по инициативе потерпевшего</t>
  </si>
  <si>
    <t>8.2.</t>
  </si>
  <si>
    <t>Представительские расходы</t>
  </si>
  <si>
    <t>8.3.</t>
  </si>
  <si>
    <t>Почтовые</t>
  </si>
  <si>
    <t>8.4.</t>
  </si>
  <si>
    <t>Нотариальные</t>
  </si>
  <si>
    <t>8.5.</t>
  </si>
  <si>
    <t>На аварийного комиссара</t>
  </si>
  <si>
    <t>8.6.</t>
  </si>
  <si>
    <t>На эвакуацию ТС</t>
  </si>
  <si>
    <t>9.</t>
  </si>
  <si>
    <t>Взыскание штрафа в размере 50%</t>
  </si>
  <si>
    <t>10.</t>
  </si>
  <si>
    <t>Компенсация морального вреда</t>
  </si>
  <si>
    <t>Соглашение о неустойке. Прописано как соглашение, заключенное в порядке урегулирования срока по 123-ФЗ</t>
  </si>
  <si>
    <t>Другие требования в претензии, другая сумма и период неустойки, взысканной судом 1й инстанции</t>
  </si>
  <si>
    <t>Есть дело в арбитраже, которым отказано цессионарию во взыскании неустойки в связи с тем, что она уже была взыскана судом. Но в решении суда ничего о неустойке нет.</t>
  </si>
  <si>
    <t>Не рассмотрена часть требвоаний, нарушена хронология, не та дата первоначального заявления</t>
  </si>
  <si>
    <t>Не прописан полис ОСАГО Заявителя; Неверно указано наименование НТЭ Заявителя</t>
  </si>
  <si>
    <t>ТРАСА, Нет документов</t>
  </si>
  <si>
    <t>Не учтен европротокол; взыскана сумму без учета износа</t>
  </si>
  <si>
    <t>СМЕНА ФОРМЫ, УТС</t>
  </si>
  <si>
    <t>191119, г. Санкт-Петербург, Лиговский пр-кт, д. 108, лит. А</t>
  </si>
  <si>
    <t>Оформил без ГИБДД, выплатили 100000, но потом принес Определение об отказе в возбуждении. Но поздно, увы</t>
  </si>
  <si>
    <t>ЕВРОПРОТОКОЛ</t>
  </si>
  <si>
    <t>Соглашение о признании случая нестраховым</t>
  </si>
  <si>
    <t>Не рассмотрены экспертиза и неустойка</t>
  </si>
  <si>
    <t>ОПИСАТЕЛЬНАЯ ЧАСТЬ</t>
  </si>
  <si>
    <t>МОТИВИРОВОЧНАЯ ЧАСТЬ</t>
  </si>
  <si>
    <t>ДТП было оформлено в соответствии с пунктом 1 статьи 11.1 Федерального закона от 25.04.2002 № 40-ФЗ «Об обязательном страховании гражданской ответственности владельцев транспортных средств» (далее – Закон № 40-ФЗ) без участия уполномоченных на то сотрудников полиции.</t>
  </si>
  <si>
    <t>Европротокол</t>
  </si>
  <si>
    <t>НТЭ КАК НЕИСПОЛЬЗОВАННАЯ</t>
  </si>
  <si>
    <t>ПРЕЮДИЦИЯ НТЭ</t>
  </si>
  <si>
    <t>В соответствии с пунктом 9 статьи 14.1 Закона № 40-ФЗ потерпевший, имеющий в соответствии с Законом № 40-ФЗ право предъявить требование о возмещении причиненного его имуществу вреда непосредственно страховщику, который застраховал гражданскую ответственность потерпевшего, в случае принятия арбитражным судом решения о признании такого страховщика банкротом и об открытии конкурсного производства в соответствии с законодательством о несостоятельности (банкротстве) или в случае отзыва у него лицензии на осуществление страховой деятельности предъявляет требование о страховом возмещении страховщику, который застраховал гражданскую ответственность лица, причинившего вред.
Согласно абзацу 3 пункта 29 Постановления Пленума № 58, если решением суда в пользу потерпевшего со страховщика его ответственности взыскано страховое возмещение и это решение не исполнено, то при введении в отношении этого страховщика процедур, применяемых при банкротстве, или отзыве у него лицензии на осуществление страховой деятельности потерпевший вправе обратиться за выплатой к страховщику ответственности причинителя вреда.
Факт наступления страхового случая установлен Решением Суда, в соответствии с которым в пользу Заявителя, в том числе, взыскано страховое возмещение в размере</t>
  </si>
  <si>
    <t>преюдициальным, так как страховщик не был привлечен к участию в деле в качестве третьего лица, однако, у</t>
  </si>
  <si>
    <t>решения по заявленному событию. 
Таким образом, требование Заявителя к</t>
  </si>
  <si>
    <t>Согласно Решению суда, с</t>
  </si>
  <si>
    <t>в пользу Заявителя взысканы расходы на проведение независимой технической экспертизы в размере</t>
  </si>
  <si>
    <t>В соответствии со статьей 100 ГПК РФ стороне, в пользу которой состоялось решение суда, по ее письменному ходатайству суд присуждает с другой стороны расходы на оплату услуг представителя в разумных пределах.
Между тем, согласно требованиям пункта 9 статьи 14.1 Закона № 40-ФЗ потерпевший имеет право предъявить страховщику, который застраховал гражданскую ответственность лица, причинившего вред только требование о страховом возмещении. Право требовать возмещения иных расходов положениями пункта 9 статьи 14.1 Закона № 40-ФЗ не предусмотрено.
Таким образом требования Заявителя в части взыскания расходов на проведение независимой технической экспертизы не подлежат удовлетворению.</t>
  </si>
  <si>
    <t>Преюдиция</t>
  </si>
  <si>
    <t>о взыскании страхового возмещения по договору ОСАГО подлежит удовлетворению в размере</t>
  </si>
  <si>
    <t>Согласно абзацу 8 статьи 1 Закона № 40-ФЗ по договору ОСАГО страховщик обязуется за обусловленную договором плату (страховую премию) при наступлении предусмотренного в договоре события (страхового случая) возместить потерпевшим причиненный вследствие этого события вред их жизни, здоровью или имуществу (осуществить страховое возмещение в форме страховой выплаты или путем организации и (или) оплаты восстановительного ремонта поврежденного транспортного средства) в пределах определенной договором суммы (страховой суммы).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</si>
  <si>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r>
      <t xml:space="preserve">Согласно положениям статьи 61 Гражданского процессуального кодекса Российской Федерации (далее </t>
    </r>
    <r>
      <rPr>
        <sz val="11"/>
        <color theme="1"/>
        <rFont val="Calibri"/>
        <family val="2"/>
        <charset val="204"/>
      </rPr>
      <t>–</t>
    </r>
    <r>
      <rPr>
        <sz val="11"/>
        <color theme="1"/>
        <rFont val="Calibri"/>
        <family val="2"/>
        <charset val="204"/>
        <scheme val="minor"/>
      </rPr>
      <t xml:space="preserve"> </t>
    </r>
    <r>
      <rPr>
        <sz val="11"/>
        <color theme="1"/>
        <rFont val="Calibri"/>
        <family val="2"/>
        <charset val="204"/>
      </rPr>
      <t>ГПК РФ),</t>
    </r>
    <r>
      <rPr>
        <sz val="11"/>
        <color theme="1"/>
        <rFont val="Calibri"/>
        <family val="2"/>
        <charset val="204"/>
        <scheme val="minor"/>
      </rPr>
      <t xml:space="preserve"> обстоятельства, установленные вступившим в законную силу судебным постановлением по ранее рассмотренному делу, обязательны для суда. Указанные обстоятельства не доказываются вновь и не подлежат оспариванию при рассмотрении другого дела, в котором участвуют те же лица, а также в случаях, предусмотренных ГПК РФ.
Решение суда не является для</t>
    </r>
  </si>
  <si>
    <t>в соответствии с пунктом 9 статьи 14.1 Закона № 40-ФЗ, в связи с отзывом лицензии у</t>
  </si>
  <si>
    <t>, возникла обязанность по компенсации Заявителю причиненного ущерба. Наличие судебного акта, определившего размер подлежащего выплате Заявителю страхового возмещения, Финансовый уполномоченный считает достаточным для принятия</t>
  </si>
  <si>
    <t>Первая выплата включала сумму расходов на экспертизу, что не учтено при расчете неустойки</t>
  </si>
  <si>
    <t>Неверно определен срок оплаты по соглашению</t>
  </si>
  <si>
    <t>Юр услуги оставлены без рассмотрения, хотя досудебный порядок соблюден</t>
  </si>
  <si>
    <t>У-20-27668</t>
  </si>
  <si>
    <t>Прокудин Максим Александрович</t>
  </si>
  <si>
    <t>Доронин Роман Павлович</t>
  </si>
  <si>
    <t>У-20-26380</t>
  </si>
  <si>
    <t>У-20-26398</t>
  </si>
  <si>
    <t>Елагин Евгений Владимирович</t>
  </si>
  <si>
    <t>Направили письмо не в срок</t>
  </si>
  <si>
    <t>Не правильно определен Потерпевший (наезд совершен на несовершеннолетнего, а не на Заявителя, Заявитель - отец; не верная дата второй выплаты, как следствие неерный расчет неустойки; неправильная мотивировка)</t>
  </si>
  <si>
    <t>ЭВАКУАЦИЯ</t>
  </si>
  <si>
    <t>Неверная сумма выплаченной неустойки</t>
  </si>
  <si>
    <t>Не соблюден досудебный порядок. Письмо направлено на e-mail rgs1@rgs.ru</t>
  </si>
  <si>
    <t>Заявление (претензия) направлено не на тот e-mail</t>
  </si>
  <si>
    <t>Финсанкция на УТС</t>
  </si>
  <si>
    <t>196084, г. Санкт-Петербург, Московский пр-кт, д. 79а, лит. А</t>
  </si>
  <si>
    <t>ВОЗВРАТ (за 39826 - превышение лимита согласно сведениям Заявителя, нужно уходить в экспертизу)</t>
  </si>
  <si>
    <t>rgs1@rgs.ru не на тот e-mail</t>
  </si>
  <si>
    <t>В соответствии с пунктом 20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при наступлении страхового случая потерпевший обязан не только уведомить страховщика о его наступлении в сроки, установленные Правилами, но и направить страховщику заявление о страховом возмещении и документы, предусмотренные Правилами (пункт 3 статьи 11 Закона № 40-ФЗ), а также представить на осмотр поврежденное в результате дорожно-транспортного происшествия транспортное средство и/или иное поврежденное имущество (пункт 10 статьи 12 Закона № 40-ФЗ).  В заявлении о страховом возмещении потерпевший должен также сообщить о другом известном ему на момент подачи заявления ущербе, кроме расходов на восстановление поврежденного имущества, который подлежит возмещению (например, об утрате товарной стоимости, о расходах на эвакуацию транспортного средства с места дорожно-транспортного происшествия и т.п.).</t>
  </si>
  <si>
    <t>ВРЕД ЗДОРОВЬЮ (не виновник)</t>
  </si>
  <si>
    <t>об отсутствии правовых оснований для выплаты страхового возмещения в связи с тем, что виновность водителя</t>
  </si>
  <si>
    <t>, чья гражданская ответственность застрахована в</t>
  </si>
  <si>
    <t>не установлена, не принимаются Финансовым уполномоченным, поскольку причинение вреда здоровью в результате взаимодействия источников повышенной опасности влечет наступление страхового случая для каждого владельца этих источников в рамках договора обязательного страхования, а размер причиненного вреда находится в пределах страховой суммы, предусмотренной статьей 7 Закона № 40-ФЗ.</t>
  </si>
  <si>
    <t>Согласно пункта 2 статьи 12 Закон № 40-ФЗ порядок расчета суммы страхового возмещения (страховой выплаты) при причинении вреда здоровью потерпевшего и нормативы для определения суммы страхового возмещения (страховой выплаты) при причинении вреда здоровью потерпевшего, а также для определения суммы компенсации в счет возмещения вреда, причиненного здоровью потерпевшего, исходя из характера и степени повреждения здоровья, согласно приложению (далее – Нормативы) установлены в Правилах расчета суммы страхового возмещения при причинении вреда здоровью потерпевшего, утвержденных постановлением Правительства Российской Федерации от 15.11.2012 № 1164 (далее –  Правила). 
Согласно пункту 3 Правил в случае, если полученные потерпевшим повреждения здоровья разного характера и локализации предусмотрены несколькими пунктами приложения к настоящим Правилам, размер страхового возмещения определяется путем суммирования нормативов и умножения полученной суммы на страховую сумму, указанную по риску гражданской ответственности за причинение вреда здоровью потерпевшего на одного потерпевшего в договоре.</t>
  </si>
  <si>
    <t>В соответствии с пунктом 4 Правил в случае, если понесенные потерпевшим дополнительные расходы на лечение и восстановление поврежденного в результате дорожно-транспортного происшествия здоровья потерпевшего (расходы на медицинскую реабилитацию, приобретение лекарственных препаратов, протезирование, ортезирование, посторонний уход, санаторно-курортное лечение и прочие расходы) и утраченный потерпевшим в связи с причинением вреда его здоровью в результате дорожно-транспортного происшествия заработок (доход) превысили сумму осуществленной потерпевшему в соответствии с пунктами 2 и 3 настоящей статьи страховой выплаты, страховщик возмещает указанные расходы и утраченный заработок (доход) при подтверждении того, что потерпевший нуждался в этих видах помощи, а также при документальном подтверждении размера утраченного заработка (дохода), который потерпевший имел или определенно мог иметь на момент наступления страхового случая. Размер осуществляемой в соответствии с настоящим пунктом страховой выплаты определяется страховщиком как разница между утраченным потерпевшим заработком (доходом), а также дополнительными расходами, подтвержденными документами, которые предусмотрены правилами обязательного страхования, и общей суммой осуществленной в соответствии с пунктами 2 и 3 настоящей статьи страховой выплаты за причинение вреда здоровью потерпевшего.</t>
  </si>
  <si>
    <t>Для решения вопросов, связанных с рассмотрением Обращения, Финансовым уполномоченным назначено проведение независимой экспертизы по исследованию документов медицинских и иных организаций, медико-социальных и судебно-медицинских экспертиз, свидетельствующих о причинении вреда жизни или здоровью (медицинской экспертизы), проводимой в соответствии с требованиями Закона № 40-ФЗ в</t>
  </si>
  <si>
    <t>(врач – судебно-медицинский эксперт</t>
  </si>
  <si>
    <t>). На разрешение специалисту поставлены следующие вопросы:</t>
  </si>
  <si>
    <t>Согласно Экспертному заключению</t>
  </si>
  <si>
    <t>, обоснованный размер страхового возмещения, рассчитанный в соответствии с Нормативами составляет</t>
  </si>
  <si>
    <t>% от установленной договором ОСАГО страховой суммы.
В соответствии с положением статьи 7 Закона № 40-ФЗ,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составляет, в части возмещения вреда, причиненного жизни или здоровью каждого потерпевшего, 500 000 рублей 00 копеек.
Итоговая обоснованная сумма страховых выплат в связи с причинением вреда здоровью Заявителя по Нормативам составляет</t>
  </si>
  <si>
    <t>(500 000 рублей 00 копеек × 5,05%)</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</si>
  <si>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части 1 статьи 1079 Гражданского кодекса Российской Федерации (далее - ГК РФ) юридические лица и граждане, деятельность которых связана с повышенной опасностью для окружающих (использование транспортных средств, механизмов, электрической энергии высокого напряжения, атомной энергии, взрывчатых веществ, сильнодействующих ядов и т.п.; осуществление строительной и иной, связанной с нею деятельности и др.), обязаны возместить вред, причиненный источником повышенной опасности, если не докажут, что вред возник вследствие непреодолимой силы или умысла потерпевшего.
Частью 3 статьи 1079 ГК РФ установлено, что владельцы источников повышенной опасности солидарно несут ответственность за вред, причиненный в результате взаимодействия этих источников (столкновения транспортных средств и т.п.) третьим лицам по основаниям, предусмотренным частью 1 статьи 1079 ГК РФ.
В пункте 47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ВС РФ от 26.12.2017 № 58) разъяснено, что страховое возмещение в связи с причинением вреда, возникшего в результате дорожно-транспортного происшествия вследствие взаимодействия двух источников повышенной опасности третьему лицу производится каждым страховщиком, у которых застрахована гражданская ответственность владельцев транспортных средств в пределах страховой суммы, установленной статьей 7 Закона № 40-ФЗ, по каждому договору страхования.
Таким образом, в последнем случае ответственность наступает для каждого из владельцев источников повышенной опасности.
В связи с вышеизложенным, а также учитывая, что страховым случаем по договору ОСАГО является наступление ответственности владельца транспортного средства, при причинении вреда третьим лицам взаимодействием транспортных средств, когда в силу пункта 3 статьи 1079 ГК РФ наступает ответственность для каждого из владельцев транспортных средств, имеет место не один страховой случай, а страховой случай для каждого договора ОСАГО.
Из Обзора судебной практики Верховного Суда Российской Федерации за второй квартал 2012 года, утвержденного Президиумом Верховного Суда Российской Федерации 10.10.2012, следует что, причинение вреда третьему лицу в результате взаимодействия источников повышенной опасности для каждого владельца этих источников влечет наступление страхового случая в рамках договора обязательного страхования, а размер причиненного каждым из них вреда находится в пределах страховой суммы, предусмотренной статьей 7 Закона № 40-ФЗ.
На основании изложенного, при причинении вреда третьему лицу взаимодействием источников повышенной опасности взыскание страховых выплат в максимальном размере, установленном Законом № 40-ФЗ производится одновременно с двух страховщиков, у которых застрахована гражданская ответственность владельцев транспортных средств, в том числе и в случае, если вина одного из владельцев в причинении вреда отсутствует.
На основании вышеизложенного, доводы</t>
  </si>
  <si>
    <t>ВРЕД ЗДОРОВЬЮ (спор по сумме)</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</si>
  <si>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пункту 2 статьи 12 Закона № 40-ФЗ порядок расчета суммы страхового возмещения (страховой выплаты) при причинении вреда здоровью потерпевшего и нормативы для определения суммы страхового возмещения (страховой выплаты) при причинении вреда здоровью потерпевшего, а также для определения суммы компенсации в счет возмещения вреда, причиненного здоровью потерпевшего, исходя из характера и степени повреждения здоровья, согласно приложению (далее – Нормативы) установлены в Правилах расчета суммы страхового возмещения при причинении вреда здоровью потерпевшего, утвержденных постановлением Правительства Российской Федерации от 15.11.2012 № 1164 (далее – Правила). 
Согласно пункту 3 Правил в случае если полученные потерпевшим повреждения здоровья разного характера и локализации предусмотрены несколькими пунктами приложения к настоящим Правилам, размер страхового возмещения определяется путем суммирования нормативов и умножения полученной суммы на страховую сумму, указанную по риску гражданской ответственности за причинение вреда здоровью потерпевшего на одного потерпевшего в договоре.
Согласно части 10 статьи 20 Закона № 123-ФЗ финансовый уполномоченный вправе организовывать проведение независимой экспертизы (оценки) по предмету спора для решения вопросов, связанных с рассмотрением обращения.</t>
  </si>
  <si>
    <t>%</t>
  </si>
  <si>
    <t>Спор по сумме</t>
  </si>
  <si>
    <t>Не виновник</t>
  </si>
  <si>
    <t>НЕ ЗАСТРАХОВАН</t>
  </si>
  <si>
    <t>У-20-28210</t>
  </si>
  <si>
    <t>Авакян Левон Сергеевич</t>
  </si>
  <si>
    <t>У-20-27275</t>
  </si>
  <si>
    <t>У-20-37291</t>
  </si>
  <si>
    <t>Давыдов Николай Николаевич</t>
  </si>
  <si>
    <t>У-20-30736</t>
  </si>
  <si>
    <t>У-20-31510</t>
  </si>
  <si>
    <t>У-20-32092</t>
  </si>
  <si>
    <t>У-20-32097</t>
  </si>
  <si>
    <t>У-20-32110</t>
  </si>
  <si>
    <t>У-20-40140</t>
  </si>
  <si>
    <t>У-20-40431</t>
  </si>
  <si>
    <t>У-20-40613</t>
  </si>
  <si>
    <t>У-20-40730</t>
  </si>
  <si>
    <t>У-20-40741</t>
  </si>
  <si>
    <t>У-20-40768</t>
  </si>
  <si>
    <t>У-20-40854</t>
  </si>
  <si>
    <t>У-20-40961</t>
  </si>
  <si>
    <t>У-20-40978</t>
  </si>
  <si>
    <t>У-20-40985</t>
  </si>
  <si>
    <t>У-20-41004</t>
  </si>
  <si>
    <t>У-20-41005</t>
  </si>
  <si>
    <t>У-20-40923</t>
  </si>
  <si>
    <t>У-20-41054</t>
  </si>
  <si>
    <t>У-20-41073</t>
  </si>
  <si>
    <t>У-20-41114</t>
  </si>
  <si>
    <t>У-20-41126</t>
  </si>
  <si>
    <t>У-20-41209</t>
  </si>
  <si>
    <t>У-20-41211</t>
  </si>
  <si>
    <t>У-20-41284</t>
  </si>
  <si>
    <t>У-20-41358</t>
  </si>
  <si>
    <t>У-20-41360</t>
  </si>
  <si>
    <t>У-20-41392</t>
  </si>
  <si>
    <t>У-20-41414</t>
  </si>
  <si>
    <t>У-20-41494</t>
  </si>
  <si>
    <t>У-20-41502</t>
  </si>
  <si>
    <t>У-20-41586</t>
  </si>
  <si>
    <t>У-20-41611</t>
  </si>
  <si>
    <t>У-20-41656</t>
  </si>
  <si>
    <t>У-20-41676</t>
  </si>
  <si>
    <t>У-20-41705</t>
  </si>
  <si>
    <t>У-20-41741</t>
  </si>
  <si>
    <t>У-20-41752</t>
  </si>
  <si>
    <t>У-20-41767</t>
  </si>
  <si>
    <t>У-20-41793</t>
  </si>
  <si>
    <t>У-20-41820</t>
  </si>
  <si>
    <t>У-20-41896</t>
  </si>
  <si>
    <t>У-20-41968</t>
  </si>
  <si>
    <t>У-20-41979</t>
  </si>
  <si>
    <t>У-20-41980</t>
  </si>
  <si>
    <t>У-20-42042</t>
  </si>
  <si>
    <t>У-20-42106</t>
  </si>
  <si>
    <t>У-20-42114</t>
  </si>
  <si>
    <t>У-20-42131</t>
  </si>
  <si>
    <t>У-20-42151</t>
  </si>
  <si>
    <t>У-20-42283</t>
  </si>
  <si>
    <t>У-20-42399</t>
  </si>
  <si>
    <t>У-20-42821</t>
  </si>
  <si>
    <t>У-20-42945</t>
  </si>
  <si>
    <t>Гаврилов Дмитрий Александрович</t>
  </si>
  <si>
    <t>Константинова Любовь Ивановна</t>
  </si>
  <si>
    <t>Карелина Алёна Игоревна</t>
  </si>
  <si>
    <t>Хваталин Александр Петрович</t>
  </si>
  <si>
    <t>Сенников Андрей Валерьевич</t>
  </si>
  <si>
    <t>Иваницкая Татьяна Леонидовна</t>
  </si>
  <si>
    <t>Воронков Алексей Витальевич</t>
  </si>
  <si>
    <t xml:space="preserve">Хасанов Хабибулло </t>
  </si>
  <si>
    <t>Смирнова Зоя Николаевна</t>
  </si>
  <si>
    <t>Герасимов Дмитрий Николаевич</t>
  </si>
  <si>
    <t>Лоднев Николай Александрович</t>
  </si>
  <si>
    <t>Набиев Мелиг Абдулгалимович</t>
  </si>
  <si>
    <t>Петухова Гульнара Анваровна</t>
  </si>
  <si>
    <t>Малхасян Арсен Рафаелович</t>
  </si>
  <si>
    <t>Махфузов Нариман Касимович</t>
  </si>
  <si>
    <t>Тимофеев Захар Сергеевич</t>
  </si>
  <si>
    <t>Ковязин Дмитрий Анатольевич</t>
  </si>
  <si>
    <t>Батталов Алмаз Галинурович</t>
  </si>
  <si>
    <t>Покровская Татьяна Сергеевна</t>
  </si>
  <si>
    <t>Ризаев Аликпер Мирзабекович</t>
  </si>
  <si>
    <t>Хачиров Альберт Рамазанович</t>
  </si>
  <si>
    <t>Кочкарева Елена Юрьевна</t>
  </si>
  <si>
    <t>Козуб Владислав Вадимович</t>
  </si>
  <si>
    <t>Ролдугин Иван Константинович</t>
  </si>
  <si>
    <t>Ольшевский Владимир Сигизмундович</t>
  </si>
  <si>
    <t>Грабельный Николай Иванович</t>
  </si>
  <si>
    <t>Немолчев Артем Александрович</t>
  </si>
  <si>
    <t>Титов Иван Валерьевич</t>
  </si>
  <si>
    <t>Дьяконов Алексей Геннадьевич</t>
  </si>
  <si>
    <t>Темников Владимир Максимович</t>
  </si>
  <si>
    <t>Безрук Алексей Михайлович</t>
  </si>
  <si>
    <t>Ульченко Иван Николаевич</t>
  </si>
  <si>
    <t>Прыткова Ирина Павловна</t>
  </si>
  <si>
    <t>Шишков Андрей Георгиевич</t>
  </si>
  <si>
    <t>Хромина Светлана Николаевна</t>
  </si>
  <si>
    <t>Магомедов Ромазан Магомедгабибович</t>
  </si>
  <si>
    <t>Гурбанов Сэймур Тельманович</t>
  </si>
  <si>
    <t>Ковтун Михаил Дмитриевич</t>
  </si>
  <si>
    <t>Коломийцева Александра Викторовна</t>
  </si>
  <si>
    <t>Омарова Нина Камиловна</t>
  </si>
  <si>
    <t>Драпова Екатерина Петровна</t>
  </si>
  <si>
    <t>Ардаков Алексей Сергеевич</t>
  </si>
  <si>
    <t>Биярсланов Ахмед Шапиевич</t>
  </si>
  <si>
    <t>Рабаданов Ислам Кадиевич</t>
  </si>
  <si>
    <t>Митясова Ольга Павловна</t>
  </si>
  <si>
    <t>Шакиров Ильгам Ахнафович</t>
  </si>
  <si>
    <t>Маликов Сергей Владимирович</t>
  </si>
  <si>
    <t>Зубкова Юлия Александровна</t>
  </si>
  <si>
    <t>Чусов Михаил Анатольевич</t>
  </si>
  <si>
    <t>Романчев Юрий Станиславович</t>
  </si>
  <si>
    <t>Лысенко Олег Александрович</t>
  </si>
  <si>
    <t>Ларин Александр Сергеевич</t>
  </si>
  <si>
    <t>Аминова Альбина Рашитовна</t>
  </si>
  <si>
    <t>Аракелян Галина Сергеевна</t>
  </si>
  <si>
    <t>СРОК ПО 123-ФЗ</t>
  </si>
  <si>
    <t>Дата согласования</t>
  </si>
  <si>
    <t>Количество</t>
  </si>
  <si>
    <t>ВРЕМЯ</t>
  </si>
  <si>
    <t>Итого</t>
  </si>
  <si>
    <t>Время</t>
  </si>
  <si>
    <t>1. УТС в экспертизе, хотя БР; 2. Европротокол, но ограничение неустойки 400000, а не 100000;3. Неверная средняя стоимость НТЭ, т.к. НТЭ подготовлена 16.07.2018, а средняя стоимость взята за первое полугодие 2018;4. В резолютивной части УТС не БР, а отказ.</t>
  </si>
  <si>
    <t>Кассационная жалоба, не принимает эти доводы, т.к. есть вступившее в законную силу решение суда</t>
  </si>
  <si>
    <t>Прикреплено не то решение</t>
  </si>
  <si>
    <t>Среднее</t>
  </si>
  <si>
    <t>Прогноз</t>
  </si>
  <si>
    <t>Не прекращаем, одно требование БР, остальные рассматрвиаем</t>
  </si>
  <si>
    <t>Нет доказательств организации осмотра</t>
  </si>
  <si>
    <t>Осталось</t>
  </si>
  <si>
    <t>Не начислена неустойка на первую выплату. Не проанализированы доводы ФО о наличии судебного спора в арбитражном суде, которым в удовлетворении требований цессионария отказано</t>
  </si>
  <si>
    <t>Взять мою версию. РОСГОС говорит, что оплатил неустойку, но платежки нет.</t>
  </si>
  <si>
    <t>ТОТАЛ, ВИНА</t>
  </si>
  <si>
    <t>Есть договор переуступки от цессионария к новому цессионарию</t>
  </si>
  <si>
    <t>1. Есть дкоументы, подтверждающие оплату экспертизы</t>
  </si>
  <si>
    <t>По договору КАСКО должны выдать ННР на дилера, но выдают не на дилера</t>
  </si>
  <si>
    <t>1. Просит неустойку на аварком; 2. Не те даты в полисе ОСАГО Заявителя; 3. Пропущена дата осмотра в формулировке о НТЭ ФО; 4. Неустойка не рассмотрена.</t>
  </si>
  <si>
    <t>НЕУСТОЙКА НА АВАРКОМА</t>
  </si>
  <si>
    <t>1. Рассмотрен не весь период начисления неустойки</t>
  </si>
  <si>
    <t>ЖИЗНЬ, ИЖДИВЕНИЕ</t>
  </si>
  <si>
    <t>1. Наименование документа (удовлетворение вместо отказа); 2. Дата и номер уведомления о принятии к рассмотрению; 3. Лишнее требование (неустойка) в претензии/заявлении; 4. Дата и номер ответа на претензию/заявление</t>
  </si>
  <si>
    <t>1. Не тот виновник; 2. Не та страховая виновника; 3. Не тот номер машины Заявителя 4. В резолютивной части не согласованы падежи</t>
  </si>
  <si>
    <t>1. ФУ Вину не устанавливает, оснований для вызскания 100% нет; 2. Не прописаны выплаты с учетом обюдной вины; 3. Нет второй экспертизы ФО; 4. Не верная дата исчисления неустойки и расчет неустойки; 4. После правок не прописана экспертиза.</t>
  </si>
  <si>
    <t>1. Название НТЭ ФУ. 2. Средняя экспертиза не по тому субъекту РФ (Красноярск вместо Краснодара) 3. Дефектовка - другая мотивировка; 4. После правок дефектовка - не та мотивировка</t>
  </si>
  <si>
    <t>1. Не учтена одна выплата неустойки, поэтому вынесено удовлетворяющее решение вместо отказного</t>
  </si>
  <si>
    <t>САМ ВИНОВНИК</t>
  </si>
  <si>
    <t>НЕУСТОЙКА, СУДА</t>
  </si>
  <si>
    <t>ТРАСА, НЕАКЦЕПТ</t>
  </si>
  <si>
    <t>1. У виновника указан не тот полис; 2. Не та дата 1й выплаты</t>
  </si>
  <si>
    <t>Заявление / претензия направлено не на тот адрес</t>
  </si>
  <si>
    <t>У-20-27789</t>
  </si>
  <si>
    <t>У-20-28255</t>
  </si>
  <si>
    <t>У-20-29724</t>
  </si>
  <si>
    <t>У-20-32433</t>
  </si>
  <si>
    <t>У-20-32496</t>
  </si>
  <si>
    <t>У-20-32828</t>
  </si>
  <si>
    <t>У-20-33288</t>
  </si>
  <si>
    <t>У-20-33374</t>
  </si>
  <si>
    <t>У-20-33541</t>
  </si>
  <si>
    <t>У-20-33626</t>
  </si>
  <si>
    <t>У-20-34169</t>
  </si>
  <si>
    <t>У-20-34319</t>
  </si>
  <si>
    <t>У-20-34600</t>
  </si>
  <si>
    <t>У-20-35589</t>
  </si>
  <si>
    <t>У-20-42226</t>
  </si>
  <si>
    <t>У-20-42241</t>
  </si>
  <si>
    <t>У-20-42292</t>
  </si>
  <si>
    <t>У-20-42345</t>
  </si>
  <si>
    <t>У-20-42372</t>
  </si>
  <si>
    <t>У-20-42460</t>
  </si>
  <si>
    <t>У-20-42475</t>
  </si>
  <si>
    <t>У-20-42553</t>
  </si>
  <si>
    <t>У-20-42634</t>
  </si>
  <si>
    <t>У-20-42748</t>
  </si>
  <si>
    <t>У-20-42918</t>
  </si>
  <si>
    <t>У-20-42939</t>
  </si>
  <si>
    <t>У-20-42957</t>
  </si>
  <si>
    <t>У-20-42991</t>
  </si>
  <si>
    <t>У-20-43132</t>
  </si>
  <si>
    <t>У-20-43135</t>
  </si>
  <si>
    <t>У-20-43197</t>
  </si>
  <si>
    <t>У-20-43231</t>
  </si>
  <si>
    <t>У-20-43300</t>
  </si>
  <si>
    <t>У-20-43321</t>
  </si>
  <si>
    <t>У-20-43359</t>
  </si>
  <si>
    <t>У-20-43447</t>
  </si>
  <si>
    <t>У-20-43461</t>
  </si>
  <si>
    <t>У-20-43475</t>
  </si>
  <si>
    <t>У-20-43508</t>
  </si>
  <si>
    <t>У-20-43516</t>
  </si>
  <si>
    <t>У-20-43624</t>
  </si>
  <si>
    <t>У-20-43650</t>
  </si>
  <si>
    <t>У-20-43694</t>
  </si>
  <si>
    <t>У-20-43915</t>
  </si>
  <si>
    <t>У-20-43942</t>
  </si>
  <si>
    <t>У-20-43951</t>
  </si>
  <si>
    <t>У-20-44033</t>
  </si>
  <si>
    <t>У-20-44054</t>
  </si>
  <si>
    <t>У-20-44071</t>
  </si>
  <si>
    <t>У-20-44004</t>
  </si>
  <si>
    <t>У-20-44137</t>
  </si>
  <si>
    <t>У-20-44217</t>
  </si>
  <si>
    <t>У-20-44238</t>
  </si>
  <si>
    <t>У-20-44244</t>
  </si>
  <si>
    <t>У-20-44247</t>
  </si>
  <si>
    <t>У-20-44269</t>
  </si>
  <si>
    <t>У-20-44289</t>
  </si>
  <si>
    <t>У-20-44403</t>
  </si>
  <si>
    <t>У-20-44467</t>
  </si>
  <si>
    <t>У-20-44519</t>
  </si>
  <si>
    <t>У-20-44626</t>
  </si>
  <si>
    <t>У-20-44642</t>
  </si>
  <si>
    <t>У-20-44691</t>
  </si>
  <si>
    <t>У-20-44704</t>
  </si>
  <si>
    <t>У-20-44788</t>
  </si>
  <si>
    <t>У-20-45166</t>
  </si>
  <si>
    <t>Самсонова Татьяна Ивановна</t>
  </si>
  <si>
    <t>Цветнов Виталий Николаевич</t>
  </si>
  <si>
    <t>Багиров Сергей Исрафилович</t>
  </si>
  <si>
    <t>Балахнин Сергей Владимирович</t>
  </si>
  <si>
    <t>Орлов Константин Иванович</t>
  </si>
  <si>
    <t>Арутюнян Армен Тигранович</t>
  </si>
  <si>
    <t>Акинина Ирина Николаевна</t>
  </si>
  <si>
    <t>Коков Батраз Феликсович</t>
  </si>
  <si>
    <t>Плакса Максим Сергеевич</t>
  </si>
  <si>
    <t>Пиндюрин Владимир Васильевич</t>
  </si>
  <si>
    <t>Лобан Дмитрий Анатольевич</t>
  </si>
  <si>
    <t>Шипарев Иван Александрович</t>
  </si>
  <si>
    <t>Донскова Наталья Николаевна</t>
  </si>
  <si>
    <t>Хамидуллин Артур Ануварович</t>
  </si>
  <si>
    <t>Дюдюкин Евгений Сергеевич</t>
  </si>
  <si>
    <t>Сологуб Егор Артёмович</t>
  </si>
  <si>
    <t>Пахомова Людмила Эвальдовна</t>
  </si>
  <si>
    <t>Чугуев Сослан Хсарбекович</t>
  </si>
  <si>
    <t>Попов Антон Андреевич</t>
  </si>
  <si>
    <t>Титов Владимир Анатольевич</t>
  </si>
  <si>
    <t>Морозов Иван Владимирович</t>
  </si>
  <si>
    <t>Хабибуллина Альфия Хоснулловна</t>
  </si>
  <si>
    <t>Керейтов Магомед Амербиевич</t>
  </si>
  <si>
    <t>Андреева Татьяна Васильевна</t>
  </si>
  <si>
    <t>Кремер Анатолий Александрович</t>
  </si>
  <si>
    <t>Сергиевская Екатерина Витальевна</t>
  </si>
  <si>
    <t>Жовтяк Дмитрий Евгеньевич</t>
  </si>
  <si>
    <t>Волков Станислав Валерьевич</t>
  </si>
  <si>
    <t>Зуйков Максим Андреевич</t>
  </si>
  <si>
    <t>Хадуев Аюб Шерипович</t>
  </si>
  <si>
    <t>Кадыралиева Алина Калметовна</t>
  </si>
  <si>
    <t>Каблов Максим Николаевич</t>
  </si>
  <si>
    <t>Смирнов Сергей Анатольевич</t>
  </si>
  <si>
    <t>Верещако Светлана Владимировна</t>
  </si>
  <si>
    <t>Членов Леонид Анатольевич</t>
  </si>
  <si>
    <t>Зульфигаров Адиль Вахаб Оглы</t>
  </si>
  <si>
    <t>Минрахимова Татьяна Сергеевна</t>
  </si>
  <si>
    <t>Кудряшов Алексей Алексеевич</t>
  </si>
  <si>
    <t>Садыков Рустам Ривальевич</t>
  </si>
  <si>
    <t>Булев Георгий Артурович</t>
  </si>
  <si>
    <t>Худякова Наталья Викторовна</t>
  </si>
  <si>
    <t>Шаймухаметов Вадим Рауфович</t>
  </si>
  <si>
    <t>Щербаков Александр Владимирович</t>
  </si>
  <si>
    <t>Трухачев Василий Викторович</t>
  </si>
  <si>
    <t>Буторин Сергей Николаевич</t>
  </si>
  <si>
    <t>Мушкин Андрей Анатольевич</t>
  </si>
  <si>
    <t>Григорьев Иван Иванович</t>
  </si>
  <si>
    <t>Алферова Татьяна Ивановна</t>
  </si>
  <si>
    <t>Журлов Сергей Сергеевич</t>
  </si>
  <si>
    <t>Щукина Елена Ивановна</t>
  </si>
  <si>
    <t>Лазарев Алексей Алексеевич</t>
  </si>
  <si>
    <t>Гребнева Ирина Анатольевна</t>
  </si>
  <si>
    <t>Чикина Елена Игоревна</t>
  </si>
  <si>
    <t>Валиахметова Наталия Андреевна</t>
  </si>
  <si>
    <t>Фоминова Лидия Алексеевна</t>
  </si>
  <si>
    <t>Аулов Павел Александрович</t>
  </si>
  <si>
    <t>Полюховский Никита Дмитриевич</t>
  </si>
  <si>
    <t>Юшманов Виталий Александрович</t>
  </si>
  <si>
    <t>Каримова Лилия Минихановна</t>
  </si>
  <si>
    <t>Неделько Валентина Владимировна</t>
  </si>
  <si>
    <t>Молоканова Ольга Алексеевна</t>
  </si>
  <si>
    <t>Мачульская Яна Александровна</t>
  </si>
  <si>
    <t>Пикалев Евгений Александрович</t>
  </si>
  <si>
    <t>Дьяконов Михаил Сергеевич</t>
  </si>
  <si>
    <t>Нечипорчук Вера Николаевна</t>
  </si>
  <si>
    <t>Прекращаем, т.к. был суд с цессионарием</t>
  </si>
  <si>
    <t>ФС, РЕШЕНИЕ ФУ</t>
  </si>
  <si>
    <t>1. Не учтено ранее вынесенное решение ФУ; 2. Не та дата ДТП; 3. Не то требование (страховое вместо неустойки); 4. ФС по момент выдачи ННР, а не выплаты</t>
  </si>
  <si>
    <t>Инвалид. Не доказал использование ТС в связи с инвалидностью</t>
  </si>
  <si>
    <t>Просит неустойку на неустойку</t>
  </si>
  <si>
    <t>1. Просит неустойку на неустойку, рассматриваем только те требования, которые заявлены, поэтому отказ</t>
  </si>
  <si>
    <t>1. Другая дата обращения с УТС; 2. НТЭ Заявтеля отказываем, т.к. квитанция на цессионария</t>
  </si>
  <si>
    <t>Иждивение устанавливает только суд</t>
  </si>
  <si>
    <t>1. Не прописан ремонт (когда сдали, когда приняли из ремонта); 2. Нет анализа сроко выполнения ремонта</t>
  </si>
  <si>
    <t>DONE</t>
  </si>
  <si>
    <t>ALL</t>
  </si>
  <si>
    <t>Эпов Евгений Яковлевич</t>
  </si>
  <si>
    <t>Харьковский Андрей Игоревич</t>
  </si>
  <si>
    <t>Зинатуллин Ильдар Рауфович</t>
  </si>
  <si>
    <t>12.05 - 15.05</t>
  </si>
  <si>
    <t>06.05 - 08.05</t>
  </si>
  <si>
    <t>18.05 - 22.05</t>
  </si>
  <si>
    <t>Эвакуатор, неустойка на эвакуатор</t>
  </si>
  <si>
    <t>1. Взыскиваем эвакуатор, т.к. с места ДТП</t>
  </si>
  <si>
    <t>Проверено, загружена моя версия, нужно только загрузить на верную дату (15.05.2020)</t>
  </si>
  <si>
    <t>У-20-35390</t>
  </si>
  <si>
    <t>У-20-35405</t>
  </si>
  <si>
    <t>У-20-36579</t>
  </si>
  <si>
    <t>У-20-36681</t>
  </si>
  <si>
    <t>У-20-44987</t>
  </si>
  <si>
    <t>У-20-45086</t>
  </si>
  <si>
    <t>У-20-45088</t>
  </si>
  <si>
    <t>У-20-45184</t>
  </si>
  <si>
    <t>У-20-45461</t>
  </si>
  <si>
    <t>У-20-45478</t>
  </si>
  <si>
    <t>У-20-45518</t>
  </si>
  <si>
    <t>У-20-45575</t>
  </si>
  <si>
    <t>У-20-45598</t>
  </si>
  <si>
    <t>У-20-45776</t>
  </si>
  <si>
    <t>У-20-45803</t>
  </si>
  <si>
    <t>У-20-45853</t>
  </si>
  <si>
    <t>У-20-45911</t>
  </si>
  <si>
    <t>У-20-46023</t>
  </si>
  <si>
    <t>У-20-46195</t>
  </si>
  <si>
    <t>У-20-46216</t>
  </si>
  <si>
    <t>У-20-46237</t>
  </si>
  <si>
    <t>У-20-46274</t>
  </si>
  <si>
    <t>У-20-46348</t>
  </si>
  <si>
    <t>У-20-46372</t>
  </si>
  <si>
    <t>У-20-46417</t>
  </si>
  <si>
    <t>У-20-46442</t>
  </si>
  <si>
    <t>У-20-46465</t>
  </si>
  <si>
    <t>У-20-46486</t>
  </si>
  <si>
    <t>У-20-46626</t>
  </si>
  <si>
    <t>У-20-46632</t>
  </si>
  <si>
    <t>У-20-46672</t>
  </si>
  <si>
    <t>У-20-46679</t>
  </si>
  <si>
    <t>У-20-46724</t>
  </si>
  <si>
    <t>У-20-46758</t>
  </si>
  <si>
    <t>У-20-46762</t>
  </si>
  <si>
    <t>У-20-46767</t>
  </si>
  <si>
    <t>У-20-46837</t>
  </si>
  <si>
    <t>У-20-46992</t>
  </si>
  <si>
    <t>У-20-47093</t>
  </si>
  <si>
    <t>У-20-47173</t>
  </si>
  <si>
    <t>У-20-47413</t>
  </si>
  <si>
    <t>У-20-47478</t>
  </si>
  <si>
    <t>Стародубов Владимир Анатольевич</t>
  </si>
  <si>
    <t>Дарбинян Норайр Арамович</t>
  </si>
  <si>
    <t>Попов Александр Владимирович</t>
  </si>
  <si>
    <t>Барабошин Владимир Анатольевич</t>
  </si>
  <si>
    <t>Чекалов Олег Викторович</t>
  </si>
  <si>
    <t>Мкртчян Арам Карапетович</t>
  </si>
  <si>
    <t>Евращенко Екатерина Вадимовна</t>
  </si>
  <si>
    <t>Минина Ольга Андреевна</t>
  </si>
  <si>
    <t>Крюков Федор Андреевич</t>
  </si>
  <si>
    <t>Иванов Николай Викторович</t>
  </si>
  <si>
    <t>Раленский Тимофей Константинович</t>
  </si>
  <si>
    <t>Шапошникова Елена Валерьевна</t>
  </si>
  <si>
    <t>Маркатюк Павел Иванович</t>
  </si>
  <si>
    <t>Вагнер Антон Сергеевич</t>
  </si>
  <si>
    <t>Заезжай Анатолий Владимирович</t>
  </si>
  <si>
    <t>Кулинич Владислав Викторович</t>
  </si>
  <si>
    <t>Буйлов Олег Васильевич</t>
  </si>
  <si>
    <t>Максименко Виктор Валерьевич</t>
  </si>
  <si>
    <t>Войтулевич Роман Анатольевич</t>
  </si>
  <si>
    <t>Устинов Станислав Александрович</t>
  </si>
  <si>
    <t>Семенов Захар Леонидович</t>
  </si>
  <si>
    <t>Кочиев Илья Георгиевич</t>
  </si>
  <si>
    <t>Ананьев Олег Михайлович</t>
  </si>
  <si>
    <t>Набиуллин Ринат Гафурович</t>
  </si>
  <si>
    <t>Илюшин Дмитрий Анатольевич</t>
  </si>
  <si>
    <t>Попова Елена Владимировна</t>
  </si>
  <si>
    <t>Крайнюк Андрей Емельянович</t>
  </si>
  <si>
    <t>Кожемякина Олеся Владимировна</t>
  </si>
  <si>
    <t>Антипов Дмитрий Александрович</t>
  </si>
  <si>
    <t>Крючко Валентина Степановна</t>
  </si>
  <si>
    <t>Забродин Павел Максимович</t>
  </si>
  <si>
    <t>Яров Денис Викторович</t>
  </si>
  <si>
    <t>Дементьева Юлия Валерьевна</t>
  </si>
  <si>
    <t>Воробьев Дмитрий Александрович</t>
  </si>
  <si>
    <t>Шаповалов Роман Олегович</t>
  </si>
  <si>
    <t>Болотов Геннадий Романович</t>
  </si>
  <si>
    <t>Соловьев Эдуард Георгиевич</t>
  </si>
  <si>
    <t>Козин Дмитрий Федорович</t>
  </si>
  <si>
    <t>Пекельдин Игорь Сергеевич</t>
  </si>
  <si>
    <t>Качмазов Чермен Славикович</t>
  </si>
  <si>
    <t>Рожок Михаил Анатольевич</t>
  </si>
  <si>
    <t>Буявчи Дамир Рахимзянович</t>
  </si>
  <si>
    <t>1. Выплата с учетом стоимости экспертизы</t>
  </si>
  <si>
    <t>1. Есть сведения о полисе виновника; 2. Неверно определена дата выплаты по решению суда</t>
  </si>
  <si>
    <t>БАНК</t>
  </si>
  <si>
    <t>1. Выгодоприобретатель - банк</t>
  </si>
  <si>
    <t>Выгодоприобретатель банк</t>
  </si>
  <si>
    <t>ТОТАЛ, нет распорядительного письма от банка. Выгодоприобретатель банк</t>
  </si>
  <si>
    <t>Отложенная неустойка. Выгодоприобретатель банк</t>
  </si>
  <si>
    <t>ННР в срок, но нарушены сроки ремонта. Обоснвоание хранения</t>
  </si>
  <si>
    <t>Спор по сумме. Выплатили с учетом неустойки</t>
  </si>
  <si>
    <t>Период до суда и после</t>
  </si>
  <si>
    <t>1. Нет спора по сумме, НТЭ не нужна; 2. Есть паспортные данные</t>
  </si>
  <si>
    <t>Недееспособная потерпевшая, опекунство. Не понятно жизнь или здоровье</t>
  </si>
  <si>
    <t>Соглашение о расторжении цессии не подписано</t>
  </si>
  <si>
    <t>1. Соглашение о расторжении цессии не подписано, основания для рассмотрения нет.</t>
  </si>
  <si>
    <t>Выплата приостановлена на основании 4.26 Правил. Зависит от уголовного дела</t>
  </si>
  <si>
    <t>ПРИОСТАНОВЛЕНИЕ</t>
  </si>
  <si>
    <t>1. Нет спора по сумме, НТЭ не нужна</t>
  </si>
  <si>
    <t>Соглашение подписано представителем. Заявитель утверждает, что ничего не подписывал</t>
  </si>
  <si>
    <t>Фара лежала на дороге, наехала фура, сломала. Но нет фото</t>
  </si>
  <si>
    <t>ДОКУМЕНТЫ</t>
  </si>
  <si>
    <t>Запрашивают надлежащим образом заверенные копии постановления (с синей печатью), но есть опись вложения, согласно которой документы предоставлены</t>
  </si>
  <si>
    <t>1. Неверно указана дата обращения, в силу чего произведен неравильный расчет неустойки</t>
  </si>
  <si>
    <t>Не правильно посчитали КБМ, но потом пересчитали, просит юриста, МВ, почту</t>
  </si>
  <si>
    <t>1. Экспертиза до 01.06.2019, но прописана как после. 2. Экспертиза не указана в описательной части</t>
  </si>
  <si>
    <t>Из апелляционного определения невозможно определить период неустойки</t>
  </si>
  <si>
    <t>1. Неверно определен период начисления неустойки, неверная дата выдачи ННР; 3. неправильные требования в претензии</t>
  </si>
  <si>
    <t>ЗАПРОС ДОКУМЕНТОВ</t>
  </si>
  <si>
    <t>Нарушен срок запроса документов</t>
  </si>
  <si>
    <t>1. Решение суда по другому предмету (другой участник ДТП)</t>
  </si>
  <si>
    <t>25.05 - 29.05</t>
  </si>
  <si>
    <t>РАСТОРЖЕНИЕ ОСАГО</t>
  </si>
  <si>
    <t>Требвоание о расторжении договора ОСАГО, изменении КБМ</t>
  </si>
  <si>
    <t>У-20-33213</t>
  </si>
  <si>
    <t>У-20-33502</t>
  </si>
  <si>
    <t>У-20-36990</t>
  </si>
  <si>
    <t>У-20-38345</t>
  </si>
  <si>
    <t>У-20-39052</t>
  </si>
  <si>
    <t>У-20-39302</t>
  </si>
  <si>
    <t>У-20-39995</t>
  </si>
  <si>
    <t>У-20-40437</t>
  </si>
  <si>
    <t>У-20-47067</t>
  </si>
  <si>
    <t>У-20-47097</t>
  </si>
  <si>
    <t>У-20-47150</t>
  </si>
  <si>
    <t>У-20-47165</t>
  </si>
  <si>
    <t>У-20-47198</t>
  </si>
  <si>
    <t>У-20-47241</t>
  </si>
  <si>
    <t>У-20-47297</t>
  </si>
  <si>
    <t>У-20-47602</t>
  </si>
  <si>
    <t>У-20-47607</t>
  </si>
  <si>
    <t>У-20-47630</t>
  </si>
  <si>
    <t>У-20-47788</t>
  </si>
  <si>
    <t>У-20-47816</t>
  </si>
  <si>
    <t>У-20-47873</t>
  </si>
  <si>
    <t>У-20-47931</t>
  </si>
  <si>
    <t>У-20-48054</t>
  </si>
  <si>
    <t>У-20-48057</t>
  </si>
  <si>
    <t>У-20-48077</t>
  </si>
  <si>
    <t>У-20-48201</t>
  </si>
  <si>
    <t>У-20-48255</t>
  </si>
  <si>
    <t>У-20-48257</t>
  </si>
  <si>
    <t>У-20-48368</t>
  </si>
  <si>
    <t>У-20-48387</t>
  </si>
  <si>
    <t>У-20-48433</t>
  </si>
  <si>
    <t>У-20-48618</t>
  </si>
  <si>
    <t>У-20-48708</t>
  </si>
  <si>
    <t>У-20-48732</t>
  </si>
  <si>
    <t>У-20-48837</t>
  </si>
  <si>
    <t>У-20-48882</t>
  </si>
  <si>
    <t>У-20-48885</t>
  </si>
  <si>
    <t>У-20-48933</t>
  </si>
  <si>
    <t>У-20-48966</t>
  </si>
  <si>
    <t>У-20-48985</t>
  </si>
  <si>
    <t>У-20-49005</t>
  </si>
  <si>
    <t>У-20-49014</t>
  </si>
  <si>
    <t>У-20-49065</t>
  </si>
  <si>
    <t>У-20-49289</t>
  </si>
  <si>
    <t>У-20-49302</t>
  </si>
  <si>
    <t>У-20-49375</t>
  </si>
  <si>
    <t>У-20-49381</t>
  </si>
  <si>
    <t>У-20-49388</t>
  </si>
  <si>
    <t>У-20-49400</t>
  </si>
  <si>
    <t>У-20-49407</t>
  </si>
  <si>
    <t>У-20-49432</t>
  </si>
  <si>
    <t>У-20-49482</t>
  </si>
  <si>
    <t>У-20-49489</t>
  </si>
  <si>
    <t>У-20-49548</t>
  </si>
  <si>
    <t>У-20-49561</t>
  </si>
  <si>
    <t>У-20-50414</t>
  </si>
  <si>
    <t>У-20-50436</t>
  </si>
  <si>
    <t>У-20-50466</t>
  </si>
  <si>
    <t>У-20-50558</t>
  </si>
  <si>
    <t>У-20-50566</t>
  </si>
  <si>
    <t>У-20-50569</t>
  </si>
  <si>
    <t>У-20-50590</t>
  </si>
  <si>
    <t>У-20-50647</t>
  </si>
  <si>
    <t>У-20-50675</t>
  </si>
  <si>
    <t>У-20-50682</t>
  </si>
  <si>
    <t>У-20-50721</t>
  </si>
  <si>
    <t>У-20-50790</t>
  </si>
  <si>
    <t>У-20-50808</t>
  </si>
  <si>
    <t>У-20-51000</t>
  </si>
  <si>
    <t>У-20-51011</t>
  </si>
  <si>
    <t>У-20-51062</t>
  </si>
  <si>
    <t>У-20-51066</t>
  </si>
  <si>
    <t>У-20-51103</t>
  </si>
  <si>
    <t>У-20-51128</t>
  </si>
  <si>
    <t>У-20-51192</t>
  </si>
  <si>
    <t>У-20-51244</t>
  </si>
  <si>
    <t>У-20-51255</t>
  </si>
  <si>
    <t>У-20-51286</t>
  </si>
  <si>
    <t>У-20-51305</t>
  </si>
  <si>
    <t>У-20-51313</t>
  </si>
  <si>
    <t>У-20-51335</t>
  </si>
  <si>
    <t>У-20-51354</t>
  </si>
  <si>
    <t>У-20-51374</t>
  </si>
  <si>
    <t>У-20-51454</t>
  </si>
  <si>
    <t>У-20-51488</t>
  </si>
  <si>
    <t>У-20-51548</t>
  </si>
  <si>
    <t>У-20-51559</t>
  </si>
  <si>
    <t>У-20-51572</t>
  </si>
  <si>
    <t>У-20-51573</t>
  </si>
  <si>
    <t>У-20-51603</t>
  </si>
  <si>
    <t>У-20-51607</t>
  </si>
  <si>
    <t>У-20-51610</t>
  </si>
  <si>
    <t>У-20-51641</t>
  </si>
  <si>
    <t>У-20-51653</t>
  </si>
  <si>
    <t>У-20-51661</t>
  </si>
  <si>
    <t>У-20-51682</t>
  </si>
  <si>
    <t>У-20-51786</t>
  </si>
  <si>
    <t>У-20-51857</t>
  </si>
  <si>
    <t>У-20-51869</t>
  </si>
  <si>
    <t>У-20-51911</t>
  </si>
  <si>
    <t>У-20-51945</t>
  </si>
  <si>
    <t>У-20-51946</t>
  </si>
  <si>
    <t>У-20-52029</t>
  </si>
  <si>
    <t>У-20-52050</t>
  </si>
  <si>
    <t>У-20-52066</t>
  </si>
  <si>
    <t>У-20-52075</t>
  </si>
  <si>
    <t>У-20-52244</t>
  </si>
  <si>
    <t>У-20-52281</t>
  </si>
  <si>
    <t>У-20-52326</t>
  </si>
  <si>
    <t>У-20-52371</t>
  </si>
  <si>
    <t>У-20-52431</t>
  </si>
  <si>
    <t>У-20-52514</t>
  </si>
  <si>
    <t>У-20-52537</t>
  </si>
  <si>
    <t>У-20-52546</t>
  </si>
  <si>
    <t>У-20-52553</t>
  </si>
  <si>
    <t>У-20-52566</t>
  </si>
  <si>
    <t>У-20-52628</t>
  </si>
  <si>
    <t>У-20-52630</t>
  </si>
  <si>
    <t>У-20-52642</t>
  </si>
  <si>
    <t>У-20-52643</t>
  </si>
  <si>
    <t>У-20-52735</t>
  </si>
  <si>
    <t>У-20-52759</t>
  </si>
  <si>
    <t>У-20-52897</t>
  </si>
  <si>
    <t>У-20-52960</t>
  </si>
  <si>
    <t>У-20-52963</t>
  </si>
  <si>
    <t>У-20-53014</t>
  </si>
  <si>
    <t>Заец Леонид Тадеушович</t>
  </si>
  <si>
    <t>Посунько Вадим Сергеевич</t>
  </si>
  <si>
    <t>Галочкин Иван Петрович</t>
  </si>
  <si>
    <t>Ягольник Денис Валентинович</t>
  </si>
  <si>
    <t>Долаков Руслан Аптийевич</t>
  </si>
  <si>
    <t>Дзюба Ольга Михайловна</t>
  </si>
  <si>
    <t>Фролов Кирилл Анатольевич</t>
  </si>
  <si>
    <t>Быкова Елена Владимировна</t>
  </si>
  <si>
    <t>Горбанева Людмила Николаевна</t>
  </si>
  <si>
    <t>Ситников Родион Эдуардович</t>
  </si>
  <si>
    <t>Акопян Сусанна Вагаршаковна</t>
  </si>
  <si>
    <t>Тасаев Николай Геннадьевич</t>
  </si>
  <si>
    <t>Андрианова Светлана Николаевна</t>
  </si>
  <si>
    <t>Алиханова Ольга Федоровна</t>
  </si>
  <si>
    <t>Февралев Вячеслав Валерьевич</t>
  </si>
  <si>
    <t>Артеменко Татьяна Александровна</t>
  </si>
  <si>
    <t>Губерниева Ирина Александровна</t>
  </si>
  <si>
    <t>Лукьянова Ирина Александровна</t>
  </si>
  <si>
    <t>Шамин Константин Васильевич</t>
  </si>
  <si>
    <t>Биктагиров Рифат Рафикович</t>
  </si>
  <si>
    <t>Крылов Олег Витальевич</t>
  </si>
  <si>
    <t>Ходжоян Вартан Грачикович</t>
  </si>
  <si>
    <t>Гирагосян Грачик Капрелович</t>
  </si>
  <si>
    <t>Пустов Евгений Сергеевич</t>
  </si>
  <si>
    <t>Смирнов Сергей Николаевич</t>
  </si>
  <si>
    <t>Суворов Сергей Николаевич</t>
  </si>
  <si>
    <t>Бурдыга Дмитрий Александрович</t>
  </si>
  <si>
    <t>Шакиров Артур Марсович</t>
  </si>
  <si>
    <t>Зозуля Нина Степановна</t>
  </si>
  <si>
    <t>Волков Антон Валерьевич</t>
  </si>
  <si>
    <t>Магомедов Махач Магомедович</t>
  </si>
  <si>
    <t>МАКУНИНА НАТАЛИЯ НИКОЛАЕВНА</t>
  </si>
  <si>
    <t>Ремизов Роман Сергеевич</t>
  </si>
  <si>
    <t>Кореев Олег Сергеевич</t>
  </si>
  <si>
    <t>Комаров Евгений Сергеевич</t>
  </si>
  <si>
    <t>Казиев Закиф Мирзабалаевич</t>
  </si>
  <si>
    <t>Гулаков Анатолий Александрович</t>
  </si>
  <si>
    <t>Рыбкин Дмитрий Сергеечич</t>
  </si>
  <si>
    <t>Апресян Лаура Николаевна</t>
  </si>
  <si>
    <t>Тугуз Тимур Байзетович</t>
  </si>
  <si>
    <t>Искужина Зифа Ягудовна</t>
  </si>
  <si>
    <t>Макарова Валентина Михайловна</t>
  </si>
  <si>
    <t>Власов Яков Анатольевич</t>
  </si>
  <si>
    <t>Эрзиманов Эдман Гаджиметович</t>
  </si>
  <si>
    <t>Казаков Павел Викторович</t>
  </si>
  <si>
    <t>Ханов Альберт Гависович</t>
  </si>
  <si>
    <t>Даниелян Артак Давидович</t>
  </si>
  <si>
    <t>Еремин Роман Александрович</t>
  </si>
  <si>
    <t>Набойченко Владимир Александрович</t>
  </si>
  <si>
    <t>Щеглов Александр Валерьевич</t>
  </si>
  <si>
    <t>Карев Антон Александрович</t>
  </si>
  <si>
    <t>Новиков Валентин Анатольевич</t>
  </si>
  <si>
    <t>Третьякова Анжелика Леонидовна</t>
  </si>
  <si>
    <t>Арутюнян Роман Арменович</t>
  </si>
  <si>
    <t>Лымарь Вячеслав Юрьевич</t>
  </si>
  <si>
    <t>Гасанов Телман Аскер Оглы</t>
  </si>
  <si>
    <t>Цыганов Владимир Владимирович</t>
  </si>
  <si>
    <t>Татьянина Анастасия Васильевна</t>
  </si>
  <si>
    <t>Панеш Саригат Махмудовна</t>
  </si>
  <si>
    <t>Хайми Антон Владмирович</t>
  </si>
  <si>
    <t>Волокитин Александр Леонидович</t>
  </si>
  <si>
    <t>Гурциев Сармат Владимирович</t>
  </si>
  <si>
    <t>Нурияхметов Роман Рустемович</t>
  </si>
  <si>
    <t>Матюшкина Юлия Витальевна</t>
  </si>
  <si>
    <t>Алексеенко Алиса Сергеевна</t>
  </si>
  <si>
    <t>Торощин Станислав Анатольевич</t>
  </si>
  <si>
    <t>Закиров Ринат Рафисович</t>
  </si>
  <si>
    <t>Несмеянов Александр Александрович</t>
  </si>
  <si>
    <t>Осипов Игорь Владимирович</t>
  </si>
  <si>
    <t>Зарецкая Светлана Вячеславовна</t>
  </si>
  <si>
    <t>Тер-Маркарьян Борис Мхитарович</t>
  </si>
  <si>
    <t>Шатц Лариса Юрьевна</t>
  </si>
  <si>
    <t>Крамаренко Иван Сергеевич</t>
  </si>
  <si>
    <t>Вагидов Нариман Назимович</t>
  </si>
  <si>
    <t>Асваров Руслан Ферзалиевич</t>
  </si>
  <si>
    <t>Сидоров Сергей Владимирович</t>
  </si>
  <si>
    <t>Лютов Андрей Владимирович</t>
  </si>
  <si>
    <t>Агабабян Геворг Ишханович</t>
  </si>
  <si>
    <t>Сугибин Руслан Александрович</t>
  </si>
  <si>
    <t>Мандрица Ольга Витальевна</t>
  </si>
  <si>
    <t>Головко Александр Александрович</t>
  </si>
  <si>
    <t>РЫЖОВА ЕВГЕНИЯ ВЛАДИМИРОВНА</t>
  </si>
  <si>
    <t>Сафронов Алексей Викторович</t>
  </si>
  <si>
    <t>Кузько Константин Александрович</t>
  </si>
  <si>
    <t>Авагян Сергей Маратович</t>
  </si>
  <si>
    <t>Романова Ирина Анатольевна</t>
  </si>
  <si>
    <t>Кокоскерия Ясон Энверович</t>
  </si>
  <si>
    <t>Петикян Оганнес Назаретович</t>
  </si>
  <si>
    <t>Дмитриев Сергей Сергеевич</t>
  </si>
  <si>
    <t>Пятков Анатолий Геннадьевич</t>
  </si>
  <si>
    <t>Устюжанина Наталья Юрьевна</t>
  </si>
  <si>
    <t>Фидяев Евгений Петрович</t>
  </si>
  <si>
    <t>Дзкуя Астамур Сатбеевич</t>
  </si>
  <si>
    <t>Рыжкова Виктория Евгеньевна</t>
  </si>
  <si>
    <t>Колтыгин Евгений Михайлович</t>
  </si>
  <si>
    <t>Вереницин Денис Сергеевич</t>
  </si>
  <si>
    <t>Муртазалиева Савадат Хизбулаевна</t>
  </si>
  <si>
    <t>Хапаев Азамат Азретович</t>
  </si>
  <si>
    <t>Крашенинников Евгений Иванович</t>
  </si>
  <si>
    <t>Мкртчян Ваграм Юрикович</t>
  </si>
  <si>
    <t>Айдов Станислав Рудольфович</t>
  </si>
  <si>
    <t>Бахвалова Анна Викторовна</t>
  </si>
  <si>
    <t>Белявский Иван Георгиевич</t>
  </si>
  <si>
    <t>Ксенофонтова Ксения Викторовна</t>
  </si>
  <si>
    <t>Шихмагомедов Магомед Салимович</t>
  </si>
  <si>
    <t>Тапанов Кисметулла Гумарович</t>
  </si>
  <si>
    <t>Хрусталев Виктор Сергеевич</t>
  </si>
  <si>
    <t>Апасеев Алексей Сергеевич</t>
  </si>
  <si>
    <t>Боряков Андрей Васильевич</t>
  </si>
  <si>
    <t>Бачинин Валерий Ильич</t>
  </si>
  <si>
    <t>Курочкин Геннадий Васильевич</t>
  </si>
  <si>
    <t>Кузнецова Ольга Константиновна</t>
  </si>
  <si>
    <t>Магомедов Ислам Абдусаматович</t>
  </si>
  <si>
    <t>Жмыхова Светлана Егоровна</t>
  </si>
  <si>
    <t>АО "Страховая компания АСКО-Центр"</t>
  </si>
  <si>
    <t>Летаев Юрий Васильевич</t>
  </si>
  <si>
    <t>Владимирова Наталья Николаевна</t>
  </si>
  <si>
    <t>МИНАСЯН ГАРАГИН Якович</t>
  </si>
  <si>
    <t>Рыбин Эдуард Александрович</t>
  </si>
  <si>
    <t>Тишкин Александр Сергеевич</t>
  </si>
  <si>
    <t>Сыроваткина Валентина Петровна</t>
  </si>
  <si>
    <t>Каплина Евгения Олеговна</t>
  </si>
  <si>
    <t>Токарева Эльвира Сергеевна</t>
  </si>
  <si>
    <t>Апостолова Жанна Анатольевна</t>
  </si>
  <si>
    <t>Насыров Данила Викторович</t>
  </si>
  <si>
    <t>Алиев Артур Алиевич</t>
  </si>
  <si>
    <t>суд отказал во взыскании страхового возмещения, в силу того, что ТС не предоставлено на осмотр, потом предоставил, было выдано ННР, но не в срок, и мы взыскали</t>
  </si>
  <si>
    <t>1. Неверно расчитана ФС; 2. В отложенной неустойке не учтена сумма взысканной ФС</t>
  </si>
  <si>
    <t>Частичный отказ в повреждениях (ремонт)</t>
  </si>
  <si>
    <t>1. Экспертиза и юр услуги оставлены БР, хотя требования были заявлены в претензии</t>
  </si>
  <si>
    <t>Ошибаемся на день</t>
  </si>
  <si>
    <t>Выплатили не в срок по решению ФУ</t>
  </si>
  <si>
    <t>1. Заявитель не застрахован; 2. Не начислена неустойка на расходы на погребение 3. Не прописана мотивировка почему взыскиваем (решение ФУ исполнено не в срок)</t>
  </si>
  <si>
    <t>Не предоставил документ о праве собственности на ТС</t>
  </si>
  <si>
    <t>1. Не прописан суд; 2. Когда прописала, указала, что суд взыскал, но он отказал..</t>
  </si>
  <si>
    <t>Last DOC</t>
  </si>
  <si>
    <t>Не возможно определить период неустойки, взысканной судом</t>
  </si>
  <si>
    <t>ТРАСА, ТОТАЛ</t>
  </si>
  <si>
    <t>УТС, ДОБР ИСП</t>
  </si>
  <si>
    <t>1. Претензионный порядок соблюден; 2. Опечатка в дате выплаты неустойки</t>
  </si>
  <si>
    <t>1. Возврата комплекта документов не было</t>
  </si>
  <si>
    <t>CONTACT</t>
  </si>
  <si>
    <t>Выплата по системе контакт, но есть письмо от банка, что выплаты через contact не осуществляются</t>
  </si>
  <si>
    <t>1. Не дана оценка доводам Завителя о том, что банк не осуществляет выплаты по системе CONTACT</t>
  </si>
  <si>
    <t>НЕ ВПИСАН В ПОЛИС</t>
  </si>
  <si>
    <t>Водитель не вписан в полис</t>
  </si>
  <si>
    <t>1. Переписано вынесенное, решение, документы не анализировались; 2. Нет обращения к ФУ; 2. Нет досудебное претензии; 3. Нет выплаты неустойки; 4. неверная оценка по экспертизе (отказана как после 01.06, хотя по факту проведена в 2016 году)</t>
  </si>
  <si>
    <t>1. Не проанализирована первая выплата</t>
  </si>
  <si>
    <t>Неустйока на сроки выполнения ремонта</t>
  </si>
  <si>
    <t>Неустойка на решение ФУ и просто нврушение срока (первая выплата)</t>
  </si>
  <si>
    <t>1. Не тот виновник; 2. Указаны неверные даты, взяты из прошлого решения</t>
  </si>
  <si>
    <t>1. Не указана экспертиза ФО; 2. Не верные номер и дата обращения; 3. Неверно расчитана неустойка (неправильно посчитан период)</t>
  </si>
  <si>
    <t>НЕУСТОЙКА, ФС, СУД</t>
  </si>
  <si>
    <t>Два раза обращался с заявлением, второй раз после отказа судом. Исчисляем неустойку со второго раза</t>
  </si>
  <si>
    <t>1. Неверно определена дата обращения в ФО; 2. Не прописан первый суд; 3. Не прописано второе обращение в ФО с заявлением</t>
  </si>
  <si>
    <t>1. Не указан полис Заявителя, хотя он есть</t>
  </si>
  <si>
    <t>Прописали, что нет сведений о получении ННР Заявителем, хотя он утверждает, что получил</t>
  </si>
  <si>
    <t>Нет сведений о выплате другой ФО, тогда как полис, по которому идет Заявитель заключен после 01.05.2019</t>
  </si>
  <si>
    <t>Неидентифицированные расходы</t>
  </si>
  <si>
    <t>1. Указано, что ДТП без участия, хотя есть справка и постановление 2. Нет абзаца про сроки рассмотрения претензии</t>
  </si>
  <si>
    <t>НЕУСТОЙКА, СУД, ФУ</t>
  </si>
  <si>
    <t>1. Не разобралась в требованиях; 2. Мотивировка не соответствует сути решения</t>
  </si>
  <si>
    <t>Просит неустойку на неустойку. Суд 1 взыскивает неустойку. Потом Суд 2 взыскивает страховое. Потом ФУ взыскивает неустойку в том чилсе за период, взысканный судом. Отказываем, т.к. общая сумма выплаченной неустойки уже превышает установленную законом</t>
  </si>
  <si>
    <t>1. Не тот паспорт; 2. Не та дата в претензии; 3. Ошибка в номере ТС виновника</t>
  </si>
  <si>
    <t>1. Не тот полис виновника; 2. Не тот виновник; 3. Не дана оценка доводам Заявителя о подписании соглашения</t>
  </si>
  <si>
    <t>1. Не тот виновник; 2. Не та дата ДТП, 3. Опечатка в марке ТС; 4. Опечатка в названии НТЭ Заявителя</t>
  </si>
  <si>
    <t>1. Потерпевшая не пассажир, а пешеход; 2. Опечатка в номере ТС виновника</t>
  </si>
  <si>
    <t>Нет заявления о пропуске срока, хотя срок "исковой давности" пропущен</t>
  </si>
  <si>
    <t>Договор цессии не расторгнут</t>
  </si>
  <si>
    <t>Выдали не в срок</t>
  </si>
  <si>
    <t>Проверил, версия годная. Ждем документы на оплату неустойки от ФО</t>
  </si>
  <si>
    <t>1. Неустойка начислена не на все выплаты и периоды</t>
  </si>
  <si>
    <t xml:space="preserve">НЕУСТОЙКА, </t>
  </si>
  <si>
    <t>Сложная неустйока, много выплат и периодов. Судом взыскана неустойка на период по середине</t>
  </si>
  <si>
    <t>Count</t>
  </si>
  <si>
    <t>В договоре цессии указана другая дата ДТП и другая ФО. Направил Эдуарду посмотреть, должен переложить и я согласую. Есть договор с ФО с перной датой и ФО, но не верный № договора ОСАГО</t>
  </si>
  <si>
    <t>ПОГРЕБЕНИЕ</t>
  </si>
  <si>
    <t>Взыскание расходов на погребение со второй ФО. Первая выплатила 25000, сумма расходов 31000</t>
  </si>
  <si>
    <t>1. Взыскана сумма, превышающая расходы на погребение 2. Не верно определена начальная даты исчисления неустйоки; 3. Ограничение неустйоки 400000, хотя надо 500000</t>
  </si>
  <si>
    <t>1. Нужно прекращать, но решение на отказ</t>
  </si>
  <si>
    <t>Было два возврата документов, в третий раз Заявитель обращается без комплекта документов (нет приложении и описи)</t>
  </si>
  <si>
    <t>ИЗНОС</t>
  </si>
  <si>
    <t>С виновника судом взыскана разница между реальными расходами потерпевшего и выплатой по ОСАГО (взыскан износ). Решение суда исполнено. Виновник просит данную выплату взыскать со своей ФО</t>
  </si>
  <si>
    <t>1. Не верно определен период подлежащей взысканию неустойки</t>
  </si>
  <si>
    <t>Версия готова, ждем ОС от Александры</t>
  </si>
  <si>
    <t>Расходы на погребение с неустойкой, обращается виновник, согласно документам ГИБДД, однако решения суда об установления степени вины нет. Взыскиваем половину</t>
  </si>
  <si>
    <t>1. Отказала, но надо взыскивать, т.к. степень вины не установлена</t>
  </si>
  <si>
    <t>1. Нужно прекращать, т.к. был возврат документов, а решение на отказ</t>
  </si>
  <si>
    <t>Возврат премии с 23%</t>
  </si>
  <si>
    <t>1. Нужно вычесть 23%; 2. Не учтены доводы ФО о возврате премии</t>
  </si>
  <si>
    <t>Нужно взыскать, т.к. на часть срока неустойка не начислена. Не согалсен!</t>
  </si>
  <si>
    <t>Нет экспертизы, ждем, Экспертиза пришла 23.04.2020</t>
  </si>
  <si>
    <t>Запрос доп документов. Документы пришли 10.04.2020</t>
  </si>
  <si>
    <t>В шапке удовлетворение, в резолютивной части отказ</t>
  </si>
  <si>
    <t>Взыскание неустойки, а в резолютивке страховое возмещение</t>
  </si>
  <si>
    <t>ВСК или Росгострах? Срок исполнения решения проверяли по ВСК или по РГС?</t>
  </si>
  <si>
    <t>Запрос доп инфо</t>
  </si>
  <si>
    <t>неверное обоснование в части НТЭ. Было решение суда в отношении прямого страховщика в том числе в части возмещения расходов на НТЭ. В то же время по ст 14.1 в случае отзыва лицензии у прямого страховщика страховщик причинителя вреда возмещает только страховое возмещение, к которому не относятся расходы на НТЭ.
У нас есть выработанная позиция по этому вопросу</t>
  </si>
  <si>
    <t>Там очень тонко по датам, пусть прямо напишут последний день срока выдачи направления на ремонт</t>
  </si>
  <si>
    <t>У-20-50206</t>
  </si>
  <si>
    <t>У-20-53274</t>
  </si>
  <si>
    <t>У-20-53377</t>
  </si>
  <si>
    <t>У-20-53473</t>
  </si>
  <si>
    <t>У-20-53573</t>
  </si>
  <si>
    <t>У-20-53693</t>
  </si>
  <si>
    <t>У-20-53695</t>
  </si>
  <si>
    <t>У-20-53817</t>
  </si>
  <si>
    <t>У-20-53878</t>
  </si>
  <si>
    <t>У-20-54005</t>
  </si>
  <si>
    <t>У-20-54008</t>
  </si>
  <si>
    <t>У-20-54141</t>
  </si>
  <si>
    <t>У-20-54172</t>
  </si>
  <si>
    <t>У-20-54288</t>
  </si>
  <si>
    <t>У-20-54396</t>
  </si>
  <si>
    <t>У-20-54406</t>
  </si>
  <si>
    <t>У-20-54449</t>
  </si>
  <si>
    <t>У-20-54679</t>
  </si>
  <si>
    <t>У-20-54730</t>
  </si>
  <si>
    <t>У-20-54809</t>
  </si>
  <si>
    <t>У-20-54896</t>
  </si>
  <si>
    <t>У-20-54981</t>
  </si>
  <si>
    <t>У-20-54993</t>
  </si>
  <si>
    <t>У-20-55015</t>
  </si>
  <si>
    <t>У-20-55114</t>
  </si>
  <si>
    <t>У-20-55190</t>
  </si>
  <si>
    <t>У-20-55203</t>
  </si>
  <si>
    <t>У-20-55205</t>
  </si>
  <si>
    <t>Искоростенская Анна Васильевна</t>
  </si>
  <si>
    <t>Клинцова Лариса Анатольевна</t>
  </si>
  <si>
    <t xml:space="preserve">Гигаури Емзар </t>
  </si>
  <si>
    <t>Халиков Андрей Маратович</t>
  </si>
  <si>
    <t>Бойков Андрей Борисович</t>
  </si>
  <si>
    <t>Волнухин Дмитрий Юрьевич</t>
  </si>
  <si>
    <t>Шиляева Ирина Сергеевна</t>
  </si>
  <si>
    <t>Волоковая Светлана Васильевна</t>
  </si>
  <si>
    <t>Талятов Александр Юрьевич</t>
  </si>
  <si>
    <t>Хинейко Маргарита Игоревна</t>
  </si>
  <si>
    <t>Дрожжин Андрей Валентинович</t>
  </si>
  <si>
    <t>Яруллина Анжела Сергеевна</t>
  </si>
  <si>
    <t>Баранов Илья Алексеевич</t>
  </si>
  <si>
    <t>Эккерт Светлана Николаевна</t>
  </si>
  <si>
    <t>Булатова Зинаида Мартемьяновна</t>
  </si>
  <si>
    <t>Сайдуллаев Султан Багавдинович</t>
  </si>
  <si>
    <t>Вопян Бавакан Артаваздовна</t>
  </si>
  <si>
    <t>Полянский Константин Романович</t>
  </si>
  <si>
    <t>Козлова Марина Александровна</t>
  </si>
  <si>
    <t>Шакура Валерия Валериевна</t>
  </si>
  <si>
    <t>Петров Вадим Юрьевич</t>
  </si>
  <si>
    <t>Оставнова Елена Александровна</t>
  </si>
  <si>
    <t>Печеницын Сергей Георгиевич</t>
  </si>
  <si>
    <t>Штепа Владислав Викторович</t>
  </si>
  <si>
    <t>Талицких Евгений Вячеславович</t>
  </si>
  <si>
    <t>Шлыкова Дарья Витальевна</t>
  </si>
  <si>
    <t>Бахтин Роман Александрович</t>
  </si>
  <si>
    <t>Деменюк Сергей Петрович</t>
  </si>
  <si>
    <t>Много периодов</t>
  </si>
  <si>
    <t>1. Не прописана вторая выплата неустойки; 2. Не указан второй период неустойки, взысканной судом (со дня, следующего за днем вынесения решения и до исполнения)</t>
  </si>
  <si>
    <t>У-20-35483</t>
  </si>
  <si>
    <t>У-20-40373</t>
  </si>
  <si>
    <t>У-20-49257</t>
  </si>
  <si>
    <t>У-20-49762</t>
  </si>
  <si>
    <t>У-20-54757</t>
  </si>
  <si>
    <t>У-20-54844</t>
  </si>
  <si>
    <t>У-20-54874</t>
  </si>
  <si>
    <t>У-20-56206</t>
  </si>
  <si>
    <t>У-20-56240</t>
  </si>
  <si>
    <t>У-20-56556</t>
  </si>
  <si>
    <t>У-20-56566</t>
  </si>
  <si>
    <t>У-20-56585</t>
  </si>
  <si>
    <t>У-20-56661</t>
  </si>
  <si>
    <t>У-20-56662</t>
  </si>
  <si>
    <t>У-20-56667</t>
  </si>
  <si>
    <t>У-20-56709</t>
  </si>
  <si>
    <t>У-20-56754</t>
  </si>
  <si>
    <t>У-20-56763</t>
  </si>
  <si>
    <t>У-20-56822</t>
  </si>
  <si>
    <t>У-20-56968</t>
  </si>
  <si>
    <t>У-20-57008</t>
  </si>
  <si>
    <t>У-20-57094</t>
  </si>
  <si>
    <t>У-20-57133</t>
  </si>
  <si>
    <t>У-20-57148</t>
  </si>
  <si>
    <t>У-20-58170</t>
  </si>
  <si>
    <t>У-20-58192</t>
  </si>
  <si>
    <t>У-20-58256</t>
  </si>
  <si>
    <t>У-20-58263</t>
  </si>
  <si>
    <t>ИП Гаврилов Дмитрий Николаевич</t>
  </si>
  <si>
    <t>Магомедхабибов Магомедсалим Умахангаджиевич</t>
  </si>
  <si>
    <t>«Совкомбанк страхование» (АО)</t>
  </si>
  <si>
    <t>Моисеевцев Владимир Евгеньевич</t>
  </si>
  <si>
    <t>Аксёнов Никита Игоревич</t>
  </si>
  <si>
    <t>Кубов Алексей Александрович</t>
  </si>
  <si>
    <t>Гайдамович Евгений Анатольевич</t>
  </si>
  <si>
    <t>Кустов Андрей Евгеньевич</t>
  </si>
  <si>
    <t>Чекан Вадим Викторович</t>
  </si>
  <si>
    <t>Пашян Ирина Гришаевна</t>
  </si>
  <si>
    <t>Резвых Виталий Николаевич</t>
  </si>
  <si>
    <t>Малыгина Ирина Александровна</t>
  </si>
  <si>
    <t>Сайфутдинов Ришат Иршатович</t>
  </si>
  <si>
    <t>Аброськина Ольга Васильевна</t>
  </si>
  <si>
    <t>Рыбалченко Ольга Николаевна</t>
  </si>
  <si>
    <t>Угарина Ольга Николаевна</t>
  </si>
  <si>
    <t>Гранченко Алена Викторовна</t>
  </si>
  <si>
    <t>Чистякова Ирина Николаевна</t>
  </si>
  <si>
    <t>Зуев Дмитрий Николаевич</t>
  </si>
  <si>
    <t>Алексеева Евгения Алексеевна</t>
  </si>
  <si>
    <t>Яшин Андрей Вячеславович</t>
  </si>
  <si>
    <t>Абукова Светлана Амировна</t>
  </si>
  <si>
    <t>Зверева Анастасия Михайловна</t>
  </si>
  <si>
    <t>Оруджев Эльдар Исраил Оглы</t>
  </si>
  <si>
    <t>Шестакова Наталья Николаевна</t>
  </si>
  <si>
    <t>Бирдигулов Алик Вагизович</t>
  </si>
  <si>
    <t>Айрапетян Геворик Альбертович</t>
  </si>
  <si>
    <t>Ширяевский Алексей Александрович</t>
  </si>
  <si>
    <t>Романов Павел Владимирович</t>
  </si>
  <si>
    <t>Bз проекта решения нельзя сделать вывод об обоюдной вине. В действиях второго участника не зафиксировано никаких нарушений</t>
  </si>
  <si>
    <t>01.06 - 05.06</t>
  </si>
  <si>
    <t>08.06 - 12.06</t>
  </si>
  <si>
    <t>У-20-59556</t>
  </si>
  <si>
    <t>Гамзатова Фарида Газидибировна</t>
  </si>
  <si>
    <t>НАТУРАЛЬНАЯ ФОРМЫ</t>
  </si>
  <si>
    <t>У-20-59561</t>
  </si>
  <si>
    <t>У-20-59596</t>
  </si>
  <si>
    <t>У-20-59599</t>
  </si>
  <si>
    <t>У-20-59600</t>
  </si>
  <si>
    <t>У-20-59637</t>
  </si>
  <si>
    <t>У-20-59638</t>
  </si>
  <si>
    <t>У-20-59641</t>
  </si>
  <si>
    <t>У-20-59645</t>
  </si>
  <si>
    <t>У-20-59646</t>
  </si>
  <si>
    <t>У-20-59649</t>
  </si>
  <si>
    <t>У-20-59650</t>
  </si>
  <si>
    <t>У-20-59651</t>
  </si>
  <si>
    <t>У-20-59653</t>
  </si>
  <si>
    <t>У-20-59655</t>
  </si>
  <si>
    <t>У-20-59659</t>
  </si>
  <si>
    <t>У-20-59660</t>
  </si>
  <si>
    <t>У-20-59661</t>
  </si>
  <si>
    <t>У-20-59663</t>
  </si>
  <si>
    <t>У-20-59665</t>
  </si>
  <si>
    <t>Емелин Степан Александрович</t>
  </si>
  <si>
    <t>Сахно Татьяна Александровна</t>
  </si>
  <si>
    <t>Будаев Эльдар Русланович</t>
  </si>
  <si>
    <t>Мехралиева Айгун Ариф Кызы</t>
  </si>
  <si>
    <t>Самохина Марина Николаевна</t>
  </si>
  <si>
    <t>Исупов Сергей Васильевич</t>
  </si>
  <si>
    <t>НИКУЛИЧЕВ ЕВГЕНИЙ Андреевич</t>
  </si>
  <si>
    <t>Калугин Валентин Вячеславович</t>
  </si>
  <si>
    <t>Шихалиев Абдулмужид Абдулсамедович</t>
  </si>
  <si>
    <t>Шубин Юрий Анатольевич</t>
  </si>
  <si>
    <t>Семенов Алексей Сергеевич</t>
  </si>
  <si>
    <t>Ващенко Сергей Иванович</t>
  </si>
  <si>
    <t>Вдовин Константин Юрьевич</t>
  </si>
  <si>
    <t>Землянухин Сергей Николаевич</t>
  </si>
  <si>
    <t>Горбунов Андрей Анатольевич</t>
  </si>
  <si>
    <t>Абдулхаджиев Азамат Магомедович</t>
  </si>
  <si>
    <t>Подгорный Николай Анатольевич</t>
  </si>
  <si>
    <t>Коновалов Валерий Викторович</t>
  </si>
  <si>
    <t>Шаповалов Георгий Владимирович</t>
  </si>
  <si>
    <t>У-20-60719</t>
  </si>
  <si>
    <t>У-20-60838</t>
  </si>
  <si>
    <t>У-20-60869</t>
  </si>
  <si>
    <t>У-20-60870</t>
  </si>
  <si>
    <t>У-20-60871</t>
  </si>
  <si>
    <t>У-20-60872</t>
  </si>
  <si>
    <t>У-20-60873</t>
  </si>
  <si>
    <t>У-20-60876</t>
  </si>
  <si>
    <t>У-20-60878</t>
  </si>
  <si>
    <t>У-20-60880</t>
  </si>
  <si>
    <t>У-20-60881</t>
  </si>
  <si>
    <t>У-20-60883</t>
  </si>
  <si>
    <t>У-20-60885</t>
  </si>
  <si>
    <t>У-20-60887</t>
  </si>
  <si>
    <t>У-20-60889</t>
  </si>
  <si>
    <t>У-20-60890</t>
  </si>
  <si>
    <t>У-20-60893</t>
  </si>
  <si>
    <t>У-20-60895</t>
  </si>
  <si>
    <t>У-20-60896</t>
  </si>
  <si>
    <t>У-20-60897</t>
  </si>
  <si>
    <t>У-20-60898</t>
  </si>
  <si>
    <t>У-20-61558</t>
  </si>
  <si>
    <t>У-20-61559</t>
  </si>
  <si>
    <t>У-20-61560</t>
  </si>
  <si>
    <t>У-20-61563</t>
  </si>
  <si>
    <t>У-20-61565</t>
  </si>
  <si>
    <t>У-20-61567</t>
  </si>
  <si>
    <t>У-20-61568</t>
  </si>
  <si>
    <t>У-20-61569</t>
  </si>
  <si>
    <t>У-20-61570</t>
  </si>
  <si>
    <t>У-20-61571</t>
  </si>
  <si>
    <t>У-20-61574</t>
  </si>
  <si>
    <t>У-20-61575</t>
  </si>
  <si>
    <t>У-20-61576</t>
  </si>
  <si>
    <t>У-20-61577</t>
  </si>
  <si>
    <t>У-20-61579</t>
  </si>
  <si>
    <t>У-20-61581</t>
  </si>
  <si>
    <t>У-20-61583</t>
  </si>
  <si>
    <t>У-20-61584</t>
  </si>
  <si>
    <t>У-20-61586</t>
  </si>
  <si>
    <t>У-20-61587</t>
  </si>
  <si>
    <t>У-20-61590</t>
  </si>
  <si>
    <t>У-20-61592</t>
  </si>
  <si>
    <t>У-20-61593</t>
  </si>
  <si>
    <t>У-20-62312</t>
  </si>
  <si>
    <t>У-20-62314</t>
  </si>
  <si>
    <t>У-20-62315</t>
  </si>
  <si>
    <t>У-20-62316</t>
  </si>
  <si>
    <t>У-20-62319</t>
  </si>
  <si>
    <t>У-20-62323</t>
  </si>
  <si>
    <t>У-20-62324</t>
  </si>
  <si>
    <t>У-20-62325</t>
  </si>
  <si>
    <t>У-20-62326</t>
  </si>
  <si>
    <t>У-20-62327</t>
  </si>
  <si>
    <t>У-20-62329</t>
  </si>
  <si>
    <t>У-20-62333</t>
  </si>
  <si>
    <t>У-20-62334</t>
  </si>
  <si>
    <t>У-20-62335</t>
  </si>
  <si>
    <t>У-20-62336</t>
  </si>
  <si>
    <t>У-20-63248</t>
  </si>
  <si>
    <t>У-20-63258</t>
  </si>
  <si>
    <t>У-20-63264</t>
  </si>
  <si>
    <t>У-20-63267</t>
  </si>
  <si>
    <t>У-20-63279</t>
  </si>
  <si>
    <t>У-20-63290</t>
  </si>
  <si>
    <t>Миронов Дмитрий Васильевич</t>
  </si>
  <si>
    <t>Колесник Марина Викторовна</t>
  </si>
  <si>
    <t>АЛИЕВ СУРХАЙ Арзу Оглы</t>
  </si>
  <si>
    <t>Абакаров Тагиргаджи Сиражудинович</t>
  </si>
  <si>
    <t>Гараньков Андрей Юрьевич</t>
  </si>
  <si>
    <t>Адилов Нурутдин Мусакаевич</t>
  </si>
  <si>
    <t>Прокопов Герман Валерьевич</t>
  </si>
  <si>
    <t>Осенчугова Светлана Сергеевна</t>
  </si>
  <si>
    <t>Почанин Юрий Николаевич</t>
  </si>
  <si>
    <t>Арустамян Роман Александрович</t>
  </si>
  <si>
    <t>Аполлонов Илья Викторович</t>
  </si>
  <si>
    <t>Хисамутдинов Фаниль Фаимович</t>
  </si>
  <si>
    <t>Почанина Елена Владимировна</t>
  </si>
  <si>
    <t>Колесова Светлана Владимировна</t>
  </si>
  <si>
    <t>Исаева Татьяна Владимировна</t>
  </si>
  <si>
    <t>Захаров Алексей Александрович</t>
  </si>
  <si>
    <t>Бобрышева Евгения Дмитриевна</t>
  </si>
  <si>
    <t>Гайдарханова Зухра Солтанмурадовна</t>
  </si>
  <si>
    <t>Гареев Айнур Фаильевич</t>
  </si>
  <si>
    <t>Мастаков Кирилл Игоревич</t>
  </si>
  <si>
    <t>Навасардян Армен Григорьевич</t>
  </si>
  <si>
    <t>Ибоян Норайр Аликович</t>
  </si>
  <si>
    <t>Лоскутова Евгения Вадимовна</t>
  </si>
  <si>
    <t>Гущина Юлия Евгеньевна</t>
  </si>
  <si>
    <t>Паршин Игорь Викторович</t>
  </si>
  <si>
    <t>Сукиасян Армен Грачикович</t>
  </si>
  <si>
    <t>Баталов Александр Викторович</t>
  </si>
  <si>
    <t>Турк Аслан Довлетмизович</t>
  </si>
  <si>
    <t>Осенов Олег Николаевич</t>
  </si>
  <si>
    <t>Осин Дмитрий Сергеевич</t>
  </si>
  <si>
    <t>Кнышов Владимир Васильевич</t>
  </si>
  <si>
    <t>Усов Александр Викторович</t>
  </si>
  <si>
    <t>Малакеева Юлия Александровна</t>
  </si>
  <si>
    <t>Джиоев Байрам Григорьевич</t>
  </si>
  <si>
    <t>Майборода Степан Иванович</t>
  </si>
  <si>
    <t>Моисеев Дмитрий Павлович</t>
  </si>
  <si>
    <t>Малеев Максим Александрович</t>
  </si>
  <si>
    <t>Сметанин Александр Николаевич</t>
  </si>
  <si>
    <t>Беден Бенетта Резуановна</t>
  </si>
  <si>
    <t>Васильев Анатолий Александрович</t>
  </si>
  <si>
    <t>Попов Андрей Сергеевич</t>
  </si>
  <si>
    <t>Елизарова Ирина Александровна</t>
  </si>
  <si>
    <t>Кондакова Светлана Александровна</t>
  </si>
  <si>
    <t>Ситкин Аслан Умарович</t>
  </si>
  <si>
    <t>Карапетян Норик Вагаршакович</t>
  </si>
  <si>
    <t>Евдокимов Алексей Евгеньевич</t>
  </si>
  <si>
    <t>Боссерт Мария Викторовна</t>
  </si>
  <si>
    <t>Булатов Сергей Николаевич</t>
  </si>
  <si>
    <t>Мышкин Артем Александрович</t>
  </si>
  <si>
    <t>Хубаев Гела Гивиевич</t>
  </si>
  <si>
    <t>Гончарова Раиса Сергеевна</t>
  </si>
  <si>
    <t>Крестовский Генрих Валерьевич</t>
  </si>
  <si>
    <t>Лунев Валерий Александрович</t>
  </si>
  <si>
    <t>Матвеева Екатерина Владимировна</t>
  </si>
  <si>
    <t>Баркалова Наталья Семеновна</t>
  </si>
  <si>
    <t>Тарба Дамир Олегович</t>
  </si>
  <si>
    <t>Гарифьянов Артем Александрович</t>
  </si>
  <si>
    <t>Здорова Юлия Александровна</t>
  </si>
  <si>
    <t>Шестаков Олег Иванович</t>
  </si>
  <si>
    <t>Гужов Сергей Николаевич</t>
  </si>
  <si>
    <t>Кудра Валентина Геннадьевна</t>
  </si>
  <si>
    <t>Петров Юрий Михайлович</t>
  </si>
  <si>
    <t>Братко Светлана Сергеевна</t>
  </si>
  <si>
    <t>DIFF</t>
  </si>
  <si>
    <t>15.06 - 19.06</t>
  </si>
  <si>
    <t>TOTAL STAT</t>
  </si>
  <si>
    <t>1. Арифметическая ошибка в расчете неустойки</t>
  </si>
  <si>
    <t>Решением суда взыскана неустйока за неустановленный период</t>
  </si>
  <si>
    <t>1. Нужно прекращать по срокам давности</t>
  </si>
  <si>
    <t>1. Не учтены поступившие документы; 2. Не та дата решения; 3. Нет даты первоначального обращения в ФО; 4. Не верный расчет неустойки</t>
  </si>
  <si>
    <t>1. Не та дата выплаты; 2. Не верный расчет неустйоки</t>
  </si>
  <si>
    <t>У-20-58078</t>
  </si>
  <si>
    <t>Сурыгина Наталья Викторовна</t>
  </si>
  <si>
    <t>Киреев Алексей Владимирович</t>
  </si>
  <si>
    <t>У-20-58066</t>
  </si>
  <si>
    <t>Короленко Александр Сергеевич</t>
  </si>
  <si>
    <t>Повторный запрос в ФО. Решение ФУ не исполнено.</t>
  </si>
  <si>
    <t>Говорят, что выплатили, нужо направить запрос о платежке</t>
  </si>
  <si>
    <t>НЕД 16</t>
  </si>
  <si>
    <t>НЕД 17</t>
  </si>
  <si>
    <t>НЕД 18</t>
  </si>
  <si>
    <t>НЕД 19</t>
  </si>
  <si>
    <t>У-20-60451</t>
  </si>
  <si>
    <t>Сергеев Михаил Александрович</t>
  </si>
  <si>
    <t>У-20-58117</t>
  </si>
  <si>
    <t>Агарзаев Рустам Алиметович</t>
  </si>
  <si>
    <t>У-20-60449</t>
  </si>
  <si>
    <t>Морозова Елена Николаевна</t>
  </si>
  <si>
    <t>У-20-43678</t>
  </si>
  <si>
    <t>Пессериди Николай Евстафиевич</t>
  </si>
  <si>
    <t>Все проверил, выложил верную версию. Нужно направить доп запрос о предоставлении документов на оплату неустойки. ФО пишет, что организовало выплату. Перепроверить сроки, в решении сроки указаны с момента предоставления реквизитов</t>
  </si>
  <si>
    <t>1. Пропуск текста (кто обратился с претензией); 2. выносит решение не служба, а фин)</t>
  </si>
  <si>
    <t>1. По НТЭ ФУ ТОТАЛ, а не ущерб; 2. Выплата неустйоки вместе с ФС; 3. есть еще требование о выплате убытков</t>
  </si>
  <si>
    <t>1. Нет оснвоания для отказа, т.к. полис действовал на момент ДТП, смена собственника не имеет значения; 2. УТС БР. 3. В резолютивной части все требования отказаны, хотя часть БР.</t>
  </si>
  <si>
    <t>1. Не те сроки начисления неустойки; 2. Нет ограничения по сумме премии; 3. Нет учтена ранее взысканная судом неустойка</t>
  </si>
  <si>
    <t>ДТП 2014 года. Старые правила ОСАГО. Предоставил не все дкоументы, но запросили поздно
У-20-53012
https://smp.sfurf.office/sd/operator/#uuid:document$192739186</t>
  </si>
  <si>
    <t>У-20-60452</t>
  </si>
  <si>
    <t>Золотарев Иван Николаевич</t>
  </si>
  <si>
    <t>1. Юр услуги БР; 2. Нет платежного поручения</t>
  </si>
  <si>
    <t>Какие расходы на погребение?! И что значит "решением суда невозможно определить период"?</t>
  </si>
  <si>
    <t>У-20-60494</t>
  </si>
  <si>
    <t>Шатилов Андрей Николаевич</t>
  </si>
  <si>
    <t>1. По НТЭ Заявителя ТОТАЛ, нужно уходить на НТЭ, а не отказывать по смене формы</t>
  </si>
  <si>
    <t>1. Неверный расчет неустойки</t>
  </si>
  <si>
    <t>СРОК ДАВНОСТИ, ЖИЗНЬ</t>
  </si>
  <si>
    <t>Три полиса ОСАГО в РГС</t>
  </si>
  <si>
    <t>1. Неверное определена дата первоначального обращения; 2. Прописано первоначальное обращение не Заявителя, а другого лица</t>
  </si>
  <si>
    <t>1. Не описаны все документы по вине</t>
  </si>
  <si>
    <t>Нет документов. ФО ссылается на оакогольное опьянение, но оно от другого ДТП</t>
  </si>
  <si>
    <t>АЛКОГОЛЬ</t>
  </si>
  <si>
    <t>замечания в почте. С учетом ограничений 91 тыс, потом вычитаем из 77 тыс. Расчет правильный, слова плохо расставлены</t>
  </si>
  <si>
    <t>У-20-60485</t>
  </si>
  <si>
    <t>Рейш Татьяна Валерьевна</t>
  </si>
  <si>
    <t>У-20-50273</t>
  </si>
  <si>
    <t>Гундерцев Сергей Евгеньевич</t>
  </si>
  <si>
    <t>1. Делаем отложную неустойку до даты исполнения решения, а не прекращаем</t>
  </si>
  <si>
    <t>НЕУСТОЙКА, СУД, ПЕРИОД</t>
  </si>
  <si>
    <t>Неидентифицированная выплата, поэтому применяем очередность погашения требований (319 и 319.1)</t>
  </si>
  <si>
    <t>У-20-45846</t>
  </si>
  <si>
    <t>Митюшов Максим Петрович</t>
  </si>
  <si>
    <t>У-20-47027</t>
  </si>
  <si>
    <t>Двужилов Алексей Алексеевич</t>
  </si>
  <si>
    <t>1. Указаны не те суммы по Нтэ ФУ, поэтому вместо решения на отказ, вынеесено решение об удовлетворении</t>
  </si>
  <si>
    <t>Нужно запросить платежку на НДФЛ, если придет, то оставить решение как есть, все норм, если не придет, то взыскать сумму НДФЛ</t>
  </si>
  <si>
    <t>После суда с периодом, ТС и здоровье</t>
  </si>
  <si>
    <t>1. Срок давности исчислен не с того обращения (в первую СК) , а с обращения в ФО виновника он не истек</t>
  </si>
  <si>
    <t>У-20-47045</t>
  </si>
  <si>
    <t>Шишкин Вадим Александрович</t>
  </si>
  <si>
    <t>У-20-61016</t>
  </si>
  <si>
    <t>Рязанов Виталий Юрьевич</t>
  </si>
  <si>
    <t>У-20-42667</t>
  </si>
  <si>
    <t>У-20-42737</t>
  </si>
  <si>
    <t>У-20-42833</t>
  </si>
  <si>
    <t>У-20-43530</t>
  </si>
  <si>
    <t>У-20-43611</t>
  </si>
  <si>
    <t>У-20-44723</t>
  </si>
  <si>
    <t>У-20-44959</t>
  </si>
  <si>
    <t>У-20-45105</t>
  </si>
  <si>
    <t>У-20-46385</t>
  </si>
  <si>
    <t>У-20-46468</t>
  </si>
  <si>
    <t>АО "ЮНИТИ СТРАХОВАНИЕ"</t>
  </si>
  <si>
    <t>Сафронов Андрей Евгеньевич</t>
  </si>
  <si>
    <t>Лапин Степан Александрович</t>
  </si>
  <si>
    <t>Моисеев Михаил Михайлович</t>
  </si>
  <si>
    <t>Ильичев Александр Алексеевич</t>
  </si>
  <si>
    <t>Борисов Александр Васильевич</t>
  </si>
  <si>
    <t>Трофимов Артемий Сергеевич</t>
  </si>
  <si>
    <t>Тимонин Виталий Викторович</t>
  </si>
  <si>
    <t>Довгаль Андрей Юрьевич</t>
  </si>
  <si>
    <t>Мусаев Усман Ахмедович</t>
  </si>
  <si>
    <t>Шебалина Ксения Сергеевна</t>
  </si>
  <si>
    <t>У-20-64117</t>
  </si>
  <si>
    <t>Григорьев Сергей Владимирович</t>
  </si>
  <si>
    <t>НЕ ТА ФО</t>
  </si>
  <si>
    <t>У-20-63071</t>
  </si>
  <si>
    <t>Ашихмин Сергей Алексеевич</t>
  </si>
  <si>
    <t>1. Не рассмотрена одна выплата по решению суда</t>
  </si>
  <si>
    <t>Суд взыскал износ, т.к. не было оснований для выплаты деньгами, хотя было подписано соглашение об определении формы выплаты. Решение обжалуется и нет сведений о его отмене в апелляции</t>
  </si>
  <si>
    <t>Дежурный ФУ</t>
  </si>
  <si>
    <t>Никитина С.В.</t>
  </si>
  <si>
    <t>Писаревский Е.Л.</t>
  </si>
  <si>
    <t>Климов В.В.</t>
  </si>
  <si>
    <t>1. Эвакуация БР; 2. Поплыла неустойка</t>
  </si>
  <si>
    <t>1. Нужно направлть на НТЭ, т.к. по НТЭ Заявителя ущерб более 400 000</t>
  </si>
  <si>
    <t>Частью 1 статьи 12 Закона № 40-ФЗ предусмотрено, что потерпевший вправе предъявить страховщику требование о возмещении вреда, причиненного его жизни, здоровью или имуществу при использовании транспортного средства, в пределах страховой суммы, установленной данным законом, путем предъявления страховщику заявления о страховом возмещении или прямом возмещении убытков и документов, предусмотренных правилами обязательного страхования.
Согласно пункту 1 статьи 1079 Гражданского кодекса Российской Федерации (далее – ГК РФ) юридические лица и граждане, деятельность которых связана с повышенной опасностью для окружающих (использование транспортных средств, механизмов, электрической энергии высокого напряжения, атомной энергии, взрывчатых веществ, сильнодействующих ядов и т.п. осуществление строительной и иной, связанной с нею деятельности и др.), обязаны возместить вред, причиненный источником повышенной опасности, если не докажут, что вред возник вследствие непреодолимой силы или умысла потерпевшего.
Пунктом 3 статьи 1079 ГК РФ установлено, что владельцы источников повышенной опасности солидарно несут ответственность за вред, причиненный в результате взаимодействия этих источников (столкновения транспортных средств и т.п.) третьим лицам по основаниям, предусмотренным пунктом 1 статьи 1079 ГК РФ.
В силу пункта 1 статьи 4 Закона № 40-ФЗ, владельцы транспортных средств обязаны на условиях и в порядке, которые установлены Законом № 40-ФЗ страховать риск своей гражданской ответственности, которая может наступить вследствие причинения вреда жизни, здоровью или имуществу других лиц при использовании транспортных средств.
В соответствии со статьей 1 Закона № 40-ФЗ страховым случаем является наступление гражданской ответственности владельца транспортного средства за причинение вреда жизни, здоровью или имуществу потерпевших при использовании транспортного средства, влекущее за собой в соответствии с договором обязательного страхования обязанность страховщика осуществить страховую выплату.
Из Обзора судебной практики Верховного Суда Российской Федерации за второй квартал 2012 года утвержденного Президиумом Верховного Суда Российской Федерации 10.10.2012 следует что, причинение вреда третьему лицу в результате взаимодействия источников повышенной опасности для каждого владельца этих источников влечет наступление страхового случая в рамках договора обязательного страхования, а размер причиненного каждым из них вреда находится в пределах страховой суммы, предусмотренной статьи 7 Закона № 40-ФЗ. 
На основании изложенного, при причинении вреда третьему лицу взаимодействием источников повышенной опасности взыскание страховых выплат в максимальном размере, установленном Законом № 40-ФЗ производится одновременно с двух страховщиков, у которых застрахована гражданская ответственность владельцев транспортных средств, в том числе и в случае, если вина одного из владельцев в причинении вреда отсутствует.
Согласно пункту 47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(далее – Постановление Пленума № 58) в случаях, когда ответственность каждого из солидарных должников по отношению к потерпевшему застрахована разными страховщиками, при причинении вреда вследствие взаимодействия источников повышенной опасности третьему лицу страховщики возмещают вред солидарно. Страховое возмещение в связи с причинением вреда, возникшего в результате дорожно транспортного происшествия вследствие взаимодействия двух источников повышенной опасности третьему лицу, производится каждым страховщиком, у которых застрахована гражданская ответственность владельцев транспортных средств в пределах страховой суммы, установленной статьей 7 Закона № 40-ФЗ, по каждому договору страхования.
Таким образом, в последнем случае ответственность наступает для каждого из владельцев источников повышенной опасности.
В связи с этим, а также учитывая, что страховым случаем по Договору ОСАГО является наступление ответственности владельца транспортного средства, при причинении вреда третьим лицам взаимодействием транспортных средств, когда в силу пункта 3 статьи 1079 ГК РФ наступает ответственность для каждого из владельцев транспортных средств, имеет место не один страховой случай, а страховой случай для каждого договора ОСАГО.
В соответствии с пунктом 7 статьи 12 Закона № 40-ФЗ установлено, что страховая сумма, в пределах которой страховщик при наступлении каждого страхового случая (независимо от их числа в течение срока действия договора обязательного страхования) обязуется возместить потерпевшим причиненный вред, в части возмещения вреда, причиненного жизни или здоровью каждого потерпевшего, составляет 500 000 рублей 00 копеек.
В силу части 1 статьи 422 ГК РФ договор должен соответствовать обязательным для сторон правилам, установленным законом и иными правовыми актами (императивным нормам), действующим в момент его заключения.
Если после заключения договора принят закон, устанавливающий обязательные для сторон правила иные, чем те, которые действовали при заключении договора, условия заключенного договора сохраняют силу, кроме случаев, когда в законе установлено, что его действие распространяется на отношения, возникшие из ранее заключенных договоров (часть 2 статьи 422 ГК РФ).
В пункте 7 Постановления Пленума ВС РФ от 26.12.2017 № 58 указано, что договор обязательного страхования является публичным и должен соответствовать Закону № 40-ФЗ, а также иным правовым актам, принятым в целях его реализации, действующим в момент заключения договора. Изменение положений Закона № 40-ФЗ, Правил после заключения договора не влечет изменения положений договора (в частности, о порядке исполнения, сроках действия, существенных условиях), за исключением случаев, когда закон распространяется на отношения, возникшие из ранее заключенных договоров (пункты 1 и 2 статьи 422 ГК РФ).
Федеральным законом от 01.05.2019 № 88-ФЗ статья 12 Закона № 40-ФЗ дополнена пунктом 9.1, согласно которому в случае, если ответственными за вред, причиненный жизни или здоровью потерпевшего при наступлении одного и того же страхового случая, признаны несколько участников дорожно транспортного происшествия, страховщики солидарно осуществляют страховую выплату потерпевшему в части возмещения указанного вреда в порядке, предусмотренном пунктом 22 статьи 12 Закона № 40-ФЗ. В этом случае общий размер страховой выплаты, осуществленной страховщиками, не может превышать размер страховой суммы, предусмотренной подпунктом «а» статьи 7 Закона № 40-ФЗ. Указанная норма вступила в силу 01.05.2019.</t>
  </si>
  <si>
    <t>1. Недоплата страхового</t>
  </si>
  <si>
    <t>ПРЕКРАЩЕНИЕ ОСАГО ВИНОВНИКА</t>
  </si>
  <si>
    <t>ФО досрочно прекратила действие полиса ОСАГО виновника, но виновник получил уведомление о прекращении после ДТП</t>
  </si>
  <si>
    <t>1. Штраф отказываем, хотя БР; 2. Неверно расчитаны сроки неустойки, не с соглашения, а с 21 дня</t>
  </si>
  <si>
    <t>1. Неустойка после суда, судом неустойка не взыскивалась</t>
  </si>
  <si>
    <t>У-20-63223</t>
  </si>
  <si>
    <t>Миргуй Любовь Федоровна</t>
  </si>
  <si>
    <t>НЕУСТОЙКА, СРОКИ РЕМОНТА</t>
  </si>
  <si>
    <t>Неустойка на сроки ремонта. Мотивировка по 314 ГК, 7 дней с момента требования</t>
  </si>
  <si>
    <t>1. Недоплата страхового, 2. Недоплата УТС, 3. Неустойка с выплатой + отложенная, 4. Экспертиза, 5. Юр услуги. 6. Нотариус</t>
  </si>
  <si>
    <t>1. Ограничение до 400000, хотя без ГИБДД</t>
  </si>
  <si>
    <t>прошу проверить даты: 24.12.2018 САО «ВСК» на расчетный счет Заявителя была произведена выплата расходов на погребение по договору ОСАГО в размере 25 000 рублей 00 копеек, что подтверждается платежным поручением от 19.02.2020 № 3338.</t>
  </si>
  <si>
    <t>У-20-63959</t>
  </si>
  <si>
    <t>Погосян Армен Ромикович</t>
  </si>
  <si>
    <t>1. Страховое 2. Неустойка 3. Экспертиза</t>
  </si>
  <si>
    <t>1. Страховое</t>
  </si>
  <si>
    <t>1. Прекращение по срокам давности</t>
  </si>
  <si>
    <t>Нужно проверить документы на НТЭ, в остальном норм</t>
  </si>
  <si>
    <t>Домашняя птица металась, поцарапала ТС</t>
  </si>
  <si>
    <t>У-20-64546</t>
  </si>
  <si>
    <t>Манафов Самир Афган оглы</t>
  </si>
  <si>
    <t>Запросить документы на оплату неустойки</t>
  </si>
  <si>
    <t>У-20-65041</t>
  </si>
  <si>
    <t>Костюнников Сергей Михайлович</t>
  </si>
  <si>
    <t>УТРАЧЕННЫЙ ЗАРАБОТОК</t>
  </si>
  <si>
    <t>У-20-63387</t>
  </si>
  <si>
    <t>Ярец Наталья Николаевна</t>
  </si>
  <si>
    <t>У-20-63647</t>
  </si>
  <si>
    <t>Провоторова Наталья Алексеевна</t>
  </si>
  <si>
    <t>1. В суде рассматривается дело</t>
  </si>
  <si>
    <t>Недоплата</t>
  </si>
  <si>
    <t>Прописать экспертизу, т.к. есть спор по сумме и обоснование почему с износом</t>
  </si>
  <si>
    <t>НЕД 20</t>
  </si>
  <si>
    <t>НЕД 21</t>
  </si>
  <si>
    <t>НЕД 22</t>
  </si>
  <si>
    <t>1. Не та экспертиза по средней стоимости НТЭ</t>
  </si>
  <si>
    <t>1. Не верно определена дата обращения (дата направления Заявителем, а не получения ФО) 2. Поплыла неустойка</t>
  </si>
  <si>
    <t>1. Другая сумма выплаты</t>
  </si>
  <si>
    <t>Много требований (8)</t>
  </si>
  <si>
    <t>1. Не верно указан полис Заявителя (он есть)</t>
  </si>
  <si>
    <t>Много требований (6)</t>
  </si>
  <si>
    <t>2.1., 8.1., 8.2.</t>
  </si>
  <si>
    <t>Пункты 2.1., 5.1.(БР), 8.1., 8.6., 9 Матрицы</t>
  </si>
  <si>
    <t>У-20-47999</t>
  </si>
  <si>
    <t>У-20-48079</t>
  </si>
  <si>
    <t>У-20-50640</t>
  </si>
  <si>
    <t>У-20-50751</t>
  </si>
  <si>
    <t>У-20-50760</t>
  </si>
  <si>
    <t>У-20-50780</t>
  </si>
  <si>
    <t>У-20-50930</t>
  </si>
  <si>
    <t>У-20-51342</t>
  </si>
  <si>
    <t>У-20-51376</t>
  </si>
  <si>
    <t>У-20-51502</t>
  </si>
  <si>
    <t>У-20-51528</t>
  </si>
  <si>
    <t>У-20-51761</t>
  </si>
  <si>
    <t>У-20-51776</t>
  </si>
  <si>
    <t>У-20-52667</t>
  </si>
  <si>
    <t>У-20-52845</t>
  </si>
  <si>
    <t>У-20-53048</t>
  </si>
  <si>
    <t>У-20-53244</t>
  </si>
  <si>
    <t>У-20-53596</t>
  </si>
  <si>
    <t>У-20-53898</t>
  </si>
  <si>
    <t>У-20-53938</t>
  </si>
  <si>
    <t>У-20-54058</t>
  </si>
  <si>
    <t>У-20-54143</t>
  </si>
  <si>
    <t>У-20-54529</t>
  </si>
  <si>
    <t>У-20-54636</t>
  </si>
  <si>
    <t>У-20-54766</t>
  </si>
  <si>
    <t>У-20-54770</t>
  </si>
  <si>
    <t>У-20-54952</t>
  </si>
  <si>
    <t>У-20-54955</t>
  </si>
  <si>
    <t>У-20-56549</t>
  </si>
  <si>
    <t>У-20-56552</t>
  </si>
  <si>
    <t>У-20-56574</t>
  </si>
  <si>
    <t>У-20-56627</t>
  </si>
  <si>
    <t>У-20-56897</t>
  </si>
  <si>
    <t>У-20-56899</t>
  </si>
  <si>
    <t>У-20-56948</t>
  </si>
  <si>
    <t>У-20-57041</t>
  </si>
  <si>
    <t>У-20-60666</t>
  </si>
  <si>
    <t>У-20-62628</t>
  </si>
  <si>
    <t>У-20-62633</t>
  </si>
  <si>
    <t>У-20-62635</t>
  </si>
  <si>
    <t>У-20-62932</t>
  </si>
  <si>
    <t>У-20-63081</t>
  </si>
  <si>
    <t>У-20-63092</t>
  </si>
  <si>
    <t>У-20-63120</t>
  </si>
  <si>
    <t>У-20-63339</t>
  </si>
  <si>
    <t>У-20-63424</t>
  </si>
  <si>
    <t>У-20-63441</t>
  </si>
  <si>
    <t>У-20-63537</t>
  </si>
  <si>
    <t>У-20-63638</t>
  </si>
  <si>
    <t>У-20-63652</t>
  </si>
  <si>
    <t>У-20-63665</t>
  </si>
  <si>
    <t>У-20-63882</t>
  </si>
  <si>
    <t>У-20-63891</t>
  </si>
  <si>
    <t>У-20-64052</t>
  </si>
  <si>
    <t>У-20-64111</t>
  </si>
  <si>
    <t>У-20-64121</t>
  </si>
  <si>
    <t>У-20-64132</t>
  </si>
  <si>
    <t>У-20-64135</t>
  </si>
  <si>
    <t>У-20-64165</t>
  </si>
  <si>
    <t>У-20-64252</t>
  </si>
  <si>
    <t>У-20-64321</t>
  </si>
  <si>
    <t>У-20-64402</t>
  </si>
  <si>
    <t>У-20-64445</t>
  </si>
  <si>
    <t>У-20-64455</t>
  </si>
  <si>
    <t>У-20-64461</t>
  </si>
  <si>
    <t>У-20-64467</t>
  </si>
  <si>
    <t>У-20-64468</t>
  </si>
  <si>
    <t>У-20-64513</t>
  </si>
  <si>
    <t>У-20-64574</t>
  </si>
  <si>
    <t>У-20-64624</t>
  </si>
  <si>
    <t>У-20-64630</t>
  </si>
  <si>
    <t>У-20-64655</t>
  </si>
  <si>
    <t>У-20-64680</t>
  </si>
  <si>
    <t>У-20-64780</t>
  </si>
  <si>
    <t>У-20-64821</t>
  </si>
  <si>
    <t>У-20-64969</t>
  </si>
  <si>
    <t>У-20-64985</t>
  </si>
  <si>
    <t>У-20-65125</t>
  </si>
  <si>
    <t>У-20-65227</t>
  </si>
  <si>
    <t>У-20-65263</t>
  </si>
  <si>
    <t>У-20-65280</t>
  </si>
  <si>
    <t>У-20-65281</t>
  </si>
  <si>
    <t>У-20-65337</t>
  </si>
  <si>
    <t>У-20-65343</t>
  </si>
  <si>
    <t>У-20-65428</t>
  </si>
  <si>
    <t>У-20-65439</t>
  </si>
  <si>
    <t>У-20-65531</t>
  </si>
  <si>
    <t>У-20-65624</t>
  </si>
  <si>
    <t>У-20-65630</t>
  </si>
  <si>
    <t>У-20-65725</t>
  </si>
  <si>
    <t>У-20-65747</t>
  </si>
  <si>
    <t>У-20-65780</t>
  </si>
  <si>
    <t>У-20-65916</t>
  </si>
  <si>
    <t>У-20-66295</t>
  </si>
  <si>
    <t>У-20-66330</t>
  </si>
  <si>
    <t>У-20-66343</t>
  </si>
  <si>
    <t>У-20-66357</t>
  </si>
  <si>
    <t>У-20-66437</t>
  </si>
  <si>
    <t>У-20-66475</t>
  </si>
  <si>
    <t>У-20-66477</t>
  </si>
  <si>
    <t>У-20-66572</t>
  </si>
  <si>
    <t>У-20-66581</t>
  </si>
  <si>
    <t>У-20-66595</t>
  </si>
  <si>
    <t>У-20-66688</t>
  </si>
  <si>
    <t>У-20-66713</t>
  </si>
  <si>
    <t>У-20-66723</t>
  </si>
  <si>
    <t>У-20-66732</t>
  </si>
  <si>
    <t>У-20-66747</t>
  </si>
  <si>
    <t>У-20-66752</t>
  </si>
  <si>
    <t>У-20-66822</t>
  </si>
  <si>
    <t>У-20-66828</t>
  </si>
  <si>
    <t>У-20-66870</t>
  </si>
  <si>
    <t>У-20-66891</t>
  </si>
  <si>
    <t>У-20-66985</t>
  </si>
  <si>
    <t>У-20-67062</t>
  </si>
  <si>
    <t>У-20-67063</t>
  </si>
  <si>
    <t>У-20-67103</t>
  </si>
  <si>
    <t>У-20-67139</t>
  </si>
  <si>
    <t>У-20-67306</t>
  </si>
  <si>
    <t>У-20-67393</t>
  </si>
  <si>
    <t>У-20-67486</t>
  </si>
  <si>
    <t>Алиев Али Аббаса Оглы</t>
  </si>
  <si>
    <t>Зассеев Батрадз Робертович</t>
  </si>
  <si>
    <t>Мацнева Оксана Сергеевна</t>
  </si>
  <si>
    <t>Ударцева Олеся Александровна</t>
  </si>
  <si>
    <t>Царев Максим Викторович</t>
  </si>
  <si>
    <t>Долгов Олег Борисович</t>
  </si>
  <si>
    <t>Евдокимова Анна Павловна</t>
  </si>
  <si>
    <t>Джинджолия Наур Ревазович</t>
  </si>
  <si>
    <t>Пархимович Никита Дмитриевич</t>
  </si>
  <si>
    <t>Карлин Иван Григорьевич</t>
  </si>
  <si>
    <t>Мусинян Гор Варужанович</t>
  </si>
  <si>
    <t>Дербок Рустам Нальбиевич</t>
  </si>
  <si>
    <t>Кузьмин Руслан Геннадьевич</t>
  </si>
  <si>
    <t>Данелян Роза Владимировна</t>
  </si>
  <si>
    <t>Иванова Мария Александровна</t>
  </si>
  <si>
    <t>Каширская Светлана Владимировна</t>
  </si>
  <si>
    <t>Кудзиева Алана Владимировна</t>
  </si>
  <si>
    <t>Хутова Эльмира Нуралиевна</t>
  </si>
  <si>
    <t>Калашников Дмитрий Сергеевич</t>
  </si>
  <si>
    <t>Дерманский Сергей Николаевич</t>
  </si>
  <si>
    <t>Петроченко Сергей Николаевич</t>
  </si>
  <si>
    <t>Казиев Гаврил Цициевич</t>
  </si>
  <si>
    <t>Кузичев Дмитрий Валентинович</t>
  </si>
  <si>
    <t>Байсаров Руслан Адамович</t>
  </si>
  <si>
    <t>Горшков Роман Александрович</t>
  </si>
  <si>
    <t>Кривоус Олег Андреевич</t>
  </si>
  <si>
    <t>Пашков Сергей Петрович</t>
  </si>
  <si>
    <t>Коломийчук Николай Владимирович</t>
  </si>
  <si>
    <t>Гринько Евгений Олегович</t>
  </si>
  <si>
    <t>Омельченко Арсен Сергеевич</t>
  </si>
  <si>
    <t>Денисов Арсений Борисович</t>
  </si>
  <si>
    <t>Малахов Никита Максимович</t>
  </si>
  <si>
    <t>Азнагулов Радмир Амирович</t>
  </si>
  <si>
    <t>Новичихин Максим Владимирович</t>
  </si>
  <si>
    <t>Исаев Михаил Васильевич</t>
  </si>
  <si>
    <t>Сулейманов Джаваншир Рамазан Оглы</t>
  </si>
  <si>
    <t>Балянов Виталий Евгеньевич</t>
  </si>
  <si>
    <t>Нестеренко Николай Иванович</t>
  </si>
  <si>
    <t>Сорокина Светлана Анатольевна</t>
  </si>
  <si>
    <t>Исалаев Муслим Мусаевич</t>
  </si>
  <si>
    <t>Авдеева Елизавета Борисовна</t>
  </si>
  <si>
    <t>Тер-Геворгян Радик Григоревич</t>
  </si>
  <si>
    <t>Сырчин Сергей Васильевич</t>
  </si>
  <si>
    <t>Хизриев Мухтар Багандович</t>
  </si>
  <si>
    <t>Каменский Евгений Александрович</t>
  </si>
  <si>
    <t>Казанцева Ирина Сергеевна</t>
  </si>
  <si>
    <t>Цыганова Галина Викторовна</t>
  </si>
  <si>
    <t>Корнилина Ирина Владимировна</t>
  </si>
  <si>
    <t>Мошнин Юрий Сергеевич</t>
  </si>
  <si>
    <t>Харченко Инна Владимировна</t>
  </si>
  <si>
    <t>Луньшин Георгий Борисович</t>
  </si>
  <si>
    <t>Коваленко Евгений Федорович</t>
  </si>
  <si>
    <t>Петранин Роман Андреевич</t>
  </si>
  <si>
    <t>Жихарев Виктор Николаевич</t>
  </si>
  <si>
    <t>Кочиев Альберт Алексеевич</t>
  </si>
  <si>
    <t>Дарбинян Серго Ашотович</t>
  </si>
  <si>
    <t>Малухин Александр Викторович</t>
  </si>
  <si>
    <t>Старыгина Татьяна Викторовна</t>
  </si>
  <si>
    <t>Шипулина Мария Васильевна</t>
  </si>
  <si>
    <t>Троцан Виктория Андреевна</t>
  </si>
  <si>
    <t>Коротаев Антон Сергеевич</t>
  </si>
  <si>
    <t>Оголь Алексей Викторович</t>
  </si>
  <si>
    <t>Юрьев Денис Владимирович</t>
  </si>
  <si>
    <t>Расулов Баходур Шокирджонович</t>
  </si>
  <si>
    <t>Донцов Аркадий Игорьевич</t>
  </si>
  <si>
    <t>Черкасских Алексей Сергеевич</t>
  </si>
  <si>
    <t>Ситжанов Алпамыс Булатович</t>
  </si>
  <si>
    <t>Багдасарян Карен Михайлович</t>
  </si>
  <si>
    <t>Заборовский Никита Юрьевич</t>
  </si>
  <si>
    <t>Соломко Бела Александровна</t>
  </si>
  <si>
    <t>Жирков Александр Федорович</t>
  </si>
  <si>
    <t>Лобанов Александр Алексеевич</t>
  </si>
  <si>
    <t>Трофимов Александр Сергеевич</t>
  </si>
  <si>
    <t>Нелюбов Михаил Валерьевич</t>
  </si>
  <si>
    <t>Одинаев Джамшед Мирзорахимович</t>
  </si>
  <si>
    <t>Саркисян Кристина Эдуардовна</t>
  </si>
  <si>
    <t>Князев Дмитрий Николаевич</t>
  </si>
  <si>
    <t>Гаспранова Алина Рустамовна</t>
  </si>
  <si>
    <t>Коперсакова Анастасия Викторовна</t>
  </si>
  <si>
    <t>Чамбаев Валерий Мадиевич</t>
  </si>
  <si>
    <t>Татаринов Григорий Владимирович</t>
  </si>
  <si>
    <t>Варданян Николай Вачаганович</t>
  </si>
  <si>
    <t>Гарашова Дарья Александровна</t>
  </si>
  <si>
    <t>Хориков Дмитрий Николаевич</t>
  </si>
  <si>
    <t>Петросян Эмма Вагифовна</t>
  </si>
  <si>
    <t>Керимова Гюлнабат Алисултановна</t>
  </si>
  <si>
    <t>Хаценко Александр Николаевич</t>
  </si>
  <si>
    <t>Можар Сергей Николаевич</t>
  </si>
  <si>
    <t>Выростков Николай Алексеевич</t>
  </si>
  <si>
    <t>Стародубцев Евгений Николаевич</t>
  </si>
  <si>
    <t>Иванов Сергей Владимирович</t>
  </si>
  <si>
    <t>Абузаров Алмаз Хисматович</t>
  </si>
  <si>
    <t>Бикбулатова Анна Ранифовна</t>
  </si>
  <si>
    <t>Псарев Сергей Александрович</t>
  </si>
  <si>
    <t>ТАМБОВЦЕВ АЛЕКСАНДР Николаевич</t>
  </si>
  <si>
    <t>Сафронов Владислав Олегович</t>
  </si>
  <si>
    <t>Белоглазов Николай Александрович</t>
  </si>
  <si>
    <t>Миличкин Максим Олегович</t>
  </si>
  <si>
    <t>Павлова Мария Сергеевна</t>
  </si>
  <si>
    <t>Косячков Дмитрий Иванович</t>
  </si>
  <si>
    <t>Валиев Марат Гилимханович</t>
  </si>
  <si>
    <t>Желудкова Наталья Юрьевна</t>
  </si>
  <si>
    <t>Попов Евгений Владимирович</t>
  </si>
  <si>
    <t>Соболева Анна Валериевна</t>
  </si>
  <si>
    <t>Верин Денис Николаевич</t>
  </si>
  <si>
    <t>Белов Данил Вячеславович</t>
  </si>
  <si>
    <t>Зазуля Павел Сергеевич</t>
  </si>
  <si>
    <t>Бракоренко Евгений Андреевич</t>
  </si>
  <si>
    <t>Желонкина Светлана Валентиновна</t>
  </si>
  <si>
    <t>Храчков Евгений Юрьевич</t>
  </si>
  <si>
    <t>Севрюгин Александр Иванович</t>
  </si>
  <si>
    <t>Садыхов Нурлан Али Оглы</t>
  </si>
  <si>
    <t>Комиссарова Людмила Петровна</t>
  </si>
  <si>
    <t>Кабиров Эмиль Альбертович</t>
  </si>
  <si>
    <t>Комарова Кристина Сергеевна</t>
  </si>
  <si>
    <t>Псеунов Шухрат Мухадинович</t>
  </si>
  <si>
    <t>Соловьева Елена Юрьевна</t>
  </si>
  <si>
    <t>Баязитов Радик Эдуардович</t>
  </si>
  <si>
    <t>Шулика Ольга Павловна</t>
  </si>
  <si>
    <t>Уcсуббаев Умид Хасанбаевич</t>
  </si>
  <si>
    <t>Пункты 2.1., 5.1. Матрицы</t>
  </si>
  <si>
    <t>Пункты 1.2., 8.1.(БР) Матрицы</t>
  </si>
  <si>
    <t>Пункт 6.1. Матрицы</t>
  </si>
  <si>
    <t>Пункты 5.1., 8.1., 8.2., 8.3. Матрицы</t>
  </si>
  <si>
    <t>Пункты 1.4., 8.4., 8.6. Матрицы</t>
  </si>
  <si>
    <t>Пункты 2.1., 7.1. Матрицы</t>
  </si>
  <si>
    <t>Пункты 4.3., 5.5., 8.1. Матрицы</t>
  </si>
  <si>
    <t>Пункт 5.2. Матрицы</t>
  </si>
  <si>
    <t>Пункты 1.2., 5.1., 8.1. Матрицы</t>
  </si>
  <si>
    <t>Пункты 2.1., 5.1., 8.1., 8.2., 8.3. Матрицы</t>
  </si>
  <si>
    <t>1. Нет анализа 10%</t>
  </si>
  <si>
    <t>Пункты 1.2., 5.1. Матрицы</t>
  </si>
  <si>
    <t>Пункты 2.1., 5.1., 8.1., 8.2., 8.4. Матрицы</t>
  </si>
  <si>
    <t>Пункты 2.1., 8.1. Матрицы</t>
  </si>
  <si>
    <t>Пункт 2.1. Матрицы</t>
  </si>
  <si>
    <t>Пункт 1.1. Матрицы</t>
  </si>
  <si>
    <t>Пункты 4.1., 5.1., 8.1. Матрицы + дефектовка, инвалид без справки</t>
  </si>
  <si>
    <t>Пункт 5.2. Матрицы (неустойка после суда, выплата по соглашению)</t>
  </si>
  <si>
    <t>Пункт 1.1. Матрицы (Заявителем не предоставлены в ФО документы о виновности лица, причинившего вред, само лицо также не установлено)</t>
  </si>
  <si>
    <t>ВИНОВНИК НЕ УСТАНОВЛЕН</t>
  </si>
  <si>
    <t>Пункты 4.1.(БР), 5.1.(на  8.2., 8.4., 8.5.), 8.2., 8.4., 8.5. Матрицы</t>
  </si>
  <si>
    <t>Пункты 3.1., 5.5. Матрицы</t>
  </si>
  <si>
    <t>Пункты 4.1., 8.1., 8.2. Матрицы</t>
  </si>
  <si>
    <t>Пункты 4.1., 8.1., 8.2., 8.5. Матрицы</t>
  </si>
  <si>
    <t>Пункты 5.1., 8.2. Матрицы</t>
  </si>
  <si>
    <t>Пункт 1.1. (срок давности) Матрицы</t>
  </si>
  <si>
    <t>Пункты 5.1., 8.1., 8.2., 10 Матрицы</t>
  </si>
  <si>
    <t>Пункты 5.1., 8.1.(БР), 8.3., 9., 10. Матрицы После решения ФУ</t>
  </si>
  <si>
    <t>Из предоставленных Заявителем и АО «АльфаСтрахование» документов следует, что при оформлении документов по ДТП Урушанов М.Х. указал договор ОСАГО серии ХХХ № 0098780234, заключенный с АО «АльфаСтрахование».
Вместе с тем, согласно сведениям, указанным на сайте Российского Союза Автостраховщиков (www.autoins.ru), договор ОСАГО серии ХХХ № 0098780234 заключен с АО «СО «Талисман» в отношении транспортного средства LАDА 219110 государственный регистрационный номер Х515ВА116, идентификационный номер (VIN) XTA219110FY197580. В отношении транспортного средства Chevrolet Captiva, государственный регистрационный номер В779КА41, идентификационный номер (VIN) XUFCD263593000389 на дату ДТП (24.01.2020) сведений о заключении договора ОСАГО не имеется.</t>
  </si>
  <si>
    <t>1.4., 5.1. Матрицы - отказ в акцепте (полис виновника не представлен, согласно сайту РСА, ТС виновника не застраховано)</t>
  </si>
  <si>
    <t>Пункт 1.1. (коммерческое авто - грузовая газель с рекламой) Матрицы</t>
  </si>
  <si>
    <t>Пункт 5.1. Матрицы</t>
  </si>
  <si>
    <t>1. Описание ДТП не как при обоюдной вине; 2. Не указаны адм материалы</t>
  </si>
  <si>
    <t>Банк выгодоприобретатель, требование о неустойке. Пункт 5.1. Матрицы</t>
  </si>
  <si>
    <t>Пункты 5.1., 8.1. Матрицы</t>
  </si>
  <si>
    <t>Пункт 1.1. (претензионный порядок) Матрицы</t>
  </si>
  <si>
    <t>в удовлетворении требований Сырчина Сергея Васильевича о взыскании... расходов на нотариальные услуги. 
Отказать?
Прошу перепроверить решение.
С Уважением</t>
  </si>
  <si>
    <t>1. Неверная оценка необходимости предоставления договора согласно п. 3.10. Его предоставление не предусмотрено ФЗ-40</t>
  </si>
  <si>
    <t>Пункты 2.1., 5.5., 8.2. Матрицы</t>
  </si>
  <si>
    <t>Пункты 1.2., 5.1.(БР) Матрицы</t>
  </si>
  <si>
    <t>Пункты 3.3., 5.1. (на 3.3.) Матрицы. Утраченный заработок</t>
  </si>
  <si>
    <t>Из проекта решения следует, что ВСК выступал представителем РСА по компвыплате. Другое основание для прекращения</t>
  </si>
  <si>
    <t>Пункт 4.1., 5.1., 7.1. Матрицы</t>
  </si>
  <si>
    <t>Коммерческое использование по Договору КАСКО и ОГРНИП (вид деятельности такси)</t>
  </si>
  <si>
    <t>Пункт 2.1. Матрицы. ТОТАЛ ФО не подтвердился</t>
  </si>
  <si>
    <t>1. По НТЭФУ ТОТАЛ, по нашей нет, нет оснований для анализа 10%, нужно взыскивать</t>
  </si>
  <si>
    <t>Пункты 5.1.(на 8.5.), 8.2., 8.4., 8.5. Матрицы</t>
  </si>
  <si>
    <t>Пункты 1.4., 5.5., 8.1. Матрицы. Отказали, т.к. не предоставил Договор Цессии</t>
  </si>
  <si>
    <t>Пункт 1.8., 8.2. Матрицы</t>
  </si>
  <si>
    <t>1. Не соблюден досудебный порядок</t>
  </si>
  <si>
    <t>Пункты 1.2., 8.1. Матрицы</t>
  </si>
  <si>
    <t>Пункты 1.2., 5.1.(БР), 5.4.(БР), 8.1.(БР), 8.3.(БР) Матрицы</t>
  </si>
  <si>
    <t>Пункт 1.2. Матрицы</t>
  </si>
  <si>
    <t>Пункты 1.2., 8.1., 8.3. Матрицы</t>
  </si>
  <si>
    <t>Пункты 2.1., 5.5., 8.1., 8.2., 8.5. Матрицы</t>
  </si>
  <si>
    <t>1. Эвакуация БР</t>
  </si>
  <si>
    <t>Пункты 2.1., 5.1., 8.1.(БР), 8.2.(БР), 10. Матрицы. Хочет ремонт, выплатили деньгами, но деньги не вернул</t>
  </si>
  <si>
    <t>Пункты 2.1., 8.1., 8.6. Матрицы</t>
  </si>
  <si>
    <t>Пункты 1.2., 5.4.(БР), 8.1., Матрицы</t>
  </si>
  <si>
    <t>Пункт 3.2. Матрицы</t>
  </si>
  <si>
    <t>Пункт 4.1. Матрицы + демонтаж.</t>
  </si>
  <si>
    <t>1. Очень много фактологических ошибок; 2. Не прописано первое ННР, которое в срок; 3. Прописано второе, которое не в срок, но вывод о том, что в срок. 4. Нет описания ДТП</t>
  </si>
  <si>
    <t>Пункт 1.5. Матрицы</t>
  </si>
  <si>
    <t>У-20-37752</t>
  </si>
  <si>
    <t>У-20-41725</t>
  </si>
  <si>
    <t>У-20-67226</t>
  </si>
  <si>
    <t>У-20-67277</t>
  </si>
  <si>
    <t>У-20-67330</t>
  </si>
  <si>
    <t>У-20-67343</t>
  </si>
  <si>
    <t>У-20-67380</t>
  </si>
  <si>
    <t>У-20-67448</t>
  </si>
  <si>
    <t>У-20-67611</t>
  </si>
  <si>
    <t>У-20-67623</t>
  </si>
  <si>
    <t>У-20-67692</t>
  </si>
  <si>
    <t>У-20-67728</t>
  </si>
  <si>
    <t>У-20-67731</t>
  </si>
  <si>
    <t>У-20-67740</t>
  </si>
  <si>
    <t>У-20-67747</t>
  </si>
  <si>
    <t>У-20-67804</t>
  </si>
  <si>
    <t>У-20-67807</t>
  </si>
  <si>
    <t>У-20-67938</t>
  </si>
  <si>
    <t>У-20-67971</t>
  </si>
  <si>
    <t>У-20-67985</t>
  </si>
  <si>
    <t>У-20-68226</t>
  </si>
  <si>
    <t>У-20-68257</t>
  </si>
  <si>
    <t>У-20-68401</t>
  </si>
  <si>
    <t>У-20-68443</t>
  </si>
  <si>
    <t>У-20-68461</t>
  </si>
  <si>
    <t>У-20-68665</t>
  </si>
  <si>
    <t>У-20-68697</t>
  </si>
  <si>
    <t>У-20-68699</t>
  </si>
  <si>
    <t>У-20-68722</t>
  </si>
  <si>
    <t>У-20-68777</t>
  </si>
  <si>
    <t>У-20-68904</t>
  </si>
  <si>
    <t>У-20-68965</t>
  </si>
  <si>
    <t>У-20-69016</t>
  </si>
  <si>
    <t>У-20-69042</t>
  </si>
  <si>
    <t>У-20-69043</t>
  </si>
  <si>
    <t>У-20-69183</t>
  </si>
  <si>
    <t>У-20-69252</t>
  </si>
  <si>
    <t>У-20-69190</t>
  </si>
  <si>
    <t>У-20-69265</t>
  </si>
  <si>
    <t>У-20-69274</t>
  </si>
  <si>
    <t>У-20-69312</t>
  </si>
  <si>
    <t>У-20-69324</t>
  </si>
  <si>
    <t>У-20-69350</t>
  </si>
  <si>
    <t>У-20-69372</t>
  </si>
  <si>
    <t>У-20-69441</t>
  </si>
  <si>
    <t>У-20-69590</t>
  </si>
  <si>
    <t>У-20-69601</t>
  </si>
  <si>
    <t>У-20-69628</t>
  </si>
  <si>
    <t>У-20-69713</t>
  </si>
  <si>
    <t>У-20-69727</t>
  </si>
  <si>
    <t>У-20-69774</t>
  </si>
  <si>
    <t>У-20-69777</t>
  </si>
  <si>
    <t>У-20-69860</t>
  </si>
  <si>
    <t>У-20-69868</t>
  </si>
  <si>
    <t>У-20-69873</t>
  </si>
  <si>
    <t>У-20-69945</t>
  </si>
  <si>
    <t>У-20-69950</t>
  </si>
  <si>
    <t>У-20-70036</t>
  </si>
  <si>
    <t>У-20-70132</t>
  </si>
  <si>
    <t>У-20-70225</t>
  </si>
  <si>
    <t>У-20-70287</t>
  </si>
  <si>
    <t>У-20-70302</t>
  </si>
  <si>
    <t>У-20-70450</t>
  </si>
  <si>
    <t>У-20-70454</t>
  </si>
  <si>
    <t>У-20-70502</t>
  </si>
  <si>
    <t>У-20-70525</t>
  </si>
  <si>
    <t>У-20-70541</t>
  </si>
  <si>
    <t>У-20-70555</t>
  </si>
  <si>
    <t>У-20-70635</t>
  </si>
  <si>
    <t>У-20-70659</t>
  </si>
  <si>
    <t>У-20-70693</t>
  </si>
  <si>
    <t>У-20-70757</t>
  </si>
  <si>
    <t>У-20-70761</t>
  </si>
  <si>
    <t>У-20-70793</t>
  </si>
  <si>
    <t>У-20-70847</t>
  </si>
  <si>
    <t>У-20-70895</t>
  </si>
  <si>
    <t>У-20-71117</t>
  </si>
  <si>
    <t>У-20-71207</t>
  </si>
  <si>
    <t>У-20-71325</t>
  </si>
  <si>
    <t>У-20-71344</t>
  </si>
  <si>
    <t>У-20-71530</t>
  </si>
  <si>
    <t>У-20-71681</t>
  </si>
  <si>
    <t>У-20-71846</t>
  </si>
  <si>
    <t>У-20-71896</t>
  </si>
  <si>
    <t>У-20-71909</t>
  </si>
  <si>
    <t>У-20-71988</t>
  </si>
  <si>
    <t>У-20-72060</t>
  </si>
  <si>
    <t>У-20-72062</t>
  </si>
  <si>
    <t>У-20-72113</t>
  </si>
  <si>
    <t>Донцов Руслан Евгеньевич</t>
  </si>
  <si>
    <t>Роденков Виктор Викторович</t>
  </si>
  <si>
    <t>Лавров Анатолий Михайлович</t>
  </si>
  <si>
    <t>Сафронов Данила Николаевич</t>
  </si>
  <si>
    <t>Шевчук Дарья Анатольевна</t>
  </si>
  <si>
    <t>Кокорин Константин Олегович</t>
  </si>
  <si>
    <t>Истомин Алексей Юрьевич</t>
  </si>
  <si>
    <t>Шахнин Максим Анатольевич</t>
  </si>
  <si>
    <t>Литвиненко Светлана Евгеньевна</t>
  </si>
  <si>
    <t>Мадиров Леонид Николаевич</t>
  </si>
  <si>
    <t>Мацукатов Панделис Георгиевич</t>
  </si>
  <si>
    <t>Сайгаченко Галина Владимировна</t>
  </si>
  <si>
    <t>Каленов Василий Александрович</t>
  </si>
  <si>
    <t>Дайтаева Лиля Мансуровна</t>
  </si>
  <si>
    <t>Сорокин Артём Сергеевич</t>
  </si>
  <si>
    <t>Леонова Светлана Анатольевна</t>
  </si>
  <si>
    <t>Малхасян Арминак Рубенович</t>
  </si>
  <si>
    <t>Бастырев Максим Александрович</t>
  </si>
  <si>
    <t>Будалин Александр Викторович</t>
  </si>
  <si>
    <t>Иванченко Елена Александровна</t>
  </si>
  <si>
    <t>Севец Максим Евгеньевич</t>
  </si>
  <si>
    <t>Бабаев Фахраддин Абумуслюм Оглы</t>
  </si>
  <si>
    <t>Шарипов Руслан Аксанович</t>
  </si>
  <si>
    <t>Петикян Багдасар Юванович</t>
  </si>
  <si>
    <t>Алоян Самвел Мамиконович</t>
  </si>
  <si>
    <t>Саутенко Алексей Константинович</t>
  </si>
  <si>
    <t>Морозов Сергей Борисович</t>
  </si>
  <si>
    <t>Аглетдинов Фаил Альтафович</t>
  </si>
  <si>
    <t>Медведева Анастасия Викторовна</t>
  </si>
  <si>
    <t>Миглеева Татьяна Павловна</t>
  </si>
  <si>
    <t>Рыбкина Екатерина Валерьевна</t>
  </si>
  <si>
    <t>Павлов Виктор Александрович</t>
  </si>
  <si>
    <t>Анкваб Вадик Викторович</t>
  </si>
  <si>
    <t>Шишкина Наталья Павловна</t>
  </si>
  <si>
    <t>Томилина Анна Николаевна</t>
  </si>
  <si>
    <t>Мардикян Наира Сергеевна</t>
  </si>
  <si>
    <t>Хабаров Алексей Николаевич</t>
  </si>
  <si>
    <t>Соколова Елена Михайловна</t>
  </si>
  <si>
    <t>Маслов Роман Юрьевич</t>
  </si>
  <si>
    <t>Меретукова Зарема Еристемовна</t>
  </si>
  <si>
    <t>Наурузов Азамат Юрьевич</t>
  </si>
  <si>
    <t>Рахманов Борис Павлович</t>
  </si>
  <si>
    <t>Равичев Андрей Сергеевич</t>
  </si>
  <si>
    <t>Парасовченко Николай Владимирович</t>
  </si>
  <si>
    <t>Махинов Алексей Вячеславович</t>
  </si>
  <si>
    <t>Кожухова Мария Александровна</t>
  </si>
  <si>
    <t>Лисицын Алексей Александрович</t>
  </si>
  <si>
    <t>Аскерханов Руслан Заирханович</t>
  </si>
  <si>
    <t>Джелилов Ниязбек Тагирмагомедович</t>
  </si>
  <si>
    <t>Демидов Сергей Иванович</t>
  </si>
  <si>
    <t>Каиров Лев Георгиевич</t>
  </si>
  <si>
    <t>Салбиев Алихан Тимурович</t>
  </si>
  <si>
    <t>Байхина Татьяна Игоревна</t>
  </si>
  <si>
    <t>Агапов Сергей Валерьевич</t>
  </si>
  <si>
    <t>Дубинский Андрей Вадимович</t>
  </si>
  <si>
    <t>Туркав Шамсудин Даудович</t>
  </si>
  <si>
    <t>Жук Станислав Сергеевич</t>
  </si>
  <si>
    <t>Пруидзе Давид Михайлович</t>
  </si>
  <si>
    <t>Логунов Вячеслав Игоревич</t>
  </si>
  <si>
    <t>Гилева Галина Михайловна</t>
  </si>
  <si>
    <t>Бурцева-Малыгина Марина Валентиновна</t>
  </si>
  <si>
    <t>Иванова Лариса Семеновна</t>
  </si>
  <si>
    <t>Гадельшин Руслан Рафкатович</t>
  </si>
  <si>
    <t>Кулешов Илья Анатольевич</t>
  </si>
  <si>
    <t>Власова Таисия Валерьевна</t>
  </si>
  <si>
    <t>Тырин Сергей Валерьевич</t>
  </si>
  <si>
    <t>Плотников Дмитрий Александрович</t>
  </si>
  <si>
    <t>Нестеренко Илья Сергеевич</t>
  </si>
  <si>
    <t>Пушкова Татьяна Михайловна</t>
  </si>
  <si>
    <t>Муртазалиев Гасан Расулович</t>
  </si>
  <si>
    <t>Киселев Виктор Валентинович</t>
  </si>
  <si>
    <t>Кадыров Сулейман Салманович</t>
  </si>
  <si>
    <t>Лихачев Максим Эдуардович</t>
  </si>
  <si>
    <t>Яхьяев Шамиль Аминуллаевич</t>
  </si>
  <si>
    <t>Лемпинин Андрей Викторович</t>
  </si>
  <si>
    <t>Шуманов Станислав Дмитриевич</t>
  </si>
  <si>
    <t>Иванов Вячеслав Александрович</t>
  </si>
  <si>
    <t>Агаев Григорий Джафарович</t>
  </si>
  <si>
    <t>Русецкий Дмитрий Юрьевич</t>
  </si>
  <si>
    <t>Койчуева Мариям Рамазановна</t>
  </si>
  <si>
    <t>Искалов Карпат Маратович</t>
  </si>
  <si>
    <t>Шамбуров Дмитрий Анатольевич</t>
  </si>
  <si>
    <t>Шестов Виталий Вадимович</t>
  </si>
  <si>
    <t>Милютин Александр Валерьевич</t>
  </si>
  <si>
    <t>Антипова Ольга Николаевна</t>
  </si>
  <si>
    <t>Утекешева Карлгаш Асылбековна</t>
  </si>
  <si>
    <t>Сибиряков Даниил Максимович</t>
  </si>
  <si>
    <t>Шутов Дмитрий Васильевич</t>
  </si>
  <si>
    <t>Бенусов Рудольф Валерьевич</t>
  </si>
  <si>
    <t>Пункт 1.8. Матрицы</t>
  </si>
  <si>
    <t>ПВУ/
К ВИНОВНИКУ</t>
  </si>
  <si>
    <t>Выплачено ФО</t>
  </si>
  <si>
    <t>ТРЕБОВАНИЯ В СУД</t>
  </si>
  <si>
    <t>Регион</t>
  </si>
  <si>
    <t>Федеральный /
Мировой</t>
  </si>
  <si>
    <t>Наименование</t>
  </si>
  <si>
    <t>РЕШЕНИЕ СУД</t>
  </si>
  <si>
    <t>ОСНОВАНИЕ</t>
  </si>
  <si>
    <t>РЕШЕНИЕ СУДА</t>
  </si>
  <si>
    <t>Основание</t>
  </si>
  <si>
    <t>Евдокимовой Анны Павловны</t>
  </si>
  <si>
    <t>Пункты 5.1., 8.1., 8.3.(БР), 8.4. Матрицы</t>
  </si>
  <si>
    <t>Пункт 3.2., 5.1.(БР) Матрицы</t>
  </si>
  <si>
    <t>Пункт 1.1. (несоблюдение претензионного порядка) Матрицы</t>
  </si>
  <si>
    <t>Пункты 3.2., 5.1. Матрицы</t>
  </si>
  <si>
    <t>Пункты 1.8., 2.1. Матрицы</t>
  </si>
  <si>
    <t>Пункт 5.1. Матрицы (на утраченный заработок)</t>
  </si>
  <si>
    <t xml:space="preserve">Пункт 1.1. Матрицы (нет фотоматериалов, на осмотр ТС не предоставлено) </t>
  </si>
  <si>
    <t>Пункт 2.1., 5.1.(БР), 8.1 Матрицы</t>
  </si>
  <si>
    <t>8.7.</t>
  </si>
  <si>
    <t>На хранение ТС</t>
  </si>
  <si>
    <t>Пункты 2.1., 8.1., 8.7. Матрицы</t>
  </si>
  <si>
    <t>Пункт 4.1. Матрицы</t>
  </si>
  <si>
    <t>Пункты 2.1., 7.1., 8.1. Матрицы</t>
  </si>
  <si>
    <t>Утраченный заработок. Пункт 1.1. Матрицы (несоблюдение претензионного порядка)</t>
  </si>
  <si>
    <t>Пункт 5.1., 8.1. Матрицы</t>
  </si>
  <si>
    <t>Пункт 1.1. Матрицы (претензионный порядок). После возврата документов не обратился заново</t>
  </si>
  <si>
    <t>1. Отказ вместо прекращения</t>
  </si>
  <si>
    <t>Пункт 1.1. Матрицы (нет документов). Неустойка после 5и судов</t>
  </si>
  <si>
    <t>Пункты 6.1., 8.2. Матрицы</t>
  </si>
  <si>
    <t>1. Просит утраченный заработок, рассматрвиается выплата по нормативам; 2. Неверно указаны суммы выплаты; 3. Не принимаем доводы ФО о выплате в равных долях.</t>
  </si>
  <si>
    <t>Пункт 1.1. Матрицы (нет документов). Заявитель подал одновременно два обращения: 1. О взыскании неустойки; 2. О взыскании страхового. По второму решение принято о взыскании, первое прекращаем, т.к. если исполнят в срок, от отказ, а если не в срок, то взыскание с 21 дня.</t>
  </si>
  <si>
    <t>Пункты 2.1., 5.5. Матрицы</t>
  </si>
  <si>
    <t>Пункты 2.1., 8.1., 8.3.(БР) Матрицы</t>
  </si>
  <si>
    <t>Пункты 2.1., 5.1.(БР), 8.1. Матрицы</t>
  </si>
  <si>
    <t>Пункты 2.1., 5.1.(БР), 7.1., 8.1. Матрицы</t>
  </si>
  <si>
    <t>Пункты 2.1., 5.1., 8.1. Матрицы</t>
  </si>
  <si>
    <t>1. Есть анализ 10%, хотя тотал</t>
  </si>
  <si>
    <t>Пункт 3.1., 5.5. Матрицы</t>
  </si>
  <si>
    <t>1. Не проанализированы сроки давности по неустойке по новому подходу</t>
  </si>
  <si>
    <t>Пункт 4.1., 5.5. Матрицы</t>
  </si>
  <si>
    <t>Нет.
По новому порядку, считаем неустойку по дням
Там были выплаты в ноябре 17. За консультацией к Хусяиновой, хотя образец решения был разослан</t>
  </si>
  <si>
    <t>Пункты 1.2., 8.1., 8.2. Матрицы</t>
  </si>
  <si>
    <t>Пункты 1.8., 2.1., 8.1. Матрицы</t>
  </si>
  <si>
    <t>Пункт 5.1. Матрицы. Неустйока после решения ФУ</t>
  </si>
  <si>
    <t>1. Нет анализа сроков добровольный выплаты</t>
  </si>
  <si>
    <t>Пункты 8.2., 8.3., 8.4., 8.5. Матрицы</t>
  </si>
  <si>
    <t>Какая связь между осмотром и хранением? Разве это следует из нормативки?
Если бы после выплаты, еще бы было понятно.
Связь есть в п 4.13 правил ОСАГО. Но надо учитывать сроки, указанные в направлении на осмотр.</t>
  </si>
  <si>
    <t>Пункты 2.1., 8.1., 9. Матрицы</t>
  </si>
  <si>
    <t>Пункты 2.1., 5.5., 8.1. Матрицы</t>
  </si>
  <si>
    <t>Пункты 2.1., 5.1., 8.1., 8.2. Матрицы + дефектовка</t>
  </si>
  <si>
    <t>Пункты 4.1., 5.1.(БР), 8.1. Матрицы</t>
  </si>
  <si>
    <t>Пункты 1.5., 8.7.(БР) Матрицы</t>
  </si>
  <si>
    <t>1. Расходы на хранение БР (просил только один раз)</t>
  </si>
  <si>
    <t>1. Не разобралась. Не верна мотивировка, нет оснований для прекращения</t>
  </si>
  <si>
    <t>У-20-61347</t>
  </si>
  <si>
    <t>Пузаткин Иван Сергеевич</t>
  </si>
  <si>
    <t>КАТЕГОРИЯ</t>
  </si>
  <si>
    <t>Пункты 4.1., 8.1. Матрицы</t>
  </si>
  <si>
    <t>Пункты 3.3., 5.1., 5.5. Матрицы. Утраченный заработок. Одна страховая старая, вторая новая. Вина не установлена, ФО ссылается на 22 пункт о выплате в равных долях. Обе ФО выплатили по 50%, каждая по своему расчету. Есть спор по сумме. Просит со старой, поэтому взыскиваем в полном объеме.</t>
  </si>
  <si>
    <t>Пункт 5.3. Матрицы</t>
  </si>
  <si>
    <t>Н</t>
  </si>
  <si>
    <t>Ж</t>
  </si>
  <si>
    <t>1. Сроки по неустойке расчитаны до осмотра, а не до даты выдачи повторного ННР; 2. Не проанализированы сроки ремонта</t>
  </si>
  <si>
    <t>Пункт 5.1. Матрицы. Неустойка на жизнь. Доводы Заявител о том, что положения об освобождении ФО от неустойки в случае исполнения решения ФУ в срок не применимы, т.к. норма ч. 5 ст. 16.1 Об ОСАГО вступила после заключения договора ОСАГО</t>
  </si>
  <si>
    <t>1. Решение ФУ в срок, оснований для начисления неустойки нет</t>
  </si>
  <si>
    <t>Пункт 5.1. Матрицы. Неустйока как добровольное исполнение</t>
  </si>
  <si>
    <t>Пункт 1.1. Матрицы (нет документов о  праве собственности и фотографий)</t>
  </si>
  <si>
    <t>1. Не написана половина решения</t>
  </si>
  <si>
    <t>Пункт 5.1. Матрицы (неустойка за нарушение сроков выдачи направления на ремонт, ранее (У-20-55152) рассматривались требования о нарушении срока проведения ремонта).</t>
  </si>
  <si>
    <t>Пункты 1.2., 5.1., 8.6. Матрицы</t>
  </si>
  <si>
    <t>У-20-55939</t>
  </si>
  <si>
    <t>Сидорова Галина Петровна</t>
  </si>
  <si>
    <t>Пункт 2.1., 7.1. Матрицы</t>
  </si>
  <si>
    <t>Пункт 4.4. Матрицы</t>
  </si>
  <si>
    <t>1. Нет анализа сроков выдачи ННР</t>
  </si>
  <si>
    <t>Пункт 5.1., 8.1., 8.2. Матрицы. Отказ во взыскании НТЭ по УТС как неиспользованной, т.к. выплата была на оснвоании НТЭ ФО, а не Заявителя</t>
  </si>
  <si>
    <t>1. Отказ во взыскании НТЭ по УТС как неиспользованной, т.к. выплата была на оснвоании НТЭ ФО, а не Заявителя</t>
  </si>
  <si>
    <t>Пункты 2.1., 5.1., 8.1., 8.2., 8.4. Матрицы. Неустойка на ущерб, УТС и эвакуатор</t>
  </si>
  <si>
    <t>Пункты 2.1., 5.1., 8.1. Матрицы + дефектовка (БР)</t>
  </si>
  <si>
    <t>Пункты 1.2., 5.5., 8.1. Матрицы</t>
  </si>
  <si>
    <t>Пункты 4.1., 8.1. Матрицы + дефектовка</t>
  </si>
  <si>
    <t>1. Расходы на НТЭ БР, хотя надо отказывать</t>
  </si>
  <si>
    <t>Пункт 7.1. Матрицы</t>
  </si>
  <si>
    <t>расчет возмещения</t>
  </si>
  <si>
    <t>1. Взыскание НТЭ после 01.06.2020 по новому подходу</t>
  </si>
  <si>
    <t>У-20-45813</t>
  </si>
  <si>
    <t>У-20-61349</t>
  </si>
  <si>
    <t>У-20-64887</t>
  </si>
  <si>
    <t>У-20-65714</t>
  </si>
  <si>
    <t>У-20-65970</t>
  </si>
  <si>
    <t>У-20-66365</t>
  </si>
  <si>
    <t>У-20-66416</t>
  </si>
  <si>
    <t>У-20-67335</t>
  </si>
  <si>
    <t>У-20-67624</t>
  </si>
  <si>
    <t>У-20-67823</t>
  </si>
  <si>
    <t>У-20-68144</t>
  </si>
  <si>
    <t>У-20-71710</t>
  </si>
  <si>
    <t>У-20-72042</t>
  </si>
  <si>
    <t>У-20-72146</t>
  </si>
  <si>
    <t>У-20-72222</t>
  </si>
  <si>
    <t>У-20-72240</t>
  </si>
  <si>
    <t>У-20-72249</t>
  </si>
  <si>
    <t>У-20-72295</t>
  </si>
  <si>
    <t>У-20-72355</t>
  </si>
  <si>
    <t>У-20-72524</t>
  </si>
  <si>
    <t>У-20-72665</t>
  </si>
  <si>
    <t>У-20-72874</t>
  </si>
  <si>
    <t>У-20-72884</t>
  </si>
  <si>
    <t>У-20-72922</t>
  </si>
  <si>
    <t>У-20-72958</t>
  </si>
  <si>
    <t>У-20-72959</t>
  </si>
  <si>
    <t>У-20-73020</t>
  </si>
  <si>
    <t>У-20-73042</t>
  </si>
  <si>
    <t>У-20-73051</t>
  </si>
  <si>
    <t>У-20-73117</t>
  </si>
  <si>
    <t>У-20-73147</t>
  </si>
  <si>
    <t>У-20-73151</t>
  </si>
  <si>
    <t>У-20-73292</t>
  </si>
  <si>
    <t>У-20-73301</t>
  </si>
  <si>
    <t>У-20-73330</t>
  </si>
  <si>
    <t>У-20-73372</t>
  </si>
  <si>
    <t>У-20-73464</t>
  </si>
  <si>
    <t>У-20-73496</t>
  </si>
  <si>
    <t>У-20-73592</t>
  </si>
  <si>
    <t>У-20-73626</t>
  </si>
  <si>
    <t>У-20-73684</t>
  </si>
  <si>
    <t>У-20-73687</t>
  </si>
  <si>
    <t>У-20-73688</t>
  </si>
  <si>
    <t>У-20-73693</t>
  </si>
  <si>
    <t>У-20-73750</t>
  </si>
  <si>
    <t>У-20-73775</t>
  </si>
  <si>
    <t>У-20-73777</t>
  </si>
  <si>
    <t>У-20-73868</t>
  </si>
  <si>
    <t>У-20-73882</t>
  </si>
  <si>
    <t>У-20-73905</t>
  </si>
  <si>
    <t>У-20-73932</t>
  </si>
  <si>
    <t>У-20-73966</t>
  </si>
  <si>
    <t>У-20-74018</t>
  </si>
  <si>
    <t>У-20-74090</t>
  </si>
  <si>
    <t>У-20-74094</t>
  </si>
  <si>
    <t>У-20-74117</t>
  </si>
  <si>
    <t>У-20-74158</t>
  </si>
  <si>
    <t>У-20-74210</t>
  </si>
  <si>
    <t>У-20-74287</t>
  </si>
  <si>
    <t>У-20-74322</t>
  </si>
  <si>
    <t>У-20-74402</t>
  </si>
  <si>
    <t>У-20-74428</t>
  </si>
  <si>
    <t>У-20-74430</t>
  </si>
  <si>
    <t>У-20-74447</t>
  </si>
  <si>
    <t>У-20-74539</t>
  </si>
  <si>
    <t>У-20-74638</t>
  </si>
  <si>
    <t>У-20-74722</t>
  </si>
  <si>
    <t>У-20-74724</t>
  </si>
  <si>
    <t>У-20-74811</t>
  </si>
  <si>
    <t>У-20-74856</t>
  </si>
  <si>
    <t>У-20-74864</t>
  </si>
  <si>
    <t>У-20-74949</t>
  </si>
  <si>
    <t>У-20-75006</t>
  </si>
  <si>
    <t>У-20-75027</t>
  </si>
  <si>
    <t>У-20-75046</t>
  </si>
  <si>
    <t>У-20-74990</t>
  </si>
  <si>
    <t>У-20-75144</t>
  </si>
  <si>
    <t>У-20-75303</t>
  </si>
  <si>
    <t>У-20-75423</t>
  </si>
  <si>
    <t>У-20-75576</t>
  </si>
  <si>
    <t>У-20-75658</t>
  </si>
  <si>
    <t>ИП Пороховский Павел Владимирович</t>
  </si>
  <si>
    <t>Бабарыкин Никита Андреевич</t>
  </si>
  <si>
    <t>Наумова Виктория Александровна</t>
  </si>
  <si>
    <t>Файрушина Айгуль Зуфаровна</t>
  </si>
  <si>
    <t>Доценко Даниил Александрович</t>
  </si>
  <si>
    <t>Китов Вячеслав Валерьевич</t>
  </si>
  <si>
    <t>Мирхазов Динар Маратович</t>
  </si>
  <si>
    <t>Решетникова Екатерина Олеговна</t>
  </si>
  <si>
    <t>Спичак Василий Николаевич</t>
  </si>
  <si>
    <t>Багаутдинова Эльвира Ильдусовна</t>
  </si>
  <si>
    <t>Сердюк Евгений Игоревич</t>
  </si>
  <si>
    <t>Ивченков Сергей Владимирович</t>
  </si>
  <si>
    <t>Колесникова Ольга Анатольевна</t>
  </si>
  <si>
    <t>Степанов Сергей Викторович</t>
  </si>
  <si>
    <t>Кертанов Марат Рамазанович</t>
  </si>
  <si>
    <t>Первичко Вячеслав Валерьевич</t>
  </si>
  <si>
    <t>Ихсанов Рустем Ахсянович</t>
  </si>
  <si>
    <t>Абдуллаев Амирхан Магомедович</t>
  </si>
  <si>
    <t>Жданов Дмитрий Сергеевич</t>
  </si>
  <si>
    <t>Волков Вячеслав Петрович</t>
  </si>
  <si>
    <t>Ишмухаметов Вадим Рамильевич</t>
  </si>
  <si>
    <t>Бондарев Алексей Иванович</t>
  </si>
  <si>
    <t>Хлюстов Дмитрий Евгеньевич</t>
  </si>
  <si>
    <t>Романова Ирина Петровна</t>
  </si>
  <si>
    <t>Волкова Мария Владимировна</t>
  </si>
  <si>
    <t>Воловиков Александр Владимирович</t>
  </si>
  <si>
    <t>Богач Дмитрий Дмитриевич</t>
  </si>
  <si>
    <t>Елисеев Александр Анатольевич</t>
  </si>
  <si>
    <t>Орехов Иван Антонович</t>
  </si>
  <si>
    <t>Борсов Астемир Бесланович</t>
  </si>
  <si>
    <t>Мусукаев Шамиль Хизирович</t>
  </si>
  <si>
    <t>Петухов Павел Евгеньевич</t>
  </si>
  <si>
    <t>Королев Николай Александрович</t>
  </si>
  <si>
    <t>Кочиева Арина Борисовна</t>
  </si>
  <si>
    <t>Горбунов Валерий Викторович</t>
  </si>
  <si>
    <t>Паршина Виктория Александровна</t>
  </si>
  <si>
    <t>Первухина Нина Петровна</t>
  </si>
  <si>
    <t>Куценко Владимир Викторович</t>
  </si>
  <si>
    <t>Панкрашов Владимир Михайлович</t>
  </si>
  <si>
    <t>Иваненко Олег Григорьевич</t>
  </si>
  <si>
    <t>Сашин Антон Павлович</t>
  </si>
  <si>
    <t>Земцов Андрей Владимирович</t>
  </si>
  <si>
    <t>Зензина Евгения Сергеевна</t>
  </si>
  <si>
    <t>Амоев Исмаил Романович</t>
  </si>
  <si>
    <t>Торопова Ольга Сергеевна</t>
  </si>
  <si>
    <t>Палаганова Патимат Магомедшапиевна</t>
  </si>
  <si>
    <t>Васенев Артем Сергеевич</t>
  </si>
  <si>
    <t>Олейникова Ольга Вячеславович</t>
  </si>
  <si>
    <t>Поляков Евгений Александрович</t>
  </si>
  <si>
    <t>Хохлачев Андрей Владимирович</t>
  </si>
  <si>
    <t>Кесаева Альбина Асланбековна</t>
  </si>
  <si>
    <t>Лабинцев Дмитрий Александрович</t>
  </si>
  <si>
    <t>Тумкин Александр Иванович</t>
  </si>
  <si>
    <t>Давлетбаева Юлия Муратовна</t>
  </si>
  <si>
    <t>Щеглов Сергей Александрович</t>
  </si>
  <si>
    <t>Иваненко Дмитрий Витальевич</t>
  </si>
  <si>
    <t>Герман Юлия Анатольевна</t>
  </si>
  <si>
    <t>Шаяхметов Динар Фанузович</t>
  </si>
  <si>
    <t>Кунусова Светлана Жекшеновна</t>
  </si>
  <si>
    <t>Акиньшин Александр Алексеевич</t>
  </si>
  <si>
    <t>Вилков Алексей Александрович</t>
  </si>
  <si>
    <t>Цагурия Георгий Раулиевич</t>
  </si>
  <si>
    <t>Шевцова Валерия Геннадьевна</t>
  </si>
  <si>
    <t>Мухамеджанов Бахриддин Захидович</t>
  </si>
  <si>
    <t>Попова Любовь Филипповна</t>
  </si>
  <si>
    <t>Замятин Вадим Владимирович</t>
  </si>
  <si>
    <t>Даскал Игорь Гаврилович</t>
  </si>
  <si>
    <t>Харитонова Эльвира Ивановна</t>
  </si>
  <si>
    <t>Прошкин Дмитрий Евгеньевич</t>
  </si>
  <si>
    <t>Шаяхметов Марат Ильдарович</t>
  </si>
  <si>
    <t>Афанасьев Алексей Валерьевич</t>
  </si>
  <si>
    <t>ООО «ПРОМИНСТРАХ»</t>
  </si>
  <si>
    <t>Петухова Дарья Алексеевна</t>
  </si>
  <si>
    <t>Петросян Геннадий Грантович</t>
  </si>
  <si>
    <t>Фирсов Андрей Анатольевич</t>
  </si>
  <si>
    <t>Змеу Михаил Васильевич</t>
  </si>
  <si>
    <t>Шаймарданов Раис Хуснуллович</t>
  </si>
  <si>
    <t>Дудка Антон Сергеевич</t>
  </si>
  <si>
    <t>Вергун Виктор Леонидович</t>
  </si>
  <si>
    <t>Логинов Юрий Иванович</t>
  </si>
  <si>
    <t>Пункты 1.8., 2.1., 5.5., 8.1. Матрицы</t>
  </si>
  <si>
    <t>Пункты 2.1., 5.1.(БР), 9. Матрицы</t>
  </si>
  <si>
    <t>Пункты 4.1., 5.5. Матрицы</t>
  </si>
  <si>
    <t>Пункт 1.2., 8.1. Матрицы</t>
  </si>
  <si>
    <t>1. Не тот виновник</t>
  </si>
  <si>
    <t>1. Не перечислены недостающие документы; 2. ДТП описано не по форме (обоюдка)</t>
  </si>
  <si>
    <t>Пункты 2.1., 5.1., 5.5., 8.1. Матрицы</t>
  </si>
  <si>
    <t>1. Ошибки по тексту</t>
  </si>
  <si>
    <t>Пункты 2.1., 5.1., 8.1., 9., 10. Матрицы</t>
  </si>
  <si>
    <t>Переназначил на Макса. Потерпевшая (водитель) не 3-е лицо. В интересах себя и двух детей. Решение по уголовному делу влияет на выплату</t>
  </si>
  <si>
    <t>Пункты 2.1., 5.1.(БР) Матрицы</t>
  </si>
  <si>
    <t>Пункты 1.2., 8.1.(БР) Матрицы. Доводы ФО о досрочном прекращении договора ОСАГО не принимаются, т.к. нет фактической гибели ТС</t>
  </si>
  <si>
    <t>Пункт 4.4., 8.1., 8.2., 8.5. Матрицы</t>
  </si>
  <si>
    <t>Пункты 5.1., 5.4., 8.2. Матрицы</t>
  </si>
  <si>
    <t>Пункты 4.1., 7.1.(БР) Матрицы</t>
  </si>
  <si>
    <t>Пункт 5.1. Матрицы. Неустойка на жизнь и погребение</t>
  </si>
  <si>
    <t>Пункты 5.1., 8.1., 9., 10. Матрицы. Взыскание расходов по НТЭ после 01.06.2020, выплата на оснвоании НТЭ Заявителя</t>
  </si>
  <si>
    <t>1. Не взысканы расходы на НТЭ по новым правилам</t>
  </si>
  <si>
    <t>Пункт 1.1. Матрицы (не собственник на момент ДТП)</t>
  </si>
  <si>
    <t>22.06 - 26.06</t>
  </si>
  <si>
    <t>TOTAL</t>
  </si>
  <si>
    <t>1. Не прописан полис Заявителя</t>
  </si>
  <si>
    <t>1. Не прописана передача портеля от ЖАСО к СОГАЗ; 2. Прекращено в отношении неустойки без учета нового подхода</t>
  </si>
  <si>
    <t>Пункт 1.1. Матрицы (претензионный порядок)</t>
  </si>
  <si>
    <t>Пункты 1.8., 2.1. Матрицы. Три участника. Вина не установлена, взыскиваем 2/3</t>
  </si>
  <si>
    <t>Пункт 2.1., 8.1. Матрицы</t>
  </si>
  <si>
    <t>У-20-65328</t>
  </si>
  <si>
    <t>У-20-65563</t>
  </si>
  <si>
    <t>У-20-66188</t>
  </si>
  <si>
    <t>У-20-72476</t>
  </si>
  <si>
    <t>Хорошавина Мария Геннадьевна</t>
  </si>
  <si>
    <t>Саргсян Армен Алексеевич</t>
  </si>
  <si>
    <t>Субботин Роман Викторович</t>
  </si>
  <si>
    <t>Чеботарева Надежда Владимировна</t>
  </si>
  <si>
    <t>Пункты 4.1., 5.5., 8.1.(БР), 8.2.(БР), 8.3. Матрицы</t>
  </si>
  <si>
    <t>РАСТОРЖЕНИЕ ДОГОВОРА</t>
  </si>
  <si>
    <t>Пункты 8.1., 8.2. Матрицы. ФО уведомила о расторжении договора виновника на основании сообщения им ложных сведений, но не указала что это за сведения и каквлияют на степень страхового риска.</t>
  </si>
  <si>
    <t>1. Не рассмотрено требование о страховом возмещении в натуральной форме</t>
  </si>
  <si>
    <t>Отзыв обращения</t>
  </si>
  <si>
    <t>Пункт 1.1. Матрицы (коммерческое ТС)</t>
  </si>
  <si>
    <t>Пункты 4.1., 5.1., 7.1.(БР), 8.1. Матрицы</t>
  </si>
  <si>
    <t>ЮРИДИЧЕСКОЕ ЛИЦО</t>
  </si>
  <si>
    <t>Собственник ТС - Юридическое лицо</t>
  </si>
  <si>
    <t>Пункт 1.1. Матрицы (не собственник)</t>
  </si>
  <si>
    <t>Пункты 4.1., 5.5., 8.1. Матрицы. СТОА не дилер</t>
  </si>
  <si>
    <t>Пункты 2.1., 5.1., 5.4., 8.1. Матрицы</t>
  </si>
  <si>
    <t>Пункты 1.2., 5.1., 5.4., 9. Матрицы</t>
  </si>
  <si>
    <t>Пункты 1.2., 5.1.(БР), 8.1. (БР) Матрицы</t>
  </si>
  <si>
    <t>Пункты 5.1., 8.1., 8.2. Матрицы + добровольное исполнение</t>
  </si>
  <si>
    <t>Пункты 2.1., 7.1.(БР), 8.1. Матрицы</t>
  </si>
  <si>
    <t>1. УТС нужно оставлять БР</t>
  </si>
  <si>
    <t>Пункты 2.1.(ОСАГО), 2.1.(ДСАГО)(БР), 5.1.(ДСАГО)(БР), 5.4.(ОСАГО)(БР), 5.5.(ОСАГО) Матрицы</t>
  </si>
  <si>
    <t>Пункты 2.1., 5.1., 5.5., 8.1., 9. Матрицы</t>
  </si>
  <si>
    <t>Пункт 1.8., 2.1. Матрицы</t>
  </si>
  <si>
    <t>Пункты 2.1., 5.5., 8.1., 8.2. Матрицы. Велосипед</t>
  </si>
  <si>
    <t>Пункт 1.5., 5.5. Матрицы</t>
  </si>
  <si>
    <t>Пункт 1.1. Матрицы (срок давности)</t>
  </si>
  <si>
    <t>Пункты 3.1., 5.5., 8.1. Матрицы</t>
  </si>
  <si>
    <t>Пункт 3.1. Матрицы</t>
  </si>
  <si>
    <t>29.06 - 03.07</t>
  </si>
  <si>
    <t>Пункты 3.2., 3.3. Матрицы</t>
  </si>
  <si>
    <t>1. Решение об удовлетворении, но в шапке и резолютивке отказ</t>
  </si>
  <si>
    <t/>
  </si>
  <si>
    <t>1. Не прописано соглашение между ФО и Заявителем</t>
  </si>
  <si>
    <t>Натуральная форма возмещения</t>
  </si>
  <si>
    <t>1. Рассмотрено отсутствующее требование - денежная форма возмещения</t>
  </si>
  <si>
    <t>Пункт 5.1. Матрицы (пролонгация сроков урегулирования страхового случая на основании запроса в компетентные органы)</t>
  </si>
  <si>
    <t>Пункты 5.1., 8.1.(БР) Матрицы + добровольное исполнение</t>
  </si>
  <si>
    <t>Пункты 4.1., 8.1., 9 Матрицы</t>
  </si>
  <si>
    <t>Пункты 2.1., 5.1., 5.5., 8.1., 10. Матрицы</t>
  </si>
  <si>
    <t>Пункт 1.8., 5.4., 5.5., 8.1. Матрицы</t>
  </si>
  <si>
    <t>Пункты 2.1., 5.5., 8.1., 8.2., 8.3., 8.4., 8.5. Матрицы</t>
  </si>
  <si>
    <t>Пункты 5.1.,(БР), 8.1.(БР). Матрицы + добровольное исполнение</t>
  </si>
  <si>
    <t>Пункты 1.2., 5.1., 8.1., 8.2., 8.4. Матрицы</t>
  </si>
  <si>
    <t>Пункты 4.1., 5.4., 5.5., 7.1. Матрицы</t>
  </si>
  <si>
    <t>1. УТС не БР; 2. Поползла неустойка</t>
  </si>
  <si>
    <t>Пункты 3.1., 5.1. Матрицы</t>
  </si>
  <si>
    <t>1. Неверный расчет неустойки (количество дней)</t>
  </si>
  <si>
    <t>1. Не та мотивировка по тоталу; 2. Нет вопросов НТЭ по трасе</t>
  </si>
  <si>
    <t>Пункты 4.1., 5.5., 8.1., 8.2. Матрицы</t>
  </si>
  <si>
    <t>1. Неустойку не заявляет; 2. Не та мотивировка по тоталу; 3. Нет вопросов НТЭ по трасе</t>
  </si>
  <si>
    <t>1. Не прописан ответ от экспертов о невозможности проведения экспертизы</t>
  </si>
  <si>
    <t>НЕ ВСЕ ДОКУМЕНТЫ</t>
  </si>
  <si>
    <t>1. Нет доказательства направления ФО запроса документов</t>
  </si>
  <si>
    <t>Пункты 4.4., 5.5., 8.1., 8.3., 8.4., 8.6. Матрицы</t>
  </si>
  <si>
    <t>Пункты 2.1., 5.5., 8.1., 8.5. Матрицы</t>
  </si>
  <si>
    <t>Добровольное исполнение + пункт 8.1. Матрицы</t>
  </si>
  <si>
    <t>Пункт 1.4. Матрицы</t>
  </si>
  <si>
    <t>Пункты 5.1.(БР), 8.2., 8.3., 8.4., 8.5. Матрицы</t>
  </si>
  <si>
    <t>Пункты 2.1., 5.1., 8.1., 8.2. Матрицы</t>
  </si>
  <si>
    <t>1. По НТЭ Заявитель больше 100000 Европротокол</t>
  </si>
  <si>
    <t>1. Другие суммы по НТЭ Заявителя ; 2. ННР Заявитель получил, но пишем, что доказательств выдачи нет</t>
  </si>
  <si>
    <t>Пункты 2.1., 5.1., 5.5., 8.2., 8.5. Матрицы. Взыскание франшизы, оплаченной Заявителем в рамках договора КАСКО по договору ОСАГО</t>
  </si>
  <si>
    <t>Пункты 4.1., 5.1., 7.1.(БР) Матрицы. Спор по дилеру с запросом дилерского договора и гарантийных обязательств</t>
  </si>
  <si>
    <t>Пункты 8.2., 8.3., 8.4., 8.5. и 5.1.(на 8.2., 8.3., 8.4., 8.5.)(БР) Матрицы</t>
  </si>
  <si>
    <t>Пункты 5.1.(БР), 8.1., 8.3. Матрицы + дефектовка</t>
  </si>
  <si>
    <t>Пункты 2.1., 5.1., 5.4., 5.5. Матрицы. Была выплата по КАСКО по тоталу. По нашей НТЭ не тотал, хпросит доплату по ОСАГО. Взыскиваем разницу между суммы с учетом износа и выплатой по КАСКО</t>
  </si>
  <si>
    <t>Пункт 3.4. Матрицы. Расходы на памятник не относятся к ритуальным расходам</t>
  </si>
  <si>
    <t>Пункт 1.1. Матрицы. Прекращение ОСАГО виновника в связи с тотальной гибелью</t>
  </si>
  <si>
    <t>Пункты 5.1., 8.1. Матрицы. Заключено соглашение, но неустойку взыскиваем, т.к. по условиям соглашения, срок выплаты страхового возмещения исчисляется с момента первоначального обращения, а отказ от претензий прописан только в части размера страхового возмещения.</t>
  </si>
  <si>
    <t>Пункт 2.1. Матрицы. По НТЭ ФО тотал, выплата с удержанием франшизы. Также выплата по GAP/</t>
  </si>
  <si>
    <t>1. Неверно указаны суммы по НТЭ ФУ; 2. Решение отказное, а не удовлетворительное</t>
  </si>
  <si>
    <t>Пункты 2.1., 5.4., 5.5., 8.2., 9., 10. Матрицы</t>
  </si>
  <si>
    <t>Пункт 8.1. Матрицы + комиссия банка</t>
  </si>
  <si>
    <t>У-20-48169</t>
  </si>
  <si>
    <t>У-20-48803</t>
  </si>
  <si>
    <t>У-20-49262</t>
  </si>
  <si>
    <t>У-20-50256</t>
  </si>
  <si>
    <t>У-20-51065</t>
  </si>
  <si>
    <t>У-20-55183</t>
  </si>
  <si>
    <t>У-20-55266</t>
  </si>
  <si>
    <t>У-20-55521</t>
  </si>
  <si>
    <t>У-20-55952</t>
  </si>
  <si>
    <t>У-20-57175</t>
  </si>
  <si>
    <t>У-20-59149</t>
  </si>
  <si>
    <t>У-20-60427</t>
  </si>
  <si>
    <t>У-20-62652</t>
  </si>
  <si>
    <t>У-20-64259</t>
  </si>
  <si>
    <t>У-20-64264</t>
  </si>
  <si>
    <t>У-20-64292</t>
  </si>
  <si>
    <t>У-20-64324</t>
  </si>
  <si>
    <t>У-20-64362</t>
  </si>
  <si>
    <t>У-20-67989</t>
  </si>
  <si>
    <t>У-20-68902</t>
  </si>
  <si>
    <t>У-20-75094</t>
  </si>
  <si>
    <t>У-20-75206</t>
  </si>
  <si>
    <t>У-20-75338</t>
  </si>
  <si>
    <t>У-20-75467</t>
  </si>
  <si>
    <t>У-20-75506</t>
  </si>
  <si>
    <t>У-20-75535</t>
  </si>
  <si>
    <t>У-20-75592</t>
  </si>
  <si>
    <t>У-20-75604</t>
  </si>
  <si>
    <t>У-20-75625</t>
  </si>
  <si>
    <t>У-20-75631</t>
  </si>
  <si>
    <t>У-20-75677</t>
  </si>
  <si>
    <t>У-20-75715</t>
  </si>
  <si>
    <t>У-20-75856</t>
  </si>
  <si>
    <t>У-20-75770</t>
  </si>
  <si>
    <t>У-20-75936</t>
  </si>
  <si>
    <t>У-20-75939</t>
  </si>
  <si>
    <t>У-20-75965</t>
  </si>
  <si>
    <t>У-20-76010</t>
  </si>
  <si>
    <t>У-20-76037</t>
  </si>
  <si>
    <t>У-20-76049</t>
  </si>
  <si>
    <t>У-20-76204</t>
  </si>
  <si>
    <t>У-20-76206</t>
  </si>
  <si>
    <t>У-20-76239</t>
  </si>
  <si>
    <t>У-20-76312</t>
  </si>
  <si>
    <t>У-20-76314</t>
  </si>
  <si>
    <t>У-20-76347</t>
  </si>
  <si>
    <t>У-20-76437</t>
  </si>
  <si>
    <t>У-20-76519</t>
  </si>
  <si>
    <t>У-20-76589</t>
  </si>
  <si>
    <t>У-20-76640</t>
  </si>
  <si>
    <t>У-20-76745</t>
  </si>
  <si>
    <t>У-20-76814</t>
  </si>
  <si>
    <t>У-20-76852</t>
  </si>
  <si>
    <t>У-20-76939</t>
  </si>
  <si>
    <t>У-20-76976</t>
  </si>
  <si>
    <t>У-20-77173</t>
  </si>
  <si>
    <t>У-20-77188</t>
  </si>
  <si>
    <t>У-20-77297</t>
  </si>
  <si>
    <t>У-20-77437</t>
  </si>
  <si>
    <t>У-20-77492</t>
  </si>
  <si>
    <t>У-20-77495</t>
  </si>
  <si>
    <t>У-20-77636</t>
  </si>
  <si>
    <t>У-20-77731</t>
  </si>
  <si>
    <t>Лепешинский Александр Владимирович</t>
  </si>
  <si>
    <t>Панин Андрей Николаевич</t>
  </si>
  <si>
    <t>Муштоватая Анастасия Сергеевна</t>
  </si>
  <si>
    <t>ИП Тюрморезов Артем Игоревич</t>
  </si>
  <si>
    <t>Худяков Максим Андреевич</t>
  </si>
  <si>
    <t>Аванесян Сергей Каренович</t>
  </si>
  <si>
    <t>Амирасланов Нариман Германович</t>
  </si>
  <si>
    <t>Темирбулатов Малик Умарович</t>
  </si>
  <si>
    <t>Малуша Александр Васильевич</t>
  </si>
  <si>
    <t>Добров Сергей Гичунович</t>
  </si>
  <si>
    <t>Баин Еремей Еремеевич</t>
  </si>
  <si>
    <t>Агарков Роман Владимирович</t>
  </si>
  <si>
    <t>Бурик Сергей Михайлович</t>
  </si>
  <si>
    <t>Майков Артур Леонидович</t>
  </si>
  <si>
    <t>Рахимзянова Валентина Станиславовна</t>
  </si>
  <si>
    <t>Болдырев Игорь Викторович</t>
  </si>
  <si>
    <t>Савчук Сергей Викторович</t>
  </si>
  <si>
    <t>Кузнецов Владимир Алексеевич</t>
  </si>
  <si>
    <t>Дедиков Олег Иванович</t>
  </si>
  <si>
    <t>Аликин Александр Иванович</t>
  </si>
  <si>
    <t>Красичкова Инна Михайловна</t>
  </si>
  <si>
    <t>Феденев Андрей Анатольевич</t>
  </si>
  <si>
    <t>Гаспарян Хачатур Арменович</t>
  </si>
  <si>
    <t>Галкин Александр Сергеевич</t>
  </si>
  <si>
    <t>Мирзоев Иосиф Гегамович</t>
  </si>
  <si>
    <t>Овсянников Роман Александрович</t>
  </si>
  <si>
    <t>Петросян Андраник Акопович</t>
  </si>
  <si>
    <t>Муртазалиев Магамед Эскарханович</t>
  </si>
  <si>
    <t>Хорчев Кирилл Викторович</t>
  </si>
  <si>
    <t>Садыкова Фарида Раисовна</t>
  </si>
  <si>
    <t>Гришенькин Сергей Викторович</t>
  </si>
  <si>
    <t>Петров Сергей Георгиевич</t>
  </si>
  <si>
    <t>Дручинин Игорь Андреевич</t>
  </si>
  <si>
    <t>Яшметова Валентина Геннадьевна</t>
  </si>
  <si>
    <t>Калиновский Виталий Витальевич</t>
  </si>
  <si>
    <t>Меграбян Армен Рафикович</t>
  </si>
  <si>
    <t>Краева Людмила Михайлова</t>
  </si>
  <si>
    <t>Хачемизова Светлана Сальбиевна</t>
  </si>
  <si>
    <t>Петров Алексей Павлович</t>
  </si>
  <si>
    <t>Нурмагомедов Муса Омарович</t>
  </si>
  <si>
    <t>Кузенко Антон Викторович</t>
  </si>
  <si>
    <t>Эседулаева Марьяна Шайдабековна</t>
  </si>
  <si>
    <t>Колмаков Александр Александрович</t>
  </si>
  <si>
    <t>Фейгин Сергей Сергеевич</t>
  </si>
  <si>
    <t>Давлетзянов Раян Назифович</t>
  </si>
  <si>
    <t>Минченко Сергей Николаевич</t>
  </si>
  <si>
    <t>Бжассо Джэнет Мугдиновна</t>
  </si>
  <si>
    <t>Мансуров Артур Равкатович</t>
  </si>
  <si>
    <t>Насыров Радмир Раисович</t>
  </si>
  <si>
    <t>из проекта решения, что утраченным заработком обращался только один раз. Это так? если так, то без рассмотрения</t>
  </si>
  <si>
    <t>Пункты 2.1., 8.1. Матрицы + диагностика</t>
  </si>
  <si>
    <t>Пункт 1.1. Матрицы. Имущество. 10 предметов</t>
  </si>
  <si>
    <t>Пункты 5.1., 8.1., 8.3., 8.4. Матрицы</t>
  </si>
  <si>
    <t>Пункты 2.1., 5.1., 8.2. Матрицы</t>
  </si>
  <si>
    <t>Пункт 1.2. Матрицы. Есть объяснения от виновника ДТП о том, что ДТП подставное</t>
  </si>
  <si>
    <t>Т.к. Заявитель обращался в суд, то течение срока исковой давности приостанавливалось</t>
  </si>
  <si>
    <t>Пункты 1.4., 5.1. Матрицы. Не предоставлен паспорт Заявителя</t>
  </si>
  <si>
    <t>Пунты 1.3., 8.1. Матрицы</t>
  </si>
  <si>
    <t>Пункты 6.1., 8.3.(БР) Матрицы</t>
  </si>
  <si>
    <t>Пункты 1.2., 5.1., 7.1.(БР) Матрицы</t>
  </si>
  <si>
    <t>Пункты 4.1., 5.1., 8.1., 9. Матрицы</t>
  </si>
  <si>
    <t>Пункты 2.1., 5.1.(БР), 8.1.(БР), 9. Матрицы</t>
  </si>
  <si>
    <t>Пункты 8.2., 8.3., 8.4., 8.5. и 5.1.(на 8.2., 8.3., 8.4., 8.5.) Матрицы</t>
  </si>
  <si>
    <t>ПВУ НЕ ПВУ</t>
  </si>
  <si>
    <t>1. Неверно установила фактические обстоятельства дела (время заключения полиса ОСАГО Заявителя)</t>
  </si>
  <si>
    <t>Пункты 8.2.(БР), 8.3., 8.5. + 5.1. (на 8.5.)(БР) Матрицы</t>
  </si>
  <si>
    <t>Выплата по соглашению</t>
  </si>
  <si>
    <t>Пункты 2.1., 5.1., 5.5., 8.1., 8.2. Матрицы</t>
  </si>
  <si>
    <t>ЗАПРОС</t>
  </si>
  <si>
    <t>ОТВЕТ</t>
  </si>
  <si>
    <t>Пункт 5.1. Матрицы + истечение сроков давности по требованиям о взыскании страхового возмещения, УТС, расходов на экспертизу. Поденная неустойка</t>
  </si>
  <si>
    <t>Пункт 6.1. Матрицы. Выплата в пределах срока исковой давности, с учетом его приостановки на период суда. Поденная неустойка</t>
  </si>
  <si>
    <t>1. Неверный расчет неустойки; 2. Платежка фигурирует в другом деле</t>
  </si>
  <si>
    <t>1. Не учтен суд по неустйоке</t>
  </si>
  <si>
    <t>Пункт 1.1. Матрицы (есть решение ФУ и суда)</t>
  </si>
  <si>
    <t>Пункты 2.1., 8.1., 8.2., 8.3.(БР), 10. Матрицы</t>
  </si>
  <si>
    <t>06.07 - 10.07</t>
  </si>
  <si>
    <t>13.07 - 17.07</t>
  </si>
  <si>
    <t>Пункты 5.1., 7.1., 8.1., 8.2., 8.4., 8.5. Матрицы</t>
  </si>
  <si>
    <t>Пункты 2.1., 8.1. Матрицы + дефектовка</t>
  </si>
  <si>
    <t>Пункты 4.1., 5.1. Матрицы</t>
  </si>
  <si>
    <t>Пункт 1.1. Матрицы (дело в производстве суда)</t>
  </si>
  <si>
    <t>Пункт 1.8., 8.1. Матрицы. ДТП произошло в 19:04, а полис Заявителя начал действовать с 21:00.</t>
  </si>
  <si>
    <t>У-20-65776</t>
  </si>
  <si>
    <t>У-20-66220</t>
  </si>
  <si>
    <t>У-20-66832</t>
  </si>
  <si>
    <t>У-20-67437</t>
  </si>
  <si>
    <t>У-20-71180</t>
  </si>
  <si>
    <t>У-20-76736</t>
  </si>
  <si>
    <t>У-20-76812</t>
  </si>
  <si>
    <t>У-20-76842</t>
  </si>
  <si>
    <t>У-20-76846</t>
  </si>
  <si>
    <t>У-20-76974</t>
  </si>
  <si>
    <t>У-20-77030</t>
  </si>
  <si>
    <t>У-20-77165</t>
  </si>
  <si>
    <t>У-20-77210</t>
  </si>
  <si>
    <t>У-20-77232</t>
  </si>
  <si>
    <t>У-20-77497</t>
  </si>
  <si>
    <t>У-20-77523</t>
  </si>
  <si>
    <t>У-20-77574</t>
  </si>
  <si>
    <t>У-20-77580</t>
  </si>
  <si>
    <t>У-20-77613</t>
  </si>
  <si>
    <t>У-20-77646</t>
  </si>
  <si>
    <t>У-20-77695</t>
  </si>
  <si>
    <t>У-20-77788</t>
  </si>
  <si>
    <t>У-20-77789</t>
  </si>
  <si>
    <t>У-20-77838</t>
  </si>
  <si>
    <t>У-20-77901</t>
  </si>
  <si>
    <t>У-20-77980</t>
  </si>
  <si>
    <t>У-20-78000</t>
  </si>
  <si>
    <t>У-20-78002</t>
  </si>
  <si>
    <t>У-20-78042</t>
  </si>
  <si>
    <t>У-20-78072</t>
  </si>
  <si>
    <t>У-20-78092</t>
  </si>
  <si>
    <t>У-20-78108</t>
  </si>
  <si>
    <t>У-20-78167</t>
  </si>
  <si>
    <t>У-20-78205</t>
  </si>
  <si>
    <t>У-20-78221</t>
  </si>
  <si>
    <t>У-20-78304</t>
  </si>
  <si>
    <t>У-20-78312</t>
  </si>
  <si>
    <t>У-20-78349</t>
  </si>
  <si>
    <t>У-20-78381</t>
  </si>
  <si>
    <t>У-20-78394</t>
  </si>
  <si>
    <t>У-20-78463</t>
  </si>
  <si>
    <t>У-20-78464</t>
  </si>
  <si>
    <t>У-20-78498</t>
  </si>
  <si>
    <t>У-20-78513</t>
  </si>
  <si>
    <t>У-20-78627</t>
  </si>
  <si>
    <t>У-20-78631</t>
  </si>
  <si>
    <t>У-20-78801</t>
  </si>
  <si>
    <t>У-20-78809</t>
  </si>
  <si>
    <t>У-20-78818</t>
  </si>
  <si>
    <t>У-20-78878</t>
  </si>
  <si>
    <t>У-20-78897</t>
  </si>
  <si>
    <t>У-20-79096</t>
  </si>
  <si>
    <t>У-20-79077</t>
  </si>
  <si>
    <t>У-20-79081</t>
  </si>
  <si>
    <t>У-20-79183</t>
  </si>
  <si>
    <t>У-20-79338</t>
  </si>
  <si>
    <t>У-20-79504</t>
  </si>
  <si>
    <t>У-20-79790</t>
  </si>
  <si>
    <t>У-20-79792</t>
  </si>
  <si>
    <t>Ратанов Даниил Никитич</t>
  </si>
  <si>
    <t>ИП Юсибов Самир Видади оглы</t>
  </si>
  <si>
    <t>Казанков Дмитрий Владимирович</t>
  </si>
  <si>
    <t>Заводчиков Николай Александрович</t>
  </si>
  <si>
    <t>Удычак Адам Юрьевич</t>
  </si>
  <si>
    <t>Исаев Иван Сергеевич</t>
  </si>
  <si>
    <t>Лаврухина Елена Юрьевна</t>
  </si>
  <si>
    <t>Сазонов Сергей Романович</t>
  </si>
  <si>
    <t>Курбатова Айсылу Альбертовна</t>
  </si>
  <si>
    <t>Шабанов Руслан Икрамжанович</t>
  </si>
  <si>
    <t>Коряковцева Полина Валерьевна</t>
  </si>
  <si>
    <t>Колоколов Евгений Алексеевич</t>
  </si>
  <si>
    <t>Ермаков Олег Васильевич</t>
  </si>
  <si>
    <t>Кушель Анна Михайловна</t>
  </si>
  <si>
    <t>Красноруцкая Наталья Владимировна</t>
  </si>
  <si>
    <t>Комарова Яна Александровна</t>
  </si>
  <si>
    <t>Воронов Артем Александрович</t>
  </si>
  <si>
    <t>Сергейчик Олег Владимирович</t>
  </si>
  <si>
    <t>Щербаков Сергей Владимирович</t>
  </si>
  <si>
    <t>Оконенко Дмитрий Сергеевич</t>
  </si>
  <si>
    <t>Стравняк Ирина Юрьевна</t>
  </si>
  <si>
    <t>Мичкаев Кирилл Евгеньевич</t>
  </si>
  <si>
    <t>Иванов Александр Сергеевич</t>
  </si>
  <si>
    <t>Мусохранов Павел Анатольевич</t>
  </si>
  <si>
    <t>Мельникова Анастасия Сергеевна</t>
  </si>
  <si>
    <t>Ведерникова Юлия Игоревна</t>
  </si>
  <si>
    <t>Сергеев Александр Андреевич</t>
  </si>
  <si>
    <t>Городецкая Ирина Игорьена</t>
  </si>
  <si>
    <t>Зинина Екатерина Александровна</t>
  </si>
  <si>
    <t>Саакян Армен Коляевич</t>
  </si>
  <si>
    <t>Бильдяков Артем Владимирович</t>
  </si>
  <si>
    <t>Арутюнян Роберт Артурович</t>
  </si>
  <si>
    <t>Самойлов Вячеслав Леонидович</t>
  </si>
  <si>
    <t>Шитюк Елена Владиславовна</t>
  </si>
  <si>
    <t>Чепрасова Людмила Алексеевна</t>
  </si>
  <si>
    <t>Вакуленко Марина Викторовна</t>
  </si>
  <si>
    <t>Злобина Татьяна Ивановна</t>
  </si>
  <si>
    <t>Мензиев Мурат Хусейнович</t>
  </si>
  <si>
    <t>Акулов Александр Александрович</t>
  </si>
  <si>
    <t>Гостева Лидия Петровна</t>
  </si>
  <si>
    <t>Печиннова Елена Николаевна</t>
  </si>
  <si>
    <t>Алоян Карине Арутюновна</t>
  </si>
  <si>
    <t>Когай Владислав Олегович</t>
  </si>
  <si>
    <t>Киреева Надежда Сергеевна</t>
  </si>
  <si>
    <t>Шабрин Анатолий Петрович</t>
  </si>
  <si>
    <t>Куликов Никита Александрович</t>
  </si>
  <si>
    <t>Алферов Геннадий Дмитриевич</t>
  </si>
  <si>
    <t>Денисов Евгений Васильевич</t>
  </si>
  <si>
    <t>Бовыкин Роман Александрович</t>
  </si>
  <si>
    <t>Махмудов Данил Борисович</t>
  </si>
  <si>
    <t>Муравьева Ольга Сергеевна</t>
  </si>
  <si>
    <t>Тихомиров Александр Александрович</t>
  </si>
  <si>
    <t>Щепетова Ольга Александровна</t>
  </si>
  <si>
    <t>Саркиев Юрий Сайниевич</t>
  </si>
  <si>
    <t>Шефер Владимир Федорович</t>
  </si>
  <si>
    <t>Дуванов Ричард Анатольевич</t>
  </si>
  <si>
    <t>ПРЕТЕНЗИОННЫЙ ПОРЯДОК</t>
  </si>
  <si>
    <t>1. Другое ТС виновника; 2. Другой Потребитель; 3. Ошибка в последнем абзаце (указаны другие требования из заявления/претензии.</t>
  </si>
  <si>
    <t>Пункт 1.1. Матрицы (досудебный порядок, возврат дкоументов)</t>
  </si>
  <si>
    <t>Пункт 1.1. Матрицы (нет документа об исполнении решения суда). Анализ сроков давности. ДТП 2015 года. Поденная неустойка</t>
  </si>
  <si>
    <t>1. Неверная мотивировка. 2. УТС взыскана решением суда, мы не можем мотикировать отказ во взыскании неустойки тем фактом, что УТС не положено согласно правилам КАСКО</t>
  </si>
  <si>
    <t>Пункты 4.1., 5.1., 8.6.(БР) Матрицы</t>
  </si>
  <si>
    <t xml:space="preserve">Заявитель считает, что выдано направление на ремонт, не соответствующее закону. Необходимо исследовать этот вопрос. </t>
  </si>
  <si>
    <t>Пункты 8.2.(БР), 8.3., 8.5., 5.1.(на 8.5.)(БР) Матрицы</t>
  </si>
  <si>
    <t>1. Ошибки в реквизитах договорах цессии</t>
  </si>
  <si>
    <t>Пункты 6.1., 8.2., 8.3.(БР) Матрицы</t>
  </si>
  <si>
    <t>Пункт 2.1. Матрицы + диагностика</t>
  </si>
  <si>
    <t>Пункты 5.2., 5.4., 8.2., 8.3. Матрицы</t>
  </si>
  <si>
    <t>1. Неверно исчислены сроки давности, т.к. исчислялись с первого обращения, до возврата документов, необходимо исчислять со второго</t>
  </si>
  <si>
    <t>В связи с тем, что данная заявка на проведение экспертизы создана не ошибочно, экспертизу по данному обращению проводить целесообразно!
Согласно пункту 2 Протокола Методического комитета от 23.04.2020, с учетом презентации к заседанию МК от 23.04.2020, Ford Transit (разрешенная масса 2800 тонн) без нанесенных на кузов рекламных надписей, с белыми гос номерами, и в связи с отсутствием иных признаков коммерческого транспорта не является ТС, используемым в коммерческих целях.
Заявитель в качестве ИП не зарегистрирован уже 7 лет.</t>
  </si>
  <si>
    <t>НЕПРЕДОСТАВЛЕНИЕ ДОКУМЕНТОВ</t>
  </si>
  <si>
    <t>Пункты 1.4., 5.5., 8.1.(БР), 8.3.(БР), 10. Матрицы</t>
  </si>
  <si>
    <t>Пункт 8.1. Матрицы</t>
  </si>
  <si>
    <t>Пункт 8.2. Матрицы</t>
  </si>
  <si>
    <t>Пункт 2.1. Матрицы (вред имуществу - квартира)</t>
  </si>
  <si>
    <t>Пункты 8.1., 8.6.(БР) Матрицы</t>
  </si>
  <si>
    <t>Пункты 4.1., 5.1.(БР) Матрицы</t>
  </si>
  <si>
    <t>Выброс щебенки из-под колес</t>
  </si>
  <si>
    <t>Пункты 1.8., 8.1. Матрицы. Выброс гравия из-под колес ТС</t>
  </si>
  <si>
    <t>Пункты 5.2., 5.4. Матрицы</t>
  </si>
  <si>
    <t>1. Экспертизу нужно взыскивать по среднему</t>
  </si>
  <si>
    <t>ВИНОВНИК</t>
  </si>
  <si>
    <t>Пункт 1.8., 5.1.(БР) Матрицы. Заявитель является виновником ДТП</t>
  </si>
  <si>
    <t>1. Неустойка БР</t>
  </si>
  <si>
    <t>Пункты 4.1., 7.6.(БР), 8.1. Матрицы</t>
  </si>
  <si>
    <t>Пункты 7.1.(БР), 8.1. Матрицы</t>
  </si>
  <si>
    <t>Пункты 5.1., 7.1., 8.1., 8.2., 8.3., 8.4., 8.5. Матрицы</t>
  </si>
  <si>
    <t>1. По НТЭ Заявителя сумма УТС меньше, чем выплатила ФО, оснований для проведений нашей нет</t>
  </si>
  <si>
    <t>1. ТОТАЛ, нужно уходить в НТЭ, а не отказывать</t>
  </si>
  <si>
    <t>1. Не учтена выплата неустойки</t>
  </si>
  <si>
    <t>1. Неверная причина отказа в выплате, согласно ответу ФО</t>
  </si>
  <si>
    <t>Пункты 2.1., 8.1., 8.4. Матрицы</t>
  </si>
  <si>
    <t>Пункты 2.1., 5.1., 8.1., 10. Матрицы</t>
  </si>
  <si>
    <t>Пункты 4.1., 5.5., 8.1. Матрицы</t>
  </si>
  <si>
    <t>1. ДТП без ГИБДД, ограничение по неустойке до 100000, а не до 400000</t>
  </si>
  <si>
    <t>НЕД 23</t>
  </si>
  <si>
    <t>Пункты 5.1. Матрицы</t>
  </si>
  <si>
    <t>1. Не начислена неустойка на эвакуатор</t>
  </si>
  <si>
    <t>Пункт 5.2. Матрицы. Поденная неустойка</t>
  </si>
  <si>
    <t>Пункты 1.8., 2.1., 5.1., 8.3., 9., 10. Матрицы</t>
  </si>
  <si>
    <t>1. Перепутаны суммы по НТЭ ФУ с износом и без</t>
  </si>
  <si>
    <t>НА ДР</t>
  </si>
  <si>
    <t>1. Не прописан 2ой договор цессии; 2. С первоначальным заявлением обращался не заявитель</t>
  </si>
  <si>
    <t>Пункт 1.1. Матрицы (не представлено решение суда о взыскании неустйоки)</t>
  </si>
  <si>
    <t>Пункты 5.4., 8.7.(БР) Матрицы</t>
  </si>
  <si>
    <t>1. Хранение БР; 2. Не та дата направления ННР, неправильный расчет ФС</t>
  </si>
  <si>
    <t>Пункты 5.1., 7.1., 8.1. Матрицы</t>
  </si>
  <si>
    <t>1. УТС выплатили добровольно, Заявитель размер УТС не оспорил (сумма по НТЭ Заявителя меньше, чем по НТЭ ФО), в нашу НТЭ не уходим, отказываем как добровольное исполнение</t>
  </si>
  <si>
    <t>Пункт 3.1., 5.1.(БР) Матрицы. Мать в интересах ребенка. Всего 3 выгодоприобретателя. Взыскиваем 158333,33</t>
  </si>
  <si>
    <t>1. Заявитель обращается только в интересах одного ребенка; 2. Взыскание 1/3, а не 100%</t>
  </si>
  <si>
    <t>1. Неверный расчет неустойки (не учтен период до суда)</t>
  </si>
  <si>
    <t>1. Нет расчета неустойки</t>
  </si>
  <si>
    <t>Пункты 1.8., 8.1.(БР) Матрицы</t>
  </si>
  <si>
    <t>1. Нет мотивировки по ограничению неустойки по КАСКО; 2. Не та дата обращения в ФО; 3. Нет расчета неустойки</t>
  </si>
  <si>
    <t>Пункты 1.8., 5.1. Матрицы. Расторжение ОСАГО виновника, но нет, т.к. тотал не подтвердился, уведомление не направили, премию не вернули. Но в этом случае получается надо по ПВУ идти</t>
  </si>
  <si>
    <t>Пункт 6.1. Матрицы. Поденная неустойка</t>
  </si>
  <si>
    <t>НЕ ИМУЩЕСТВЕННОЕ ТРЕБОВАНИЕ</t>
  </si>
  <si>
    <t>Не имущественное требование</t>
  </si>
  <si>
    <t>У-20-70267</t>
  </si>
  <si>
    <t>У-20-71788</t>
  </si>
  <si>
    <t>У-20-72053</t>
  </si>
  <si>
    <t>У-20-72190</t>
  </si>
  <si>
    <t>У-20-73581</t>
  </si>
  <si>
    <t>У-20-73847</t>
  </si>
  <si>
    <t>У-20-79165</t>
  </si>
  <si>
    <t>У-20-79377</t>
  </si>
  <si>
    <t>У-20-79436</t>
  </si>
  <si>
    <t>У-20-79487</t>
  </si>
  <si>
    <t>У-20-79516</t>
  </si>
  <si>
    <t>У-20-79521</t>
  </si>
  <si>
    <t>У-20-79525</t>
  </si>
  <si>
    <t>У-20-79537</t>
  </si>
  <si>
    <t>У-20-79611</t>
  </si>
  <si>
    <t>У-20-79734</t>
  </si>
  <si>
    <t>У-20-79757</t>
  </si>
  <si>
    <t>У-20-79809</t>
  </si>
  <si>
    <t>У-20-79846</t>
  </si>
  <si>
    <t>У-20-79920</t>
  </si>
  <si>
    <t>У-20-80039</t>
  </si>
  <si>
    <t>У-20-80115</t>
  </si>
  <si>
    <t>У-20-80158</t>
  </si>
  <si>
    <t>У-20-80218</t>
  </si>
  <si>
    <t>У-20-80227</t>
  </si>
  <si>
    <t>У-20-80232</t>
  </si>
  <si>
    <t>У-20-80339</t>
  </si>
  <si>
    <t>У-20-80386</t>
  </si>
  <si>
    <t>У-20-80387</t>
  </si>
  <si>
    <t>У-20-80462</t>
  </si>
  <si>
    <t>У-20-80472</t>
  </si>
  <si>
    <t>У-20-80527</t>
  </si>
  <si>
    <t>У-20-80589</t>
  </si>
  <si>
    <t>У-20-80718</t>
  </si>
  <si>
    <t>У-20-80736</t>
  </si>
  <si>
    <t>У-20-80749</t>
  </si>
  <si>
    <t>У-20-80750</t>
  </si>
  <si>
    <t>У-20-80765</t>
  </si>
  <si>
    <t>У-20-80823</t>
  </si>
  <si>
    <t>У-20-80850</t>
  </si>
  <si>
    <t>У-20-80885</t>
  </si>
  <si>
    <t>У-20-80893</t>
  </si>
  <si>
    <t>У-20-80945</t>
  </si>
  <si>
    <t>У-20-80990</t>
  </si>
  <si>
    <t>У-20-81007</t>
  </si>
  <si>
    <t>У-20-81073</t>
  </si>
  <si>
    <t>У-20-81138</t>
  </si>
  <si>
    <t>У-20-81151</t>
  </si>
  <si>
    <t>У-20-81155</t>
  </si>
  <si>
    <t>У-20-81191</t>
  </si>
  <si>
    <t>У-20-81287</t>
  </si>
  <si>
    <t>У-20-81301</t>
  </si>
  <si>
    <t>У-20-81382</t>
  </si>
  <si>
    <t>У-20-81404</t>
  </si>
  <si>
    <t>У-20-81532</t>
  </si>
  <si>
    <t>У-20-81572</t>
  </si>
  <si>
    <t>У-20-81606</t>
  </si>
  <si>
    <t>У-20-81590</t>
  </si>
  <si>
    <t>У-20-81651</t>
  </si>
  <si>
    <t>У-20-81689</t>
  </si>
  <si>
    <t>У-20-81889</t>
  </si>
  <si>
    <t>У-20-81901</t>
  </si>
  <si>
    <t>У-20-81918</t>
  </si>
  <si>
    <t>У-20-82012</t>
  </si>
  <si>
    <t>У-20-82017</t>
  </si>
  <si>
    <t>У-20-82150</t>
  </si>
  <si>
    <t>У-20-82286</t>
  </si>
  <si>
    <t>У-20-82335</t>
  </si>
  <si>
    <t>У-20-82343</t>
  </si>
  <si>
    <t>У-20-82474</t>
  </si>
  <si>
    <t>Горьковская Людмила Петровна</t>
  </si>
  <si>
    <t>Сапрыкин Владимир Александрович</t>
  </si>
  <si>
    <t>Герасимов Александр Сергеевич</t>
  </si>
  <si>
    <t>Малов Евгений Александрович</t>
  </si>
  <si>
    <t>Сайдуллин Владислав Фаукатович</t>
  </si>
  <si>
    <t>Завьялов Сергей Станиславович</t>
  </si>
  <si>
    <t>Андреев Александр Анатольевич</t>
  </si>
  <si>
    <t>Вахрушев Артем Алексеевич</t>
  </si>
  <si>
    <t>Лекомцева Мария Анатольевна</t>
  </si>
  <si>
    <t>Каргин Александр Геннадьевич</t>
  </si>
  <si>
    <t>Нигматуллин Ренат Эдуардович</t>
  </si>
  <si>
    <t>Шведов Михаил Анатольевич</t>
  </si>
  <si>
    <t>Карпова Светлана Владимировна</t>
  </si>
  <si>
    <t>Подборнов Денис Антонович</t>
  </si>
  <si>
    <t>Мухин Сергей Юрьевич</t>
  </si>
  <si>
    <t>НАЗУКИНА АНАСТАСИЯ Витальевна</t>
  </si>
  <si>
    <t>Петрова Агнея Леонидовна</t>
  </si>
  <si>
    <t>Худиева Афсана Шахмирзаевна</t>
  </si>
  <si>
    <t>Курилов Александр Аркадьевич</t>
  </si>
  <si>
    <t>Барамидзе Рауль Отарович</t>
  </si>
  <si>
    <t>Хозиева Римма Сергеевна</t>
  </si>
  <si>
    <t>Москалева Татьяна Александровна</t>
  </si>
  <si>
    <t>Атаян Альберт Александрович</t>
  </si>
  <si>
    <t>Лоскутов Юрий Александрович</t>
  </si>
  <si>
    <t>Морозова Екатерина Николаевна</t>
  </si>
  <si>
    <t>Рудов Вячеслав Сергеевич</t>
  </si>
  <si>
    <t>Чантурия Екатерина Андреевна</t>
  </si>
  <si>
    <t>Гербеков Рамазан Хаджи-Даутович</t>
  </si>
  <si>
    <t>Зубков Артем Викторович</t>
  </si>
  <si>
    <t>Мамонова Светлана Александровна</t>
  </si>
  <si>
    <t>Григорян Армен Хачатурович</t>
  </si>
  <si>
    <t>Асоян Роланд Абасович</t>
  </si>
  <si>
    <t>Асроров Амирджон Аброрович</t>
  </si>
  <si>
    <t>Беляев Сергей Вениаминович</t>
  </si>
  <si>
    <t>Серебренников Алексей Сергеевич</t>
  </si>
  <si>
    <t>Рощин Сергей Валерьевич</t>
  </si>
  <si>
    <t>Тадтаев Марек Хсарбегович</t>
  </si>
  <si>
    <t>Гарин Виктор Михайлович</t>
  </si>
  <si>
    <t>Орлицкий Алексей Михайлович</t>
  </si>
  <si>
    <t>Дубовая Валентина Дмитриевна</t>
  </si>
  <si>
    <t>Машкович Ирина Сергеевна</t>
  </si>
  <si>
    <t>Верясов Святослав Александрович</t>
  </si>
  <si>
    <t>Решетняк Михаил Александрович</t>
  </si>
  <si>
    <t>Ставров Павел Константинович</t>
  </si>
  <si>
    <t>Трубников Андрей Сергеевич</t>
  </si>
  <si>
    <t>Велигура Астхик Артемовна</t>
  </si>
  <si>
    <t>Долов Тимур Геланиевич</t>
  </si>
  <si>
    <t xml:space="preserve">Унгуряну Дорин </t>
  </si>
  <si>
    <t>Робу Анна Александровна</t>
  </si>
  <si>
    <t>Муртазин Ильгиз Ирекович</t>
  </si>
  <si>
    <t>Муллааслан Жамал Мамадалиевич</t>
  </si>
  <si>
    <t>Никитин Александр Дмитриевич</t>
  </si>
  <si>
    <t>Шарафетдинов Андрей Игоревич</t>
  </si>
  <si>
    <t>Дедов Константин Иванович</t>
  </si>
  <si>
    <t>Валиев Ильяс Евгеньевич</t>
  </si>
  <si>
    <t>Музыкантова Татьяна Алексеевна</t>
  </si>
  <si>
    <t>Хугаев Гурам Борисович</t>
  </si>
  <si>
    <t>Розенбаум Владислав Даниилович</t>
  </si>
  <si>
    <t>Байрамкулов Артур Баширович</t>
  </si>
  <si>
    <t>Климин Сергей Михайлович</t>
  </si>
  <si>
    <t>Дыгов Заур Биболович</t>
  </si>
  <si>
    <t>Вавилова Галина Аркадьевна</t>
  </si>
  <si>
    <t>Ахмедов Нурлан Абдулалиевич</t>
  </si>
  <si>
    <t>Лукьянов Константин Александрович</t>
  </si>
  <si>
    <t>Горгондзия Гавриил Николаевич</t>
  </si>
  <si>
    <t>Гамзаев Султан Рузвелтович</t>
  </si>
  <si>
    <t>Латышев Вадим Сергеевич</t>
  </si>
  <si>
    <t>Перминова Марина Витальевна</t>
  </si>
  <si>
    <t>Карпенков Максим Владимирович</t>
  </si>
  <si>
    <t>Пункты 2.1., 5.1., 8.1., 8.3. Матрицы + расходы на услуги автотехнической станции</t>
  </si>
  <si>
    <t>Пункт 1.2. Матрицы. Велосипед</t>
  </si>
  <si>
    <t>Пункт 2.1., 8.2. Матрицы</t>
  </si>
  <si>
    <t>1. ДТП без ГИБДД, лимит 100000</t>
  </si>
  <si>
    <t>Пункты 1.2., 5.1., 8.1.(БР) Матрицы</t>
  </si>
  <si>
    <t>1. Не рассмотрены неустойка и НТЭ</t>
  </si>
  <si>
    <t>Пункт 1.1. Матрицы. ДТП оформлено по европротоколу, однако на момент ДТП полис Заявителя прекратил действие</t>
  </si>
  <si>
    <t>НЕУСТОЙКА (ПОДЕННАЯ) С ПРИМЕНЕНИЕМ ИСКОВОЙ ДАВНОСТИ</t>
  </si>
  <si>
    <t>, а Заявитель узнал о нарушении своего права</t>
  </si>
  <si>
    <t>что подтверждается платежным поручением от</t>
  </si>
  <si>
    <t>В ответе на Запрос</t>
  </si>
  <si>
    <t>просит прекратить рассмотрение Обращения в связи с тем, что Заявитель обратился к Финансовому уполномоченному по истечении трех лет со дня, когда узнал или должен был узнать о нарушении своего права</t>
  </si>
  <si>
    <t>Кроме того,</t>
  </si>
  <si>
    <t>ссылается на истечение исковой давности</t>
  </si>
  <si>
    <t xml:space="preserve">В соответствии со статьей 195 ГК РФ исковой давностью признается срок для защиты права по иску лица, право которого нарушено. 
Согласно пункту 1 статьи 196 ГК РФ общий срок исковой давности составляет три года со дня, определяемого в соответствии со статьей 200 ГК РФ.
В соответствии с пунктом 1 статьи 200 ГК РФ, если законом не установлено иное, течение срока исковой давности начинается со дня, когда лицо узнало или должно было узнать о нарушении своего права и о том, кто является надлежащим ответчиком по иску о защите этого права.
Пунктами 24, 25 Постановления Пленума Верховного Суда Российской Федерации от 29.09.2015 № 43 «О некоторых вопросах, связанных с применением норм Гражданского кодекса Российской Федерации об исковой давности» определено, что по смыслу пункта 1 статьи 200 ГК РФ течение срока давности по иску, вытекающему из нарушения одной стороной договора условия об оплате товара (работ, услуг) по частям, начинается в отношении каждой отдельной части. Срок давности по искам о просроченных повременных платежах (проценты за пользование заемными средствами, арендная плата и т.п.) исчисляется отдельно по каждому просроченному платежу.
Срок исковой давности по требованию о взыскании неустойки (статья 330 ГК РФ) или процентов, подлежащих уплате по правилам статьи 395 ГК РФ, исчисляется отдельно по каждому просроченному платежу, определяемому применительно к каждому дню просрочки.
В силу пункта 1 статьи 207 ГК РФ с истечением срока исковой давности по главному требованию считается истекшим срок исковой давности и по дополнительным требованиям (проценты, неустойка, залог, поручительство и т.п.), в том числе возникшим после истечения срока исковой давности по главному требованию.
Вместе с тем, в соответствии с позицией, изложенной в пункте 25 Обзора судебной практики Верховного Суда Российской Федерации № 3 (2019), утвержденного 27.11.2019 Президиумом Верховного Суда Российской Федерации, положения пункта 1 статьи 207 ГК РФ не применяются к дополнительным требованиям в случае, когда основное обязательство исполнено должником с просрочкой, но в пределах срока исковой давности.
</t>
  </si>
  <si>
    <t>В рамках рассмотрения Обращения Финансовым уполномоченным установлено, что</t>
  </si>
  <si>
    <t>Заявителем подано в АО «СОГАЗ» Заявление о страховом возмещении.</t>
  </si>
  <si>
    <t>Поскольку выплата страхового возмещения осуществлена</t>
  </si>
  <si>
    <t>, страховое возмещение по Договору ОСАГО выплачено</t>
  </si>
  <si>
    <t>с просрочкой, но в пределах срока исковой давности.</t>
  </si>
  <si>
    <t>Поскольку Решение суда, в том числе в части выплаты взысканного страхового возмещения, исполнено</t>
  </si>
  <si>
    <t>Следовательно, к заявленному требованию о взыскании неустойки не может быть применено правило статьи 207 ГК РФ, а исковая давность подлежит исчислению по правилам, указанным в пунктах 24, 25 Постановления Пленума Верховного Суда Российской Федерации от 29.09.2015 № 43 «О некоторых вопросах, связанных с применением норм Гражданского кодекса Российской Федерации об исковой давности».</t>
  </si>
  <si>
    <t>Ссылка</t>
  </si>
  <si>
    <t>на истечение срока для направления обращения финансовому уполномоченному, установленного статьей 15 Закона № 123-ФЗ, также подлежит отклонению финансовым уполномоченным по следующим причинам.</t>
  </si>
  <si>
    <t xml:space="preserve">Согласно пункту 1 статьи 15 Закона № 123-ФЗ финансовый уполномоченный рассматривает обращения в отношении финансовых организаций, если со дня, когда потребитель финансовых услуг узнал или должен был узнать о нарушении своего права, прошло не более трех лет.
Поскольку неустойка является мерой ответственности за нарушение гражданского-правового обязательства и ее возникновение само по себе связано с нарушением права, установленный статьей 15 Закона № 123-ФЗ срок следует исчислять со дня, когда у Заявителя появилось право требования неустойки или ее соответствующей части (при повременном начислении неустойки).
В связи с тем, что неустойка, предусмотренная Законом № 40-ФЗ, начисляется поденно, срок, установленный статьей 15 Закона № 123-ФЗ, подлежит отдельному исчислению применительно к каждому дню, за который начислена неустойка (в части суммы неустойки, начисленной за соответствующий день).
</t>
  </si>
  <si>
    <t>Со дня начала периода начисления неустойки и до обращения Заявителя к Финансовому уполномоченному (</t>
  </si>
  <si>
    <t>) прошло более 3 лет, Финансовый уполномоченный приходит к выводу об истечении сроков на предъявление Заявителем исковых требований и о необходимости применения к заявленному требованию о взыскании неустойки правило статьи 207 ГК РФ.</t>
  </si>
  <si>
    <t>Следовательно, Финансовым уполномоченным подлежит рассмотрению требование Заявителя в части взыскания неустойки за период с</t>
  </si>
  <si>
    <t>(дата начала указанного трехгодичного периода) по</t>
  </si>
  <si>
    <t>(дата исполнения обязательства по выплате страхового возмещения), начисляемой на сумму</t>
  </si>
  <si>
    <t>взысканного по Решению суда</t>
  </si>
  <si>
    <t>выплаченного</t>
  </si>
  <si>
    <t>страхового возмещения в размере</t>
  </si>
  <si>
    <t>Требование Заявителя в части взыскания неустойки за период, предшествующий</t>
  </si>
  <si>
    <t>, не подлежит рассмотрению Финансовым уполномоченным на основании пункта 1 части 1 статьи 19 Закона № 123-ФЗ.</t>
  </si>
  <si>
    <t>В соответствии с требованиями, установленными пунктом 21 статьи 12 Закона № 40-ФЗ, размер неустойки за нарушение срока выплаты страхового возмещения, начисленной за период с</t>
  </si>
  <si>
    <t>на сумму</t>
  </si>
  <si>
    <t>, составляет</t>
  </si>
  <si>
    <t>× 1% ×</t>
  </si>
  <si>
    <t>дней)</t>
  </si>
  <si>
    <t>Поскольку указанный период находится в пределах срока, установленного в пункте 2 статьи 966 ГК РФ (3 года), основания для применения при рассмотрении настоящего Обращения исковой давности отсутствуют.</t>
  </si>
  <si>
    <t>Таким образом, требование Заявителя в части взыскания неустойки за период с</t>
  </si>
  <si>
    <t>подлежит удовлетворению размере</t>
  </si>
  <si>
    <t>Пунктом 21 статьи 12 Закона № 40-ФЗ установлено, что в течение 20 календарных дней, за исключением нерабочих праздничных дней, а в случае, предусмотренном пунктом 15.3 статьи 12 Закона № 40-ФЗ, 30 календарных дней, за исключением нерабочих праздничных дней, со дня принятия к рассмотрению заявления потерпевшего о страховом возмещении или прямом возмещении убытков и приложенных к нему документов, предусмотренных правилами обязательного страхования, страховщик обязан произвести страховую выплату потерпевшему или после осмотра и (или) независимой технической экспертизы поврежденного транспортного средства выдать потерпевшему направление на ремонт транспортного средства с указанием станции технического обслуживания, на которой будет отремонтировано его транспортное средство и которой страховщик оплатит восстановительный ремонт поврежденного транспортного средства, и срока ремонта либо направить потерпевшему мотивированный отказ в страховом возмещении.
При несоблюдении срока осуществления страховой выплаты или срока выдачи потерпевшему направления на ремонт транспортного средства страховщик за каждый день просрочки уплачивает потерпевшему неустойку (пеню) в размере одного процента от определенного в соответствии с Законом № 40-ФЗ размера страхового возмещения по виду причиненного вреда каждому потерпевшему. 
Пунктом 78 Постановления Пленума Верховного Суда Российской Федерации от 26.12.2017 № 58 «О применении судами законодательства об обязательном страховании гражданской ответственности владельцев транспортных средств» установлено, что неустойка исчисляется со дня, следующего за днем, установленным для принятия решения о выплате страхового возмещения, то есть с 21 дня после получения страховщиком заявления потерпевшего о страховой выплате и документов, предусмотренных Правилами ОСАГО, и до дня фактического исполнения страховщиком обязательства по договору включительно.
Статьей 191 Гражданского кодекса Российской Федерации (далее – ГК РФ) установлено, что течение срока, определённого периодом времени, начинается на следующий день после календарной даты или наступления события, которыми определено его начало.</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</si>
</sst>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0.00\ &quot;₽&quot;"/>
    <numFmt numFmtId="165" formatCode="dd\.mm\.yyyy"/>
    <numFmt numFmtId="166" formatCode="##,##0&quot; кг&quot;"/>
    <numFmt numFmtId="167" formatCode="0.0"/>
    <numFmt numFmtId="168" formatCode="h:mm;@"/>
    <numFmt numFmtId="169" formatCode="[h]:mm:ss;@"/>
  </numFmts>
  <fonts count="35" x14ac:knownFonts="1">
    <font>
      <sz val="11"/>
      <color theme="1"/>
      <name val="Calibri"/>
      <family val="2"/>
      <charset val="204"/>
      <scheme val="minor"/>
    </font>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u/>
      <sz val="11"/>
      <color theme="10"/>
      <name val="Calibri"/>
      <family val="2"/>
      <scheme val="minor"/>
    </font>
    <font>
      <b/>
      <u/>
      <sz val="11"/>
      <color rgb="FFFFC000"/>
      <name val="Calibri"/>
      <family val="2"/>
      <charset val="204"/>
      <scheme val="minor"/>
    </font>
    <font>
      <b/>
      <sz val="11"/>
      <name val="Calibri"/>
      <family val="2"/>
      <charset val="204"/>
      <scheme val="minor"/>
    </font>
    <font>
      <sz val="11"/>
      <color theme="1"/>
      <name val="Calibri"/>
      <family val="2"/>
      <charset val="204"/>
    </font>
    <font>
      <sz val="11"/>
      <color theme="1"/>
      <name val="Calibri"/>
      <family val="2"/>
      <scheme val="minor"/>
    </font>
    <font>
      <b/>
      <sz val="11"/>
      <color rgb="FF92D050"/>
      <name val="Calibri"/>
      <family val="2"/>
      <charset val="204"/>
      <scheme val="minor"/>
    </font>
    <font>
      <b/>
      <sz val="11"/>
      <color rgb="FFFF7979"/>
      <name val="Calibri"/>
      <family val="2"/>
      <charset val="204"/>
      <scheme val="minor"/>
    </font>
    <font>
      <b/>
      <sz val="11"/>
      <color rgb="FFFF0000"/>
      <name val="Calibri"/>
      <family val="2"/>
      <charset val="204"/>
      <scheme val="minor"/>
    </font>
    <font>
      <b/>
      <sz val="14"/>
      <color theme="0"/>
      <name val="Calibri"/>
      <family val="2"/>
      <charset val="204"/>
      <scheme val="minor"/>
    </font>
    <font>
      <b/>
      <sz val="11"/>
      <color rgb="FFFFC000"/>
      <name val="Calibri"/>
      <family val="2"/>
      <charset val="204"/>
      <scheme val="minor"/>
    </font>
    <font>
      <sz val="8"/>
      <color rgb="FF000000"/>
      <name val="Segoe UI"/>
      <family val="2"/>
      <charset val="204"/>
    </font>
    <font>
      <b/>
      <sz val="16"/>
      <color rgb="FF000000"/>
      <name val="Calibri"/>
      <family val="2"/>
      <charset val="204"/>
    </font>
    <font>
      <sz val="11"/>
      <color indexed="8"/>
      <name val="Calibri"/>
      <family val="2"/>
      <charset val="204"/>
      <scheme val="minor"/>
    </font>
    <font>
      <u/>
      <sz val="11"/>
      <color theme="10"/>
      <name val="Calibri"/>
      <family val="2"/>
      <charset val="204"/>
      <scheme val="minor"/>
    </font>
    <font>
      <sz val="10"/>
      <name val="Arial"/>
      <family val="2"/>
      <charset val="204"/>
    </font>
    <font>
      <sz val="11"/>
      <color theme="0"/>
      <name val="Calibri"/>
      <family val="2"/>
      <charset val="204"/>
      <scheme val="minor"/>
    </font>
    <font>
      <sz val="11"/>
      <color rgb="FFFF0000"/>
      <name val="Calibri"/>
      <family val="2"/>
      <charset val="204"/>
      <scheme val="minor"/>
    </font>
    <font>
      <b/>
      <sz val="22"/>
      <color rgb="FF000000"/>
      <name val="Calibri"/>
      <family val="2"/>
      <charset val="204"/>
    </font>
    <font>
      <sz val="11"/>
      <name val="Calibri"/>
      <family val="2"/>
      <charset val="204"/>
      <scheme val="minor"/>
    </font>
    <font>
      <b/>
      <sz val="12"/>
      <color rgb="FF000000"/>
      <name val="Calibri"/>
      <family val="2"/>
      <charset val="204"/>
    </font>
    <font>
      <b/>
      <sz val="11"/>
      <color indexed="81"/>
      <name val="Tahoma"/>
      <family val="2"/>
      <charset val="204"/>
    </font>
    <font>
      <sz val="9"/>
      <color indexed="81"/>
      <name val="Tahoma"/>
      <family val="2"/>
      <charset val="204"/>
    </font>
    <font>
      <b/>
      <sz val="9"/>
      <color indexed="81"/>
      <name val="Tahoma"/>
      <family val="2"/>
      <charset val="204"/>
    </font>
    <font>
      <b/>
      <sz val="12"/>
      <color theme="0"/>
      <name val="Calibri"/>
      <family val="2"/>
      <charset val="204"/>
      <scheme val="minor"/>
    </font>
    <font>
      <b/>
      <sz val="14"/>
      <color theme="1"/>
      <name val="Calibri"/>
      <family val="2"/>
      <charset val="204"/>
      <scheme val="minor"/>
    </font>
    <font>
      <b/>
      <sz val="16"/>
      <name val="Calibri"/>
      <family val="2"/>
      <charset val="204"/>
      <scheme val="minor"/>
    </font>
    <font>
      <b/>
      <sz val="16"/>
      <color theme="0"/>
      <name val="Calibri"/>
      <family val="2"/>
      <charset val="204"/>
      <scheme val="minor"/>
    </font>
    <font>
      <b/>
      <sz val="12"/>
      <color theme="1"/>
      <name val="Calibri"/>
      <family val="2"/>
      <charset val="204"/>
      <scheme val="minor"/>
    </font>
    <font>
      <sz val="14"/>
      <name val="Calibri"/>
      <family val="2"/>
      <charset val="204"/>
      <scheme val="minor"/>
    </font>
    <font>
      <sz val="14"/>
      <color theme="1"/>
      <name val="Times New Roman"/>
      <family val="1"/>
      <charset val="204"/>
    </font>
    <font>
      <b/>
      <sz val="10"/>
      <color indexed="81"/>
      <name val="Tahoma"/>
      <family val="2"/>
      <charset val="204"/>
    </font>
  </fonts>
  <fills count="21">
    <fill>
      <patternFill patternType="none"/>
    </fill>
    <fill>
      <patternFill patternType="gray125"/>
    </fill>
    <fill>
      <patternFill patternType="solid">
        <fgColor theme="1" tint="0.34998626667073579"/>
        <bgColor indexed="64"/>
      </patternFill>
    </fill>
    <fill>
      <patternFill patternType="solid">
        <fgColor theme="7" tint="0.59999389629810485"/>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7030A0"/>
        <bgColor indexed="64"/>
      </patternFill>
    </fill>
    <fill>
      <patternFill patternType="solid">
        <fgColor rgb="FFFFC000"/>
        <bgColor indexed="64"/>
      </patternFill>
    </fill>
    <fill>
      <patternFill patternType="solid">
        <fgColor rgb="FFFF7979"/>
        <bgColor indexed="64"/>
      </patternFill>
    </fill>
    <fill>
      <patternFill patternType="solid">
        <fgColor theme="0" tint="-0.249977111117893"/>
        <bgColor indexed="64"/>
      </patternFill>
    </fill>
    <fill>
      <patternFill patternType="solid">
        <fgColor rgb="FF0070C0"/>
        <bgColor indexed="64"/>
      </patternFill>
    </fill>
    <fill>
      <patternFill patternType="solid">
        <fgColor rgb="FF8D54E2"/>
        <bgColor indexed="64"/>
      </patternFill>
    </fill>
    <fill>
      <patternFill patternType="solid">
        <fgColor rgb="FFC00000"/>
        <bgColor indexed="64"/>
      </patternFill>
    </fill>
    <fill>
      <patternFill patternType="solid">
        <fgColor theme="4"/>
        <bgColor indexed="64"/>
      </patternFill>
    </fill>
    <fill>
      <patternFill patternType="solid">
        <fgColor theme="5"/>
        <bgColor indexed="64"/>
      </patternFill>
    </fill>
    <fill>
      <patternFill patternType="solid">
        <fgColor theme="8"/>
        <bgColor indexed="64"/>
      </patternFill>
    </fill>
    <fill>
      <patternFill patternType="solid">
        <fgColor theme="6"/>
        <bgColor indexed="64"/>
      </patternFill>
    </fill>
    <fill>
      <patternFill patternType="solid">
        <fgColor theme="7"/>
        <bgColor indexed="64"/>
      </patternFill>
    </fill>
    <fill>
      <patternFill patternType="solid">
        <fgColor rgb="FF595959"/>
        <bgColor indexed="64"/>
      </patternFill>
    </fill>
    <fill>
      <patternFill patternType="solid">
        <fgColor theme="7" tint="0.79998168889431442"/>
        <bgColor indexed="64"/>
      </patternFill>
    </fill>
  </fills>
  <borders count="71">
    <border>
      <left/>
      <right/>
      <top/>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style="thick">
        <color auto="1"/>
      </top>
      <bottom style="thick">
        <color auto="1"/>
      </bottom>
      <diagonal/>
    </border>
    <border>
      <left style="thick">
        <color auto="1"/>
      </left>
      <right style="thick">
        <color auto="1"/>
      </right>
      <top/>
      <bottom style="thick">
        <color auto="1"/>
      </bottom>
      <diagonal/>
    </border>
    <border>
      <left style="thin">
        <color auto="1"/>
      </left>
      <right style="thin">
        <color auto="1"/>
      </right>
      <top style="thick">
        <color auto="1"/>
      </top>
      <bottom style="thin">
        <color auto="1"/>
      </bottom>
      <diagonal/>
    </border>
    <border>
      <left/>
      <right/>
      <top style="thick">
        <color auto="1"/>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n">
        <color auto="1"/>
      </bottom>
      <diagonal/>
    </border>
    <border>
      <left/>
      <right style="thick">
        <color auto="1"/>
      </right>
      <top/>
      <bottom/>
      <diagonal/>
    </border>
    <border>
      <left style="thick">
        <color auto="1"/>
      </left>
      <right/>
      <top style="thin">
        <color auto="1"/>
      </top>
      <bottom style="thin">
        <color auto="1"/>
      </bottom>
      <diagonal/>
    </border>
    <border>
      <left style="thick">
        <color auto="1"/>
      </left>
      <right/>
      <top/>
      <bottom/>
      <diagonal/>
    </border>
    <border>
      <left style="thick">
        <color auto="1"/>
      </left>
      <right style="thick">
        <color auto="1"/>
      </right>
      <top style="thick">
        <color auto="1"/>
      </top>
      <bottom style="thin">
        <color auto="1"/>
      </bottom>
      <diagonal/>
    </border>
    <border>
      <left style="thick">
        <color auto="1"/>
      </left>
      <right style="thick">
        <color auto="1"/>
      </right>
      <top style="thin">
        <color auto="1"/>
      </top>
      <bottom style="thick">
        <color auto="1"/>
      </bottom>
      <diagonal/>
    </border>
    <border>
      <left style="thin">
        <color auto="1"/>
      </left>
      <right style="thin">
        <color auto="1"/>
      </right>
      <top style="thin">
        <color auto="1"/>
      </top>
      <bottom style="thin">
        <color auto="1"/>
      </bottom>
      <diagonal/>
    </border>
    <border>
      <left style="thin">
        <color rgb="FFB2A79A"/>
      </left>
      <right style="thin">
        <color rgb="FFB2A79A"/>
      </right>
      <top style="thin">
        <color rgb="FFB2A79A"/>
      </top>
      <bottom style="thin">
        <color rgb="FFB2A79A"/>
      </bottom>
      <diagonal/>
    </border>
    <border>
      <left style="thick">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top/>
      <bottom style="thick">
        <color auto="1"/>
      </bottom>
      <diagonal/>
    </border>
    <border>
      <left/>
      <right/>
      <top style="thin">
        <color auto="1"/>
      </top>
      <bottom/>
      <diagonal/>
    </border>
    <border>
      <left/>
      <right style="thick">
        <color auto="1"/>
      </right>
      <top style="thin">
        <color auto="1"/>
      </top>
      <bottom/>
      <diagonal/>
    </border>
    <border>
      <left style="thick">
        <color auto="1"/>
      </left>
      <right style="thick">
        <color auto="1"/>
      </right>
      <top style="thin">
        <color auto="1"/>
      </top>
      <bottom/>
      <diagonal/>
    </border>
    <border>
      <left/>
      <right style="thin">
        <color auto="1"/>
      </right>
      <top style="thick">
        <color auto="1"/>
      </top>
      <bottom style="thin">
        <color auto="1"/>
      </bottom>
      <diagonal/>
    </border>
    <border>
      <left/>
      <right/>
      <top style="thick">
        <color auto="1"/>
      </top>
      <bottom style="thin">
        <color auto="1"/>
      </bottom>
      <diagonal/>
    </border>
    <border>
      <left style="thin">
        <color auto="1"/>
      </left>
      <right style="thick">
        <color auto="1"/>
      </right>
      <top style="thin">
        <color auto="1"/>
      </top>
      <bottom style="thick">
        <color auto="1"/>
      </bottom>
      <diagonal/>
    </border>
    <border>
      <left style="thin">
        <color auto="1"/>
      </left>
      <right style="thin">
        <color auto="1"/>
      </right>
      <top style="thick">
        <color auto="1"/>
      </top>
      <bottom style="thick">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thick">
        <color auto="1"/>
      </left>
      <right style="thick">
        <color auto="1"/>
      </right>
      <top style="thin">
        <color auto="1"/>
      </top>
      <bottom style="thin">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top style="thin">
        <color auto="1"/>
      </top>
      <bottom/>
      <diagonal/>
    </border>
    <border>
      <left style="thin">
        <color auto="1"/>
      </left>
      <right style="thin">
        <color auto="1"/>
      </right>
      <top style="thin">
        <color auto="1"/>
      </top>
      <bottom/>
      <diagonal/>
    </border>
    <border>
      <left/>
      <right style="thick">
        <color auto="1"/>
      </right>
      <top style="thick">
        <color auto="1"/>
      </top>
      <bottom style="thin">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thin">
        <color auto="1"/>
      </left>
      <right/>
      <top style="thin">
        <color auto="1"/>
      </top>
      <bottom/>
      <diagonal/>
    </border>
    <border>
      <left style="thin">
        <color auto="1"/>
      </left>
      <right style="thick">
        <color auto="1"/>
      </right>
      <top style="thin">
        <color auto="1"/>
      </top>
      <bottom/>
      <diagonal/>
    </border>
    <border>
      <left style="thin">
        <color auto="1"/>
      </left>
      <right style="thin">
        <color auto="1"/>
      </right>
      <top style="thick">
        <color auto="1"/>
      </top>
      <bottom/>
      <diagonal/>
    </border>
    <border>
      <left style="thick">
        <color auto="1"/>
      </left>
      <right style="thin">
        <color auto="1"/>
      </right>
      <top/>
      <bottom style="thin">
        <color auto="1"/>
      </bottom>
      <diagonal/>
    </border>
    <border>
      <left style="thick">
        <color auto="1"/>
      </left>
      <right style="thick">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right/>
      <top style="thin">
        <color auto="1"/>
      </top>
      <bottom style="thin">
        <color auto="1"/>
      </bottom>
      <diagonal/>
    </border>
    <border>
      <left style="thick">
        <color auto="1"/>
      </left>
      <right style="thick">
        <color auto="1"/>
      </right>
      <top/>
      <bottom/>
      <diagonal/>
    </border>
    <border>
      <left/>
      <right style="thin">
        <color auto="1"/>
      </right>
      <top/>
      <bottom style="thin">
        <color auto="1"/>
      </bottom>
      <diagonal/>
    </border>
    <border>
      <left/>
      <right style="thin">
        <color auto="1"/>
      </right>
      <top style="thin">
        <color auto="1"/>
      </top>
      <bottom/>
      <diagonal/>
    </border>
    <border>
      <left style="thick">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ck">
        <color auto="1"/>
      </bottom>
      <diagonal/>
    </border>
    <border>
      <left/>
      <right/>
      <top style="thin">
        <color auto="1"/>
      </top>
      <bottom style="thick">
        <color auto="1"/>
      </bottom>
      <diagonal/>
    </border>
    <border>
      <left style="thin">
        <color auto="1"/>
      </left>
      <right/>
      <top style="thick">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thick">
        <color auto="1"/>
      </bottom>
      <diagonal/>
    </border>
    <border>
      <left/>
      <right style="thin">
        <color auto="1"/>
      </right>
      <top/>
      <bottom/>
      <diagonal/>
    </border>
    <border>
      <left/>
      <right style="thin">
        <color auto="1"/>
      </right>
      <top style="thick">
        <color auto="1"/>
      </top>
      <bottom/>
      <diagonal/>
    </border>
    <border>
      <left/>
      <right style="thin">
        <color auto="1"/>
      </right>
      <top/>
      <bottom style="thick">
        <color auto="1"/>
      </bottom>
      <diagonal/>
    </border>
    <border>
      <left style="thick">
        <color auto="1"/>
      </left>
      <right/>
      <top style="thin">
        <color auto="1"/>
      </top>
      <bottom style="thick">
        <color auto="1"/>
      </bottom>
      <diagonal/>
    </border>
    <border>
      <left style="thin">
        <color auto="1"/>
      </left>
      <right/>
      <top/>
      <bottom style="thin">
        <color auto="1"/>
      </bottom>
      <diagonal/>
    </border>
    <border>
      <left style="thin">
        <color auto="1"/>
      </left>
      <right/>
      <top style="thick">
        <color auto="1"/>
      </top>
      <bottom style="thick">
        <color auto="1"/>
      </bottom>
      <diagonal/>
    </border>
    <border>
      <left style="thick">
        <color auto="1"/>
      </left>
      <right/>
      <top/>
      <bottom style="thin">
        <color auto="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8" fillId="0" borderId="0"/>
    <xf numFmtId="9" fontId="1" fillId="0" borderId="0" applyFont="0" applyFill="0" applyBorder="0" applyAlignment="0" applyProtection="0"/>
  </cellStyleXfs>
  <cellXfs count="877">
    <xf numFmtId="0" fontId="0" fillId="0" borderId="0" xfId="0"/>
    <xf numFmtId="0" fontId="3" fillId="10" borderId="3" xfId="0" applyFont="1" applyFill="1" applyBorder="1" applyAlignment="1">
      <alignment horizontal="center" vertical="center"/>
    </xf>
    <xf numFmtId="0" fontId="3" fillId="10" borderId="5" xfId="0" applyFont="1" applyFill="1" applyBorder="1" applyAlignment="1">
      <alignment horizontal="center" vertical="center"/>
    </xf>
    <xf numFmtId="0" fontId="0" fillId="0" borderId="0" xfId="0" applyAlignment="1"/>
    <xf numFmtId="14" fontId="0" fillId="0" borderId="0" xfId="0" applyNumberFormat="1"/>
    <xf numFmtId="0" fontId="0" fillId="0" borderId="0" xfId="0" applyAlignment="1">
      <alignment horizontal="center" vertical="center"/>
    </xf>
    <xf numFmtId="0" fontId="0" fillId="0" borderId="0" xfId="0" applyAlignment="1">
      <alignment wrapText="1"/>
    </xf>
    <xf numFmtId="0" fontId="7" fillId="0" borderId="0" xfId="0" applyFont="1"/>
    <xf numFmtId="0" fontId="0" fillId="5" borderId="0" xfId="0" applyFill="1"/>
    <xf numFmtId="0" fontId="8" fillId="0" borderId="0" xfId="4"/>
    <xf numFmtId="0" fontId="3" fillId="6" borderId="4" xfId="4" applyFont="1" applyFill="1" applyBorder="1" applyAlignment="1">
      <alignment horizontal="center" vertical="center" wrapText="1"/>
    </xf>
    <xf numFmtId="1" fontId="3" fillId="6" borderId="4" xfId="4" applyNumberFormat="1" applyFont="1" applyFill="1" applyBorder="1" applyAlignment="1">
      <alignment horizontal="center" vertical="center" wrapText="1"/>
    </xf>
    <xf numFmtId="0" fontId="8" fillId="0" borderId="6" xfId="4" applyBorder="1" applyAlignment="1">
      <alignment horizontal="left" vertical="center"/>
    </xf>
    <xf numFmtId="1" fontId="8" fillId="0" borderId="6" xfId="4" applyNumberFormat="1" applyBorder="1" applyAlignment="1">
      <alignment horizontal="center" vertical="center"/>
    </xf>
    <xf numFmtId="14" fontId="8" fillId="0" borderId="6" xfId="4" applyNumberFormat="1" applyBorder="1" applyAlignment="1">
      <alignment horizontal="center" vertical="center"/>
    </xf>
    <xf numFmtId="0" fontId="8" fillId="0" borderId="20" xfId="4" applyBorder="1" applyAlignment="1">
      <alignment horizontal="left" vertical="center"/>
    </xf>
    <xf numFmtId="1" fontId="8" fillId="0" borderId="20" xfId="4" applyNumberFormat="1" applyBorder="1" applyAlignment="1">
      <alignment horizontal="center" vertical="center"/>
    </xf>
    <xf numFmtId="14" fontId="8" fillId="0" borderId="20" xfId="4" applyNumberFormat="1" applyBorder="1" applyAlignment="1">
      <alignment horizontal="center" vertical="center"/>
    </xf>
    <xf numFmtId="0" fontId="8" fillId="0" borderId="20" xfId="4" applyBorder="1" applyAlignment="1">
      <alignment horizontal="center" vertical="center"/>
    </xf>
    <xf numFmtId="0" fontId="3" fillId="0" borderId="0" xfId="4" applyFont="1" applyAlignment="1">
      <alignment horizontal="center" vertical="center" wrapText="1"/>
    </xf>
    <xf numFmtId="0" fontId="8" fillId="0" borderId="0" xfId="4" applyAlignment="1">
      <alignment vertical="center"/>
    </xf>
    <xf numFmtId="0" fontId="8" fillId="0" borderId="0" xfId="4" applyAlignment="1">
      <alignment horizontal="center" vertical="center"/>
    </xf>
    <xf numFmtId="0" fontId="8" fillId="0" borderId="0" xfId="4" applyAlignment="1">
      <alignment horizontal="left" vertical="center"/>
    </xf>
    <xf numFmtId="0" fontId="4" fillId="0" borderId="0" xfId="3" applyAlignment="1">
      <alignment horizontal="left" vertical="center"/>
    </xf>
    <xf numFmtId="14" fontId="3" fillId="0" borderId="6"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164" fontId="6" fillId="0" borderId="4" xfId="0" applyNumberFormat="1" applyFont="1" applyBorder="1" applyAlignment="1" applyProtection="1">
      <alignment vertical="center"/>
      <protection locked="0"/>
    </xf>
    <xf numFmtId="0" fontId="2" fillId="2" borderId="14" xfId="3" applyFont="1" applyFill="1" applyBorder="1" applyAlignment="1" applyProtection="1">
      <alignment horizontal="left" vertical="center"/>
      <protection locked="0"/>
    </xf>
    <xf numFmtId="164" fontId="3" fillId="0" borderId="0" xfId="0" applyNumberFormat="1" applyFont="1" applyFill="1" applyBorder="1" applyAlignment="1" applyProtection="1">
      <alignment horizontal="right" vertical="center"/>
      <protection locked="0"/>
    </xf>
    <xf numFmtId="0" fontId="1" fillId="0" borderId="0" xfId="0" applyFont="1" applyAlignment="1" applyProtection="1">
      <protection locked="0"/>
    </xf>
    <xf numFmtId="14" fontId="1" fillId="0" borderId="0" xfId="0" applyNumberFormat="1" applyFont="1" applyAlignment="1" applyProtection="1">
      <protection locked="0"/>
    </xf>
    <xf numFmtId="0" fontId="1" fillId="3" borderId="0" xfId="0" applyFont="1" applyFill="1" applyAlignment="1" applyProtection="1">
      <alignment horizontal="left"/>
      <protection locked="0"/>
    </xf>
    <xf numFmtId="0" fontId="2" fillId="2" borderId="16" xfId="3" applyFont="1" applyFill="1" applyBorder="1" applyAlignment="1" applyProtection="1">
      <alignment horizontal="left" vertical="center"/>
      <protection locked="0"/>
    </xf>
    <xf numFmtId="164" fontId="3" fillId="0" borderId="0" xfId="0" applyNumberFormat="1" applyFont="1" applyBorder="1" applyAlignment="1" applyProtection="1">
      <alignment horizontal="right"/>
      <protection locked="0"/>
    </xf>
    <xf numFmtId="164" fontId="3" fillId="0" borderId="0" xfId="0" applyNumberFormat="1" applyFont="1" applyBorder="1" applyAlignment="1" applyProtection="1">
      <protection locked="0"/>
    </xf>
    <xf numFmtId="0" fontId="3" fillId="0" borderId="6" xfId="0" applyFont="1" applyBorder="1" applyAlignment="1" applyProtection="1">
      <alignment horizontal="left" vertical="center"/>
      <protection locked="0"/>
    </xf>
    <xf numFmtId="49" fontId="2" fillId="2" borderId="4" xfId="0" applyNumberFormat="1" applyFont="1" applyFill="1" applyBorder="1" applyAlignment="1" applyProtection="1">
      <alignment horizontal="center" vertical="center"/>
      <protection locked="0"/>
    </xf>
    <xf numFmtId="14" fontId="2" fillId="2" borderId="4" xfId="0" applyNumberFormat="1" applyFont="1" applyFill="1" applyBorder="1" applyAlignment="1" applyProtection="1">
      <alignment horizontal="center" vertical="center"/>
      <protection locked="0"/>
    </xf>
    <xf numFmtId="14" fontId="1" fillId="0" borderId="11" xfId="0" applyNumberFormat="1" applyFont="1" applyBorder="1" applyAlignment="1" applyProtection="1">
      <alignment horizontal="center"/>
      <protection locked="0"/>
    </xf>
    <xf numFmtId="14" fontId="1" fillId="0" borderId="13" xfId="0" applyNumberFormat="1" applyFont="1" applyBorder="1" applyAlignment="1" applyProtection="1">
      <alignment horizontal="center"/>
      <protection locked="0"/>
    </xf>
    <xf numFmtId="164" fontId="3" fillId="0" borderId="12" xfId="0" applyNumberFormat="1" applyFont="1" applyBorder="1" applyAlignment="1" applyProtection="1">
      <protection locked="0"/>
    </xf>
    <xf numFmtId="164" fontId="3" fillId="0" borderId="7" xfId="0" applyNumberFormat="1" applyFont="1" applyBorder="1" applyAlignment="1" applyProtection="1">
      <alignment vertical="center"/>
      <protection locked="0"/>
    </xf>
    <xf numFmtId="0" fontId="0" fillId="0" borderId="0" xfId="0" applyFont="1" applyAlignment="1" applyProtection="1">
      <protection locked="0"/>
    </xf>
    <xf numFmtId="0" fontId="2" fillId="2" borderId="18" xfId="0" applyFont="1" applyFill="1" applyBorder="1" applyAlignment="1" applyProtection="1">
      <alignment horizontal="center" vertical="center"/>
      <protection locked="0"/>
    </xf>
    <xf numFmtId="14" fontId="3" fillId="0" borderId="19" xfId="0" applyNumberFormat="1" applyFont="1" applyBorder="1" applyAlignment="1" applyProtection="1">
      <alignment horizontal="center" vertical="center"/>
      <protection locked="0"/>
    </xf>
    <xf numFmtId="0" fontId="3" fillId="8" borderId="4" xfId="0" applyFont="1" applyFill="1" applyBorder="1" applyAlignment="1">
      <alignment horizontal="center" vertical="center"/>
    </xf>
    <xf numFmtId="0" fontId="0" fillId="0" borderId="4" xfId="0" applyBorder="1" applyAlignment="1"/>
    <xf numFmtId="0" fontId="11" fillId="0" borderId="0" xfId="0" applyFont="1" applyAlignment="1"/>
    <xf numFmtId="0" fontId="3" fillId="0" borderId="22" xfId="0" applyFont="1" applyBorder="1" applyAlignment="1" applyProtection="1">
      <alignment horizontal="center" vertical="center"/>
      <protection locked="0"/>
    </xf>
    <xf numFmtId="0" fontId="0" fillId="0" borderId="12" xfId="0" applyFont="1" applyBorder="1" applyAlignment="1" applyProtection="1">
      <protection locked="0"/>
    </xf>
    <xf numFmtId="0" fontId="0" fillId="0" borderId="2" xfId="0" applyFont="1" applyBorder="1" applyAlignment="1" applyProtection="1">
      <protection locked="0"/>
    </xf>
    <xf numFmtId="0" fontId="0" fillId="0" borderId="0" xfId="0" applyAlignment="1" applyProtection="1">
      <protection locked="0"/>
    </xf>
    <xf numFmtId="164" fontId="0" fillId="0" borderId="0" xfId="0" applyNumberFormat="1" applyBorder="1" applyAlignment="1" applyProtection="1">
      <protection locked="0"/>
    </xf>
    <xf numFmtId="0" fontId="0" fillId="0" borderId="0"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164" fontId="0" fillId="0" borderId="15" xfId="0" applyNumberFormat="1" applyBorder="1" applyAlignment="1" applyProtection="1">
      <alignment horizontal="right" vertical="center"/>
      <protection locked="0"/>
    </xf>
    <xf numFmtId="164" fontId="0" fillId="0" borderId="13" xfId="0" applyNumberFormat="1" applyBorder="1" applyAlignment="1" applyProtection="1">
      <alignment horizontal="right" vertical="center"/>
      <protection locked="0"/>
    </xf>
    <xf numFmtId="164" fontId="2" fillId="2" borderId="4" xfId="0" applyNumberFormat="1" applyFont="1" applyFill="1" applyBorder="1" applyAlignment="1" applyProtection="1">
      <alignment horizontal="center" vertical="center"/>
      <protection locked="0"/>
    </xf>
    <xf numFmtId="14" fontId="3" fillId="0" borderId="31" xfId="0" applyNumberFormat="1" applyFont="1" applyBorder="1" applyAlignment="1" applyProtection="1">
      <alignment horizontal="center" vertical="center"/>
      <protection locked="0"/>
    </xf>
    <xf numFmtId="164" fontId="3" fillId="0" borderId="31" xfId="0" applyNumberFormat="1" applyFont="1" applyBorder="1" applyAlignment="1" applyProtection="1">
      <alignment horizontal="center" vertical="center"/>
      <protection locked="0"/>
    </xf>
    <xf numFmtId="0" fontId="11" fillId="0" borderId="0" xfId="0" applyFont="1"/>
    <xf numFmtId="14" fontId="0" fillId="0" borderId="0" xfId="0" applyNumberFormat="1" applyBorder="1" applyAlignment="1" applyProtection="1">
      <protection locked="0"/>
    </xf>
    <xf numFmtId="14" fontId="0" fillId="0" borderId="15" xfId="0" applyNumberFormat="1" applyBorder="1" applyAlignment="1" applyProtection="1">
      <protection locked="0"/>
    </xf>
    <xf numFmtId="0" fontId="0" fillId="8" borderId="0" xfId="0" applyFill="1"/>
    <xf numFmtId="0" fontId="3" fillId="0" borderId="0" xfId="0" applyFont="1" applyAlignment="1" applyProtection="1">
      <alignment horizontal="center" vertical="center"/>
      <protection locked="0"/>
    </xf>
    <xf numFmtId="0" fontId="0" fillId="8" borderId="0" xfId="0" applyFill="1" applyAlignment="1"/>
    <xf numFmtId="14" fontId="8" fillId="0" borderId="20" xfId="4" applyNumberFormat="1" applyBorder="1" applyAlignment="1">
      <alignment horizontal="center" vertical="center" wrapText="1"/>
    </xf>
    <xf numFmtId="0" fontId="8" fillId="0" borderId="20" xfId="4" applyBorder="1" applyAlignment="1">
      <alignment vertical="center"/>
    </xf>
    <xf numFmtId="0" fontId="16" fillId="0" borderId="0" xfId="0" applyNumberFormat="1" applyFont="1" applyFill="1" applyBorder="1" applyAlignment="1">
      <alignment horizontal="center" vertical="center"/>
    </xf>
    <xf numFmtId="0" fontId="17" fillId="0" borderId="0" xfId="3" applyFont="1" applyBorder="1" applyAlignment="1">
      <alignment horizontal="center" vertical="center"/>
    </xf>
    <xf numFmtId="0" fontId="17" fillId="0" borderId="0" xfId="3" applyFont="1" applyBorder="1" applyAlignment="1">
      <alignment horizontal="left" vertical="center"/>
    </xf>
    <xf numFmtId="14" fontId="1" fillId="0" borderId="0" xfId="4" applyNumberFormat="1" applyFont="1" applyBorder="1" applyAlignment="1">
      <alignment horizontal="center" vertical="center"/>
    </xf>
    <xf numFmtId="14" fontId="1" fillId="0" borderId="0" xfId="4" applyNumberFormat="1" applyFont="1" applyFill="1" applyBorder="1" applyAlignment="1">
      <alignment horizontal="center" vertical="center"/>
    </xf>
    <xf numFmtId="0" fontId="1" fillId="0" borderId="0" xfId="4" applyFont="1" applyBorder="1" applyAlignment="1">
      <alignment horizontal="left" vertical="center"/>
    </xf>
    <xf numFmtId="0" fontId="1" fillId="0" borderId="0" xfId="4" applyFont="1" applyBorder="1" applyAlignment="1">
      <alignment horizontal="center" vertical="center"/>
    </xf>
    <xf numFmtId="2" fontId="1" fillId="0" borderId="0" xfId="4" applyNumberFormat="1" applyFont="1" applyBorder="1" applyAlignment="1">
      <alignment horizontal="center" vertical="center"/>
    </xf>
    <xf numFmtId="14" fontId="1" fillId="0" borderId="0" xfId="4" applyNumberFormat="1" applyFont="1" applyBorder="1" applyAlignment="1">
      <alignment horizontal="left" vertical="center"/>
    </xf>
    <xf numFmtId="0" fontId="1" fillId="4" borderId="0" xfId="4" applyFont="1" applyFill="1" applyAlignment="1">
      <alignment horizontal="center" vertical="center"/>
    </xf>
    <xf numFmtId="0" fontId="1" fillId="0" borderId="0" xfId="4" applyFont="1" applyAlignment="1">
      <alignment vertical="center"/>
    </xf>
    <xf numFmtId="0" fontId="17" fillId="0" borderId="0" xfId="3" applyFont="1"/>
    <xf numFmtId="14" fontId="17" fillId="0" borderId="0" xfId="3" applyNumberFormat="1" applyFont="1" applyFill="1" applyBorder="1" applyAlignment="1">
      <alignment horizontal="center" vertical="center"/>
    </xf>
    <xf numFmtId="0" fontId="1" fillId="0" borderId="0" xfId="4" applyFont="1" applyAlignment="1">
      <alignment horizontal="center" vertical="center"/>
    </xf>
    <xf numFmtId="14" fontId="17" fillId="0" borderId="0" xfId="3" applyNumberFormat="1" applyFont="1" applyBorder="1" applyAlignment="1">
      <alignment horizontal="center" vertical="center"/>
    </xf>
    <xf numFmtId="14" fontId="1" fillId="0" borderId="0" xfId="4" applyNumberFormat="1" applyFont="1" applyAlignment="1">
      <alignment horizontal="center" vertical="center"/>
    </xf>
    <xf numFmtId="0" fontId="17" fillId="0" borderId="0" xfId="3" applyFont="1" applyBorder="1" applyAlignment="1">
      <alignment horizontal="center" vertical="center" wrapText="1"/>
    </xf>
    <xf numFmtId="0" fontId="1" fillId="0" borderId="0" xfId="4" applyFont="1" applyBorder="1" applyAlignment="1">
      <alignment horizontal="left" vertical="center" wrapText="1"/>
    </xf>
    <xf numFmtId="0" fontId="1" fillId="0" borderId="0" xfId="4" applyFont="1" applyBorder="1" applyAlignment="1">
      <alignment horizontal="center" vertical="center" wrapText="1"/>
    </xf>
    <xf numFmtId="14" fontId="17" fillId="0" borderId="0" xfId="3" applyNumberFormat="1" applyFont="1" applyAlignment="1">
      <alignment horizontal="center" vertical="center"/>
    </xf>
    <xf numFmtId="0" fontId="1" fillId="0" borderId="0" xfId="4" applyFont="1" applyAlignment="1">
      <alignment horizontal="left" vertical="center"/>
    </xf>
    <xf numFmtId="0" fontId="17" fillId="5" borderId="0" xfId="3" applyFont="1" applyFill="1" applyBorder="1" applyAlignment="1">
      <alignment horizontal="center" vertical="center"/>
    </xf>
    <xf numFmtId="0" fontId="17" fillId="0" borderId="0" xfId="3" applyFont="1" applyAlignment="1">
      <alignment horizontal="left" vertical="center"/>
    </xf>
    <xf numFmtId="0" fontId="17" fillId="0" borderId="0" xfId="3" applyFont="1" applyAlignment="1">
      <alignment horizontal="center" vertical="center"/>
    </xf>
    <xf numFmtId="0" fontId="1" fillId="0" borderId="0" xfId="4" applyFont="1" applyAlignment="1">
      <alignment horizontal="center" vertical="center" wrapText="1"/>
    </xf>
    <xf numFmtId="2" fontId="1" fillId="0" borderId="0" xfId="4" applyNumberFormat="1" applyFont="1" applyAlignment="1">
      <alignment horizontal="center" vertical="center"/>
    </xf>
    <xf numFmtId="0" fontId="16" fillId="0" borderId="21" xfId="4" applyNumberFormat="1" applyFont="1" applyBorder="1" applyAlignment="1">
      <alignment horizontal="center" vertical="center"/>
    </xf>
    <xf numFmtId="0" fontId="16" fillId="0" borderId="0" xfId="0" applyFont="1" applyFill="1" applyBorder="1" applyAlignment="1">
      <alignment horizontal="center" vertical="center"/>
    </xf>
    <xf numFmtId="14" fontId="4" fillId="0" borderId="0" xfId="3" applyNumberFormat="1" applyBorder="1" applyAlignment="1">
      <alignment horizontal="center" vertical="center"/>
    </xf>
    <xf numFmtId="0" fontId="0" fillId="0" borderId="0" xfId="4" applyFont="1" applyBorder="1" applyAlignment="1">
      <alignment horizontal="left" vertical="center"/>
    </xf>
    <xf numFmtId="0" fontId="0" fillId="0" borderId="0" xfId="4" applyFont="1" applyAlignment="1">
      <alignment horizontal="center" vertical="center"/>
    </xf>
    <xf numFmtId="0" fontId="0" fillId="0" borderId="0" xfId="4" applyFont="1" applyAlignment="1">
      <alignment horizontal="left" vertical="center"/>
    </xf>
    <xf numFmtId="9" fontId="0" fillId="0" borderId="0" xfId="4" applyNumberFormat="1" applyFont="1" applyAlignment="1">
      <alignment horizontal="left" vertical="center"/>
    </xf>
    <xf numFmtId="0" fontId="0" fillId="0" borderId="0" xfId="0" applyFill="1"/>
    <xf numFmtId="0" fontId="0" fillId="0" borderId="0" xfId="0" applyAlignment="1">
      <alignment vertical="center"/>
    </xf>
    <xf numFmtId="0" fontId="0" fillId="2" borderId="12" xfId="0" applyFill="1" applyBorder="1" applyAlignment="1" applyProtection="1">
      <protection locked="0"/>
    </xf>
    <xf numFmtId="0" fontId="0" fillId="2" borderId="13" xfId="0" applyFill="1" applyBorder="1" applyAlignment="1" applyProtection="1">
      <protection locked="0"/>
    </xf>
    <xf numFmtId="0" fontId="0" fillId="0" borderId="0" xfId="0" applyBorder="1" applyAlignment="1" applyProtection="1">
      <protection locked="0"/>
    </xf>
    <xf numFmtId="0" fontId="0" fillId="0" borderId="0" xfId="4" applyFont="1" applyBorder="1" applyAlignment="1">
      <alignment horizontal="center" vertical="center"/>
    </xf>
    <xf numFmtId="164" fontId="3" fillId="0" borderId="10" xfId="0" applyNumberFormat="1" applyFont="1" applyFill="1" applyBorder="1" applyAlignment="1" applyProtection="1">
      <alignment horizontal="right" vertical="center"/>
      <protection locked="0"/>
    </xf>
    <xf numFmtId="164" fontId="3" fillId="0" borderId="15" xfId="0" applyNumberFormat="1" applyFont="1" applyBorder="1" applyAlignment="1" applyProtection="1">
      <alignment horizontal="right"/>
      <protection locked="0"/>
    </xf>
    <xf numFmtId="164" fontId="3" fillId="0" borderId="15" xfId="0" applyNumberFormat="1" applyFont="1" applyBorder="1" applyAlignment="1" applyProtection="1">
      <protection locked="0"/>
    </xf>
    <xf numFmtId="164" fontId="3" fillId="0" borderId="13" xfId="0" applyNumberFormat="1" applyFont="1" applyBorder="1" applyAlignment="1" applyProtection="1">
      <protection locked="0"/>
    </xf>
    <xf numFmtId="164" fontId="3" fillId="0" borderId="2" xfId="0" applyNumberFormat="1" applyFont="1" applyBorder="1" applyAlignment="1" applyProtection="1">
      <alignment vertical="center"/>
      <protection locked="0"/>
    </xf>
    <xf numFmtId="14" fontId="4" fillId="0" borderId="0" xfId="3" applyNumberFormat="1" applyAlignment="1">
      <alignment horizontal="center" vertical="center"/>
    </xf>
    <xf numFmtId="0" fontId="7" fillId="0" borderId="0" xfId="0" applyFont="1" applyAlignment="1"/>
    <xf numFmtId="164" fontId="1" fillId="0" borderId="0" xfId="4" applyNumberFormat="1" applyFont="1" applyAlignment="1">
      <alignment horizontal="right" vertical="center"/>
    </xf>
    <xf numFmtId="0" fontId="2" fillId="2" borderId="41" xfId="3" applyFont="1" applyFill="1" applyBorder="1" applyAlignment="1" applyProtection="1">
      <alignment horizontal="left" vertical="center"/>
      <protection locked="0"/>
    </xf>
    <xf numFmtId="164" fontId="2" fillId="7" borderId="2" xfId="0" applyNumberFormat="1" applyFont="1" applyFill="1" applyBorder="1" applyAlignment="1" applyProtection="1">
      <alignment vertical="center"/>
      <protection locked="0"/>
    </xf>
    <xf numFmtId="164" fontId="0" fillId="0" borderId="44" xfId="0" applyNumberFormat="1" applyBorder="1" applyAlignment="1" applyProtection="1">
      <alignment horizontal="right" vertical="center"/>
      <protection locked="0"/>
    </xf>
    <xf numFmtId="165" fontId="1" fillId="0" borderId="0" xfId="4" applyNumberFormat="1" applyFont="1" applyAlignment="1">
      <alignment horizontal="center" vertical="center"/>
    </xf>
    <xf numFmtId="0" fontId="0" fillId="0" borderId="0" xfId="0" applyAlignment="1">
      <alignment vertical="top"/>
    </xf>
    <xf numFmtId="0" fontId="4" fillId="0" borderId="0" xfId="3" applyFill="1" applyBorder="1" applyAlignment="1">
      <alignment horizontal="center" vertical="center"/>
    </xf>
    <xf numFmtId="1" fontId="2" fillId="2" borderId="15" xfId="5" applyNumberFormat="1" applyFont="1" applyFill="1" applyBorder="1" applyAlignment="1" applyProtection="1">
      <alignment horizontal="center" vertical="center"/>
      <protection locked="0"/>
    </xf>
    <xf numFmtId="14" fontId="4" fillId="0" borderId="0" xfId="3" applyNumberFormat="1" applyFill="1" applyBorder="1" applyAlignment="1">
      <alignment horizontal="center" vertical="center"/>
    </xf>
    <xf numFmtId="0" fontId="4" fillId="0" borderId="0" xfId="3" applyBorder="1" applyAlignment="1">
      <alignment horizontal="center" vertical="center"/>
    </xf>
    <xf numFmtId="0" fontId="4" fillId="0" borderId="0" xfId="3" applyNumberFormat="1" applyFill="1" applyBorder="1" applyAlignment="1">
      <alignment horizontal="center" vertical="center"/>
    </xf>
    <xf numFmtId="0" fontId="4" fillId="0" borderId="0" xfId="3" applyAlignment="1">
      <alignment horizontal="center" vertical="center"/>
    </xf>
    <xf numFmtId="0" fontId="4" fillId="0" borderId="0" xfId="3"/>
    <xf numFmtId="0" fontId="0" fillId="0" borderId="0" xfId="4" applyFont="1" applyFill="1" applyAlignment="1">
      <alignment horizontal="left" vertical="center"/>
    </xf>
    <xf numFmtId="14" fontId="3" fillId="0" borderId="4" xfId="0" applyNumberFormat="1" applyFont="1" applyBorder="1" applyAlignment="1" applyProtection="1">
      <alignment horizontal="center" vertical="center"/>
      <protection locked="0"/>
    </xf>
    <xf numFmtId="0" fontId="1" fillId="8" borderId="0" xfId="4" applyFont="1" applyFill="1" applyAlignment="1">
      <alignment horizontal="center" vertical="center"/>
    </xf>
    <xf numFmtId="164" fontId="0" fillId="0" borderId="0" xfId="0" applyNumberFormat="1" applyAlignment="1" applyProtection="1">
      <protection locked="0"/>
    </xf>
    <xf numFmtId="0" fontId="0" fillId="0" borderId="0" xfId="0" applyFill="1" applyBorder="1" applyAlignment="1" applyProtection="1">
      <protection locked="0"/>
    </xf>
    <xf numFmtId="0" fontId="0" fillId="0" borderId="15" xfId="0" applyBorder="1" applyAlignment="1" applyProtection="1">
      <protection locked="0"/>
    </xf>
    <xf numFmtId="0" fontId="0" fillId="0" borderId="17" xfId="0" applyBorder="1" applyAlignment="1" applyProtection="1">
      <protection locked="0"/>
    </xf>
    <xf numFmtId="0" fontId="0" fillId="0" borderId="9" xfId="0" applyBorder="1" applyAlignment="1" applyProtection="1">
      <protection locked="0"/>
    </xf>
    <xf numFmtId="0" fontId="0" fillId="0" borderId="29" xfId="0" applyBorder="1" applyAlignment="1" applyProtection="1">
      <protection locked="0"/>
    </xf>
    <xf numFmtId="0" fontId="0" fillId="0" borderId="12" xfId="0" applyBorder="1" applyAlignment="1" applyProtection="1">
      <protection locked="0"/>
    </xf>
    <xf numFmtId="0" fontId="0" fillId="0" borderId="13" xfId="0" applyBorder="1" applyAlignment="1" applyProtection="1">
      <protection locked="0"/>
    </xf>
    <xf numFmtId="0" fontId="0" fillId="2" borderId="10" xfId="0" applyFill="1" applyBorder="1" applyAlignment="1" applyProtection="1">
      <protection locked="0"/>
    </xf>
    <xf numFmtId="0" fontId="0" fillId="2" borderId="15" xfId="0" applyFill="1" applyBorder="1" applyAlignment="1" applyProtection="1">
      <protection locked="0"/>
    </xf>
    <xf numFmtId="0" fontId="0" fillId="0" borderId="22" xfId="0" applyBorder="1" applyAlignment="1" applyProtection="1">
      <protection locked="0"/>
    </xf>
    <xf numFmtId="0" fontId="0" fillId="0" borderId="6" xfId="0" applyBorder="1" applyAlignment="1" applyProtection="1">
      <protection locked="0"/>
    </xf>
    <xf numFmtId="164" fontId="0" fillId="0" borderId="0" xfId="0" applyNumberFormat="1" applyFill="1" applyBorder="1" applyAlignment="1" applyProtection="1">
      <protection locked="0"/>
    </xf>
    <xf numFmtId="0" fontId="0" fillId="2" borderId="11" xfId="0" applyFill="1" applyBorder="1" applyAlignment="1" applyProtection="1">
      <protection locked="0"/>
    </xf>
    <xf numFmtId="49" fontId="0" fillId="0" borderId="0" xfId="0" applyNumberFormat="1" applyAlignment="1" applyProtection="1">
      <protection locked="0"/>
    </xf>
    <xf numFmtId="0" fontId="0" fillId="6" borderId="33" xfId="0" applyFill="1" applyBorder="1" applyAlignment="1"/>
    <xf numFmtId="0" fontId="0" fillId="6" borderId="53" xfId="0" applyFill="1" applyBorder="1" applyAlignment="1"/>
    <xf numFmtId="0" fontId="0" fillId="6" borderId="53" xfId="0" applyFill="1" applyBorder="1" applyAlignment="1">
      <alignment vertical="center"/>
    </xf>
    <xf numFmtId="0" fontId="0" fillId="0" borderId="53" xfId="0" applyBorder="1" applyAlignment="1"/>
    <xf numFmtId="0" fontId="0" fillId="0" borderId="0" xfId="0" applyFill="1" applyBorder="1" applyAlignment="1"/>
    <xf numFmtId="0" fontId="4" fillId="5" borderId="0" xfId="3" applyFill="1" applyBorder="1" applyAlignment="1">
      <alignment horizontal="center" vertical="center"/>
    </xf>
    <xf numFmtId="0" fontId="4" fillId="0" borderId="0" xfId="3" applyBorder="1" applyAlignment="1">
      <alignment horizontal="left" vertical="center"/>
    </xf>
    <xf numFmtId="14" fontId="1" fillId="0" borderId="12" xfId="0" applyNumberFormat="1" applyFont="1" applyBorder="1" applyAlignment="1" applyProtection="1">
      <alignment horizontal="center" vertical="center"/>
      <protection locked="0"/>
    </xf>
    <xf numFmtId="14" fontId="1" fillId="0" borderId="13" xfId="0" applyNumberFormat="1" applyFont="1" applyBorder="1" applyAlignment="1" applyProtection="1">
      <alignment horizontal="center" vertical="center"/>
      <protection locked="0"/>
    </xf>
    <xf numFmtId="14" fontId="0" fillId="0" borderId="0" xfId="0" applyNumberFormat="1" applyBorder="1" applyAlignment="1" applyProtection="1">
      <alignment horizontal="center" vertical="center"/>
      <protection locked="0"/>
    </xf>
    <xf numFmtId="14" fontId="0" fillId="0" borderId="15" xfId="0" applyNumberFormat="1" applyBorder="1" applyAlignment="1" applyProtection="1">
      <alignment horizontal="center" vertical="center"/>
      <protection locked="0"/>
    </xf>
    <xf numFmtId="14" fontId="0" fillId="0" borderId="0" xfId="0" applyNumberFormat="1" applyAlignment="1" applyProtection="1">
      <alignment horizontal="center" vertical="center"/>
      <protection locked="0"/>
    </xf>
    <xf numFmtId="164" fontId="0" fillId="0" borderId="0" xfId="4" applyNumberFormat="1" applyFont="1" applyAlignment="1">
      <alignment horizontal="right" vertical="center"/>
    </xf>
    <xf numFmtId="0" fontId="3" fillId="0" borderId="48" xfId="0" applyFont="1" applyBorder="1" applyAlignment="1" applyProtection="1">
      <alignment horizontal="left" vertical="center"/>
      <protection locked="0"/>
    </xf>
    <xf numFmtId="0" fontId="3" fillId="0" borderId="4" xfId="0" applyFont="1" applyBorder="1" applyAlignment="1" applyProtection="1">
      <alignment horizontal="center" vertical="center"/>
      <protection locked="0"/>
    </xf>
    <xf numFmtId="0" fontId="0" fillId="6" borderId="0" xfId="0" applyFill="1" applyBorder="1" applyAlignment="1"/>
    <xf numFmtId="166" fontId="3" fillId="0" borderId="4" xfId="0" applyNumberFormat="1" applyFont="1" applyBorder="1" applyAlignment="1" applyProtection="1">
      <alignment horizontal="center" vertical="center"/>
      <protection locked="0"/>
    </xf>
    <xf numFmtId="0" fontId="3" fillId="0" borderId="22" xfId="0" applyFont="1" applyBorder="1" applyAlignment="1" applyProtection="1">
      <alignment vertical="center"/>
      <protection locked="0"/>
    </xf>
    <xf numFmtId="14" fontId="3" fillId="0" borderId="6" xfId="0" applyNumberFormat="1" applyFont="1" applyBorder="1" applyAlignment="1" applyProtection="1">
      <alignment vertical="center"/>
      <protection locked="0"/>
    </xf>
    <xf numFmtId="0" fontId="3" fillId="0" borderId="6" xfId="0" applyFont="1" applyBorder="1" applyAlignment="1" applyProtection="1">
      <alignment vertical="center"/>
      <protection locked="0"/>
    </xf>
    <xf numFmtId="49" fontId="3" fillId="0" borderId="6" xfId="0" applyNumberFormat="1" applyFont="1" applyBorder="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2" fillId="7" borderId="6" xfId="0" applyFont="1" applyFill="1" applyBorder="1" applyAlignment="1" applyProtection="1">
      <alignment horizontal="center" vertical="center"/>
      <protection hidden="1"/>
    </xf>
    <xf numFmtId="14" fontId="2" fillId="7" borderId="6" xfId="0" applyNumberFormat="1" applyFont="1" applyFill="1" applyBorder="1" applyAlignment="1" applyProtection="1">
      <alignment horizontal="center" vertical="center"/>
      <protection hidden="1"/>
    </xf>
    <xf numFmtId="0" fontId="2" fillId="7" borderId="48" xfId="0" applyFont="1" applyFill="1" applyBorder="1" applyAlignment="1" applyProtection="1">
      <alignment horizontal="left" vertical="center"/>
      <protection hidden="1"/>
    </xf>
    <xf numFmtId="0" fontId="2" fillId="7" borderId="6" xfId="0" applyFont="1" applyFill="1" applyBorder="1" applyAlignment="1" applyProtection="1">
      <alignment horizontal="left" vertical="center"/>
      <protection hidden="1"/>
    </xf>
    <xf numFmtId="0" fontId="2" fillId="2" borderId="1"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5" xfId="0" applyFont="1" applyFill="1" applyBorder="1" applyAlignment="1" applyProtection="1">
      <alignment horizontal="center" vertical="center"/>
      <protection locked="0"/>
    </xf>
    <xf numFmtId="0" fontId="3" fillId="8" borderId="54" xfId="0" applyFont="1" applyFill="1" applyBorder="1" applyAlignment="1">
      <alignment horizontal="center" vertical="center" wrapText="1"/>
    </xf>
    <xf numFmtId="14" fontId="6" fillId="0" borderId="22" xfId="3" applyNumberFormat="1" applyFont="1" applyBorder="1" applyAlignment="1" applyProtection="1">
      <alignment horizontal="center" vertical="center"/>
      <protection locked="0"/>
    </xf>
    <xf numFmtId="49" fontId="3" fillId="0" borderId="33" xfId="0" applyNumberFormat="1" applyFont="1" applyBorder="1" applyAlignment="1" applyProtection="1">
      <alignment horizontal="center" vertical="center"/>
      <protection locked="0"/>
    </xf>
    <xf numFmtId="49" fontId="3" fillId="0" borderId="33" xfId="0" applyNumberFormat="1" applyFont="1" applyBorder="1" applyAlignment="1" applyProtection="1">
      <alignment horizontal="left" vertical="center"/>
      <protection locked="0"/>
    </xf>
    <xf numFmtId="49" fontId="3" fillId="0" borderId="32" xfId="0" applyNumberFormat="1" applyFont="1" applyBorder="1" applyAlignment="1" applyProtection="1">
      <alignment horizontal="center" vertical="center"/>
      <protection locked="0"/>
    </xf>
    <xf numFmtId="49" fontId="3" fillId="0" borderId="23"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center" vertical="center"/>
      <protection locked="0"/>
    </xf>
    <xf numFmtId="49" fontId="3" fillId="0" borderId="23" xfId="0" applyNumberFormat="1" applyFont="1" applyBorder="1" applyAlignment="1" applyProtection="1">
      <alignment horizontal="center" vertical="center"/>
      <protection locked="0"/>
    </xf>
    <xf numFmtId="0" fontId="2" fillId="2" borderId="4" xfId="0" applyFont="1" applyFill="1" applyBorder="1" applyAlignment="1" applyProtection="1">
      <alignment horizontal="center"/>
      <protection locked="0"/>
    </xf>
    <xf numFmtId="164" fontId="3" fillId="0" borderId="6" xfId="0" applyNumberFormat="1" applyFont="1" applyBorder="1" applyAlignment="1" applyProtection="1">
      <alignment horizontal="right" vertical="center"/>
      <protection locked="0"/>
    </xf>
    <xf numFmtId="49" fontId="3" fillId="0" borderId="6" xfId="0" applyNumberFormat="1" applyFont="1" applyFill="1" applyBorder="1" applyAlignment="1" applyProtection="1">
      <alignment horizontal="left" vertical="center"/>
      <protection locked="0"/>
    </xf>
    <xf numFmtId="164" fontId="3" fillId="0" borderId="23" xfId="0" applyNumberFormat="1" applyFont="1" applyBorder="1" applyAlignment="1" applyProtection="1">
      <alignment horizontal="center" vertical="center"/>
      <protection locked="0"/>
    </xf>
    <xf numFmtId="14" fontId="3" fillId="0" borderId="22" xfId="0" applyNumberFormat="1" applyFont="1" applyBorder="1" applyAlignment="1" applyProtection="1">
      <alignment horizontal="center" vertical="center"/>
      <protection locked="0"/>
    </xf>
    <xf numFmtId="49" fontId="3" fillId="0" borderId="6" xfId="0" applyNumberFormat="1" applyFont="1" applyFill="1" applyBorder="1" applyAlignment="1" applyProtection="1">
      <alignment horizontal="left" vertical="top"/>
      <protection locked="0"/>
    </xf>
    <xf numFmtId="14" fontId="3" fillId="0" borderId="25" xfId="0" applyNumberFormat="1" applyFont="1" applyBorder="1" applyAlignment="1" applyProtection="1">
      <alignment horizontal="center" vertical="center"/>
      <protection locked="0"/>
    </xf>
    <xf numFmtId="49" fontId="3" fillId="0" borderId="20" xfId="0" applyNumberFormat="1" applyFont="1" applyBorder="1" applyAlignment="1" applyProtection="1">
      <alignment horizontal="left" vertical="center"/>
      <protection locked="0"/>
    </xf>
    <xf numFmtId="164" fontId="3" fillId="0" borderId="20" xfId="0" applyNumberFormat="1" applyFont="1" applyBorder="1" applyAlignment="1" applyProtection="1">
      <alignment horizontal="right" vertical="center"/>
      <protection locked="0"/>
    </xf>
    <xf numFmtId="164" fontId="3" fillId="0" borderId="20" xfId="0" applyNumberFormat="1" applyFont="1" applyBorder="1" applyAlignment="1" applyProtection="1">
      <alignment horizontal="center" vertical="center"/>
      <protection locked="0"/>
    </xf>
    <xf numFmtId="49" fontId="3" fillId="0" borderId="47" xfId="0" applyNumberFormat="1" applyFont="1" applyFill="1" applyBorder="1" applyAlignment="1" applyProtection="1">
      <alignment horizontal="left" vertical="center"/>
      <protection locked="0"/>
    </xf>
    <xf numFmtId="14" fontId="3" fillId="0" borderId="17" xfId="0" applyNumberFormat="1" applyFont="1" applyBorder="1" applyAlignment="1" applyProtection="1">
      <alignment horizontal="center" vertical="center"/>
      <protection locked="0"/>
    </xf>
    <xf numFmtId="0" fontId="1" fillId="0" borderId="17" xfId="0" applyFont="1" applyFill="1" applyBorder="1" applyAlignment="1" applyProtection="1">
      <alignment horizontal="left"/>
      <protection locked="0"/>
    </xf>
    <xf numFmtId="14" fontId="3" fillId="0" borderId="0" xfId="0" applyNumberFormat="1" applyFont="1" applyBorder="1" applyAlignment="1" applyProtection="1">
      <alignment horizontal="center" vertical="center"/>
      <protection locked="0"/>
    </xf>
    <xf numFmtId="0" fontId="3" fillId="0" borderId="0" xfId="0" applyFont="1" applyAlignment="1" applyProtection="1">
      <protection locked="0"/>
    </xf>
    <xf numFmtId="164" fontId="3" fillId="0" borderId="6" xfId="0" applyNumberFormat="1" applyFont="1" applyBorder="1" applyAlignment="1" applyProtection="1">
      <alignment vertical="center"/>
      <protection locked="0"/>
    </xf>
    <xf numFmtId="0" fontId="1" fillId="0" borderId="12" xfId="0" applyFont="1" applyBorder="1" applyAlignment="1" applyProtection="1">
      <protection locked="0"/>
    </xf>
    <xf numFmtId="0" fontId="1" fillId="0" borderId="13" xfId="0" applyFont="1" applyBorder="1" applyAlignment="1" applyProtection="1">
      <protection locked="0"/>
    </xf>
    <xf numFmtId="14" fontId="3" fillId="0" borderId="6" xfId="0" applyNumberFormat="1" applyFont="1" applyBorder="1" applyAlignment="1" applyProtection="1">
      <protection locked="0"/>
    </xf>
    <xf numFmtId="0" fontId="3" fillId="0" borderId="6" xfId="0" applyFont="1" applyBorder="1" applyAlignment="1" applyProtection="1">
      <protection locked="0"/>
    </xf>
    <xf numFmtId="164" fontId="3" fillId="0" borderId="6" xfId="0" applyNumberFormat="1" applyFont="1" applyBorder="1" applyAlignment="1" applyProtection="1">
      <protection locked="0"/>
    </xf>
    <xf numFmtId="164" fontId="2" fillId="7" borderId="43" xfId="0" applyNumberFormat="1" applyFont="1" applyFill="1" applyBorder="1" applyAlignment="1" applyProtection="1">
      <alignment horizontal="right" vertical="center"/>
      <protection hidden="1"/>
    </xf>
    <xf numFmtId="164" fontId="2" fillId="7" borderId="44" xfId="5" applyNumberFormat="1" applyFont="1" applyFill="1" applyBorder="1" applyAlignment="1" applyProtection="1">
      <alignment horizontal="right" vertical="center"/>
      <protection hidden="1"/>
    </xf>
    <xf numFmtId="164" fontId="2" fillId="7" borderId="44" xfId="0" applyNumberFormat="1" applyFont="1" applyFill="1" applyBorder="1" applyAlignment="1" applyProtection="1">
      <alignment horizontal="right" vertical="center"/>
      <protection hidden="1"/>
    </xf>
    <xf numFmtId="164" fontId="2" fillId="7" borderId="45" xfId="0" applyNumberFormat="1" applyFont="1" applyFill="1" applyBorder="1" applyAlignment="1" applyProtection="1">
      <alignment horizontal="right" vertical="center"/>
      <protection hidden="1"/>
    </xf>
    <xf numFmtId="164" fontId="2" fillId="7" borderId="7" xfId="0" applyNumberFormat="1" applyFont="1" applyFill="1" applyBorder="1" applyAlignment="1" applyProtection="1">
      <alignment vertical="center"/>
      <protection hidden="1"/>
    </xf>
    <xf numFmtId="164" fontId="2" fillId="7" borderId="43" xfId="0" applyNumberFormat="1" applyFont="1" applyFill="1" applyBorder="1" applyAlignment="1" applyProtection="1">
      <protection hidden="1"/>
    </xf>
    <xf numFmtId="164" fontId="2" fillId="7" borderId="44" xfId="0" applyNumberFormat="1" applyFont="1" applyFill="1" applyBorder="1" applyAlignment="1" applyProtection="1">
      <protection hidden="1"/>
    </xf>
    <xf numFmtId="164" fontId="2" fillId="7" borderId="30" xfId="0" applyNumberFormat="1" applyFont="1" applyFill="1" applyBorder="1" applyAlignment="1" applyProtection="1">
      <protection hidden="1"/>
    </xf>
    <xf numFmtId="164" fontId="2" fillId="7" borderId="2" xfId="0" applyNumberFormat="1" applyFont="1" applyFill="1" applyBorder="1" applyAlignment="1" applyProtection="1">
      <alignment vertical="center"/>
      <protection hidden="1"/>
    </xf>
    <xf numFmtId="164" fontId="2" fillId="7" borderId="49" xfId="0" applyNumberFormat="1" applyFont="1" applyFill="1" applyBorder="1" applyAlignment="1" applyProtection="1">
      <alignment vertical="center"/>
      <protection hidden="1"/>
    </xf>
    <xf numFmtId="164" fontId="2" fillId="7" borderId="25" xfId="0" applyNumberFormat="1" applyFont="1" applyFill="1" applyBorder="1" applyAlignment="1" applyProtection="1">
      <alignment vertical="center"/>
      <protection hidden="1"/>
    </xf>
    <xf numFmtId="164" fontId="2" fillId="7" borderId="26" xfId="0" applyNumberFormat="1" applyFont="1" applyFill="1" applyBorder="1" applyAlignment="1" applyProtection="1">
      <protection hidden="1"/>
    </xf>
    <xf numFmtId="14" fontId="2" fillId="7" borderId="51" xfId="0" applyNumberFormat="1" applyFont="1" applyFill="1" applyBorder="1" applyAlignment="1" applyProtection="1">
      <alignment horizontal="center" vertical="center"/>
      <protection hidden="1"/>
    </xf>
    <xf numFmtId="0" fontId="2" fillId="7" borderId="51" xfId="0" applyFont="1" applyFill="1" applyBorder="1" applyAlignment="1" applyProtection="1">
      <alignment horizontal="center" vertical="center"/>
      <protection hidden="1"/>
    </xf>
    <xf numFmtId="164" fontId="2" fillId="7" borderId="52" xfId="0" applyNumberFormat="1" applyFont="1" applyFill="1" applyBorder="1" applyAlignment="1" applyProtection="1">
      <alignment vertical="center"/>
      <protection hidden="1"/>
    </xf>
    <xf numFmtId="14" fontId="2" fillId="7" borderId="20" xfId="0" applyNumberFormat="1" applyFont="1" applyFill="1" applyBorder="1" applyAlignment="1" applyProtection="1">
      <alignment horizontal="center" vertical="center"/>
      <protection hidden="1"/>
    </xf>
    <xf numFmtId="0" fontId="2" fillId="7" borderId="20" xfId="0" applyFont="1" applyFill="1" applyBorder="1" applyAlignment="1" applyProtection="1">
      <alignment horizontal="center" vertical="center"/>
      <protection hidden="1"/>
    </xf>
    <xf numFmtId="164" fontId="2" fillId="7" borderId="24" xfId="0" applyNumberFormat="1" applyFont="1" applyFill="1" applyBorder="1" applyAlignment="1" applyProtection="1">
      <alignment vertical="center"/>
      <protection hidden="1"/>
    </xf>
    <xf numFmtId="0" fontId="2" fillId="7" borderId="20" xfId="0" applyNumberFormat="1" applyFont="1" applyFill="1" applyBorder="1" applyAlignment="1" applyProtection="1">
      <alignment horizontal="center" vertical="center"/>
      <protection hidden="1"/>
    </xf>
    <xf numFmtId="14" fontId="2" fillId="7" borderId="27" xfId="0" applyNumberFormat="1" applyFont="1" applyFill="1" applyBorder="1" applyAlignment="1" applyProtection="1">
      <alignment horizontal="center" vertical="center"/>
      <protection hidden="1"/>
    </xf>
    <xf numFmtId="14" fontId="2" fillId="7" borderId="27" xfId="0" applyNumberFormat="1" applyFont="1" applyFill="1" applyBorder="1" applyAlignment="1" applyProtection="1">
      <alignment horizontal="center"/>
      <protection hidden="1"/>
    </xf>
    <xf numFmtId="0" fontId="2" fillId="7" borderId="27" xfId="0" applyNumberFormat="1" applyFont="1" applyFill="1" applyBorder="1" applyAlignment="1" applyProtection="1">
      <alignment horizontal="center"/>
      <protection hidden="1"/>
    </xf>
    <xf numFmtId="164" fontId="2" fillId="7" borderId="47" xfId="0" applyNumberFormat="1" applyFont="1" applyFill="1" applyBorder="1" applyAlignment="1" applyProtection="1">
      <protection hidden="1"/>
    </xf>
    <xf numFmtId="0" fontId="18" fillId="3" borderId="18" xfId="0" quotePrefix="1" applyFont="1" applyFill="1" applyBorder="1" applyAlignment="1" applyProtection="1">
      <alignment horizontal="left" vertical="top"/>
      <protection hidden="1"/>
    </xf>
    <xf numFmtId="3" fontId="18" fillId="3" borderId="32" xfId="0" quotePrefix="1" applyNumberFormat="1" applyFont="1" applyFill="1" applyBorder="1" applyAlignment="1" applyProtection="1">
      <alignment horizontal="right" vertical="center"/>
      <protection hidden="1"/>
    </xf>
    <xf numFmtId="0" fontId="18" fillId="3" borderId="23" xfId="0" quotePrefix="1" applyNumberFormat="1" applyFont="1" applyFill="1" applyBorder="1" applyAlignment="1" applyProtection="1">
      <alignment horizontal="right" vertical="center"/>
      <protection hidden="1"/>
    </xf>
    <xf numFmtId="0" fontId="0" fillId="3" borderId="38" xfId="0" applyFill="1" applyBorder="1" applyAlignment="1" applyProtection="1">
      <alignment vertical="top"/>
      <protection hidden="1"/>
    </xf>
    <xf numFmtId="0" fontId="18" fillId="3" borderId="38" xfId="0" quotePrefix="1" applyFont="1" applyFill="1" applyBorder="1" applyAlignment="1" applyProtection="1">
      <alignment horizontal="left" vertical="top"/>
      <protection hidden="1"/>
    </xf>
    <xf numFmtId="3" fontId="18" fillId="3" borderId="36" xfId="0" quotePrefix="1" applyNumberFormat="1" applyFont="1" applyFill="1" applyBorder="1" applyAlignment="1" applyProtection="1">
      <alignment horizontal="right" vertical="center"/>
      <protection hidden="1"/>
    </xf>
    <xf numFmtId="0" fontId="18" fillId="3" borderId="24" xfId="0" quotePrefix="1" applyNumberFormat="1" applyFont="1" applyFill="1" applyBorder="1" applyAlignment="1" applyProtection="1">
      <alignment horizontal="right" vertical="center"/>
      <protection hidden="1"/>
    </xf>
    <xf numFmtId="0" fontId="18" fillId="3" borderId="19" xfId="0" quotePrefix="1" applyFont="1" applyFill="1" applyBorder="1" applyAlignment="1" applyProtection="1">
      <alignment horizontal="left" vertical="top"/>
      <protection hidden="1"/>
    </xf>
    <xf numFmtId="3" fontId="18" fillId="3" borderId="37" xfId="0" quotePrefix="1" applyNumberFormat="1" applyFont="1" applyFill="1" applyBorder="1" applyAlignment="1" applyProtection="1">
      <alignment horizontal="right" vertical="center"/>
      <protection hidden="1"/>
    </xf>
    <xf numFmtId="0" fontId="18" fillId="3" borderId="34" xfId="0" quotePrefix="1" applyNumberFormat="1" applyFont="1" applyFill="1" applyBorder="1" applyAlignment="1" applyProtection="1">
      <alignment horizontal="right" vertical="center"/>
      <protection hidden="1"/>
    </xf>
    <xf numFmtId="0" fontId="0" fillId="3" borderId="31" xfId="0" applyFill="1" applyBorder="1" applyAlignment="1" applyProtection="1">
      <alignment vertical="top"/>
      <protection hidden="1"/>
    </xf>
    <xf numFmtId="0" fontId="18" fillId="3" borderId="39" xfId="0" quotePrefix="1" applyFont="1" applyFill="1" applyBorder="1" applyAlignment="1" applyProtection="1">
      <alignment horizontal="left" vertical="top"/>
      <protection hidden="1"/>
    </xf>
    <xf numFmtId="3" fontId="18" fillId="3" borderId="35" xfId="0" quotePrefix="1" applyNumberFormat="1" applyFont="1" applyFill="1" applyBorder="1" applyAlignment="1" applyProtection="1">
      <alignment horizontal="right" vertical="center"/>
      <protection hidden="1"/>
    </xf>
    <xf numFmtId="0" fontId="18" fillId="3" borderId="40" xfId="0" quotePrefix="1" applyNumberFormat="1" applyFont="1" applyFill="1" applyBorder="1" applyAlignment="1" applyProtection="1">
      <alignment horizontal="right" vertical="center"/>
      <protection hidden="1"/>
    </xf>
    <xf numFmtId="0" fontId="0" fillId="3" borderId="4" xfId="0" applyFill="1" applyBorder="1" applyAlignment="1" applyProtection="1">
      <alignment vertical="top"/>
      <protection hidden="1"/>
    </xf>
    <xf numFmtId="0" fontId="0" fillId="3" borderId="0" xfId="0" applyFill="1" applyBorder="1" applyAlignment="1" applyProtection="1">
      <protection hidden="1"/>
    </xf>
    <xf numFmtId="164" fontId="2" fillId="7" borderId="0" xfId="0" applyNumberFormat="1" applyFont="1" applyFill="1" applyAlignment="1" applyProtection="1">
      <protection hidden="1"/>
    </xf>
    <xf numFmtId="0" fontId="0" fillId="6" borderId="0" xfId="0" applyFill="1" applyAlignment="1"/>
    <xf numFmtId="0" fontId="0" fillId="9" borderId="0" xfId="0" applyFill="1" applyAlignment="1"/>
    <xf numFmtId="0" fontId="2" fillId="7" borderId="18" xfId="0" applyNumberFormat="1" applyFont="1" applyFill="1" applyBorder="1" applyAlignment="1" applyProtection="1">
      <alignment horizontal="center" vertical="center"/>
      <protection hidden="1"/>
    </xf>
    <xf numFmtId="0" fontId="2" fillId="7" borderId="38" xfId="0" applyNumberFormat="1" applyFont="1" applyFill="1" applyBorder="1" applyAlignment="1" applyProtection="1">
      <alignment horizontal="center" vertical="center"/>
      <protection hidden="1"/>
    </xf>
    <xf numFmtId="0" fontId="2" fillId="7" borderId="19" xfId="0" applyNumberFormat="1" applyFont="1" applyFill="1" applyBorder="1" applyAlignment="1" applyProtection="1">
      <alignment horizontal="center" vertical="center"/>
      <protection hidden="1"/>
    </xf>
    <xf numFmtId="14" fontId="4" fillId="0" borderId="0" xfId="3" applyNumberFormat="1" applyFill="1" applyAlignment="1">
      <alignment horizontal="center" vertical="center"/>
    </xf>
    <xf numFmtId="164" fontId="2" fillId="7" borderId="1" xfId="0" applyNumberFormat="1" applyFont="1" applyFill="1" applyBorder="1" applyAlignment="1" applyProtection="1">
      <protection hidden="1"/>
    </xf>
    <xf numFmtId="0" fontId="17" fillId="0" borderId="0" xfId="3" applyFont="1" applyFill="1" applyAlignment="1">
      <alignment horizontal="left" vertical="center"/>
    </xf>
    <xf numFmtId="0" fontId="0" fillId="0" borderId="0" xfId="0" quotePrefix="1" applyAlignment="1"/>
    <xf numFmtId="14" fontId="3" fillId="0" borderId="6" xfId="0" applyNumberFormat="1" applyFont="1" applyBorder="1" applyAlignment="1" applyProtection="1">
      <alignment horizontal="center" vertical="center" wrapText="1"/>
      <protection locked="0"/>
    </xf>
    <xf numFmtId="0" fontId="3" fillId="0" borderId="33" xfId="0" applyNumberFormat="1" applyFont="1" applyBorder="1" applyAlignment="1" applyProtection="1">
      <alignment horizontal="center" vertical="center"/>
      <protection locked="0"/>
    </xf>
    <xf numFmtId="0" fontId="1" fillId="0" borderId="0" xfId="4" applyFont="1" applyFill="1" applyAlignment="1">
      <alignment horizontal="left" vertical="center"/>
    </xf>
    <xf numFmtId="0" fontId="3" fillId="0" borderId="38" xfId="0" applyFont="1" applyBorder="1" applyAlignment="1" applyProtection="1">
      <protection locked="0"/>
    </xf>
    <xf numFmtId="0" fontId="0" fillId="0" borderId="0" xfId="0" applyFill="1" applyAlignment="1"/>
    <xf numFmtId="0" fontId="0" fillId="0" borderId="0" xfId="0" quotePrefix="1" applyAlignment="1">
      <alignment horizontal="center" vertical="center"/>
    </xf>
    <xf numFmtId="0" fontId="0" fillId="4" borderId="0" xfId="0" applyFill="1" applyAlignment="1"/>
    <xf numFmtId="49" fontId="0" fillId="0" borderId="0" xfId="0" applyNumberFormat="1"/>
    <xf numFmtId="0" fontId="2" fillId="2" borderId="4" xfId="0" applyFont="1" applyFill="1" applyBorder="1" applyAlignment="1" applyProtection="1">
      <alignment horizontal="center" vertical="center"/>
      <protection locked="0"/>
    </xf>
    <xf numFmtId="0" fontId="22" fillId="8" borderId="0" xfId="0" applyFont="1" applyFill="1"/>
    <xf numFmtId="14" fontId="0" fillId="0" borderId="0" xfId="4" applyNumberFormat="1" applyFont="1" applyBorder="1" applyAlignment="1">
      <alignment horizontal="left" vertical="center"/>
    </xf>
    <xf numFmtId="0" fontId="2" fillId="2" borderId="4"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2" fillId="0" borderId="0" xfId="0" applyFont="1" applyFill="1" applyAlignment="1">
      <alignment horizontal="left" vertical="top"/>
    </xf>
    <xf numFmtId="0" fontId="0" fillId="0" borderId="0" xfId="0" applyAlignment="1">
      <alignment horizontal="center"/>
    </xf>
    <xf numFmtId="0" fontId="0" fillId="0" borderId="0" xfId="0" applyNumberFormat="1" applyAlignment="1">
      <alignment horizontal="center"/>
    </xf>
    <xf numFmtId="0" fontId="0" fillId="0" borderId="0" xfId="0" applyNumberFormat="1"/>
    <xf numFmtId="14" fontId="2" fillId="7" borderId="20" xfId="0" applyNumberFormat="1" applyFont="1" applyFill="1" applyBorder="1" applyAlignment="1">
      <alignment horizontal="center" vertical="center"/>
    </xf>
    <xf numFmtId="0" fontId="2" fillId="2" borderId="22" xfId="0" applyFont="1" applyFill="1" applyBorder="1"/>
    <xf numFmtId="0" fontId="2" fillId="2" borderId="25" xfId="0" applyFont="1" applyFill="1" applyBorder="1"/>
    <xf numFmtId="0" fontId="2" fillId="2" borderId="26" xfId="0" applyFont="1" applyFill="1" applyBorder="1"/>
    <xf numFmtId="0" fontId="0" fillId="2" borderId="23" xfId="0" applyFill="1" applyBorder="1"/>
    <xf numFmtId="0" fontId="0" fillId="2" borderId="24" xfId="0" applyFill="1" applyBorder="1"/>
    <xf numFmtId="0" fontId="0" fillId="6" borderId="0" xfId="0" applyFill="1"/>
    <xf numFmtId="14" fontId="0" fillId="3" borderId="17" xfId="0" applyNumberFormat="1" applyFill="1" applyBorder="1" applyAlignment="1" applyProtection="1">
      <alignment horizontal="center" vertical="center"/>
      <protection hidden="1"/>
    </xf>
    <xf numFmtId="0" fontId="2" fillId="7" borderId="0" xfId="0" applyFont="1" applyFill="1" applyBorder="1" applyAlignment="1" applyProtection="1">
      <alignment horizontal="center" vertical="center"/>
      <protection hidden="1"/>
    </xf>
    <xf numFmtId="164" fontId="2" fillId="7" borderId="15" xfId="0" applyNumberFormat="1" applyFont="1" applyFill="1" applyBorder="1" applyAlignment="1" applyProtection="1">
      <alignment horizontal="right" vertical="center"/>
      <protection hidden="1"/>
    </xf>
    <xf numFmtId="0" fontId="0" fillId="3" borderId="15" xfId="0" applyFill="1" applyBorder="1" applyAlignment="1" applyProtection="1">
      <protection hidden="1"/>
    </xf>
    <xf numFmtId="0" fontId="1" fillId="3" borderId="15" xfId="0" applyFont="1" applyFill="1" applyBorder="1" applyAlignment="1" applyProtection="1">
      <alignment horizontal="left" vertical="center"/>
      <protection hidden="1"/>
    </xf>
    <xf numFmtId="0" fontId="1" fillId="3" borderId="2" xfId="0" applyFont="1" applyFill="1" applyBorder="1" applyAlignment="1" applyProtection="1">
      <alignment horizontal="left" vertical="center"/>
      <protection hidden="1"/>
    </xf>
    <xf numFmtId="0" fontId="0" fillId="3" borderId="30" xfId="0" applyFill="1" applyBorder="1" applyAlignment="1" applyProtection="1">
      <protection hidden="1"/>
    </xf>
    <xf numFmtId="0" fontId="0" fillId="3" borderId="13" xfId="0" applyFill="1" applyBorder="1" applyAlignment="1" applyProtection="1">
      <protection hidden="1"/>
    </xf>
    <xf numFmtId="14" fontId="0" fillId="3" borderId="17" xfId="0" applyNumberFormat="1" applyFont="1" applyFill="1" applyBorder="1" applyAlignment="1" applyProtection="1">
      <alignment horizontal="center" vertical="center"/>
      <protection hidden="1"/>
    </xf>
    <xf numFmtId="0" fontId="1" fillId="3" borderId="42" xfId="0" applyFont="1" applyFill="1" applyBorder="1" applyAlignment="1" applyProtection="1">
      <alignment horizontal="left"/>
      <protection hidden="1"/>
    </xf>
    <xf numFmtId="0" fontId="1" fillId="3" borderId="46" xfId="0" applyFont="1" applyFill="1" applyBorder="1" applyAlignment="1" applyProtection="1">
      <alignment horizontal="left"/>
      <protection hidden="1"/>
    </xf>
    <xf numFmtId="0" fontId="1" fillId="3" borderId="8" xfId="0" applyFont="1" applyFill="1" applyBorder="1" applyAlignment="1" applyProtection="1">
      <alignment horizontal="left" vertical="top"/>
      <protection hidden="1"/>
    </xf>
    <xf numFmtId="0" fontId="1" fillId="3" borderId="15" xfId="0" applyFont="1" applyFill="1" applyBorder="1" applyAlignment="1" applyProtection="1">
      <alignment horizontal="left" vertical="top"/>
      <protection hidden="1"/>
    </xf>
    <xf numFmtId="0" fontId="1" fillId="3" borderId="5" xfId="0" applyFont="1" applyFill="1" applyBorder="1" applyAlignment="1" applyProtection="1">
      <alignment horizontal="left" vertical="top"/>
      <protection hidden="1"/>
    </xf>
    <xf numFmtId="164" fontId="2" fillId="7" borderId="4" xfId="0" applyNumberFormat="1" applyFont="1" applyFill="1" applyBorder="1" applyAlignment="1" applyProtection="1">
      <alignment vertical="center"/>
      <protection hidden="1"/>
    </xf>
    <xf numFmtId="164" fontId="2" fillId="7" borderId="3" xfId="0" applyNumberFormat="1" applyFont="1" applyFill="1" applyBorder="1" applyAlignment="1" applyProtection="1">
      <protection hidden="1"/>
    </xf>
    <xf numFmtId="164" fontId="2" fillId="7" borderId="4" xfId="0" applyNumberFormat="1" applyFont="1" applyFill="1" applyBorder="1" applyAlignment="1" applyProtection="1">
      <alignment horizontal="right" vertical="center"/>
      <protection hidden="1"/>
    </xf>
    <xf numFmtId="1" fontId="2" fillId="7" borderId="5" xfId="5" applyNumberFormat="1" applyFont="1" applyFill="1" applyBorder="1" applyAlignment="1" applyProtection="1">
      <alignment horizontal="center" vertical="center"/>
      <protection hidden="1"/>
    </xf>
    <xf numFmtId="0" fontId="1" fillId="3" borderId="0" xfId="0" applyFont="1" applyFill="1" applyBorder="1" applyAlignment="1" applyProtection="1">
      <alignment horizontal="left"/>
      <protection hidden="1"/>
    </xf>
    <xf numFmtId="164" fontId="2" fillId="7" borderId="9" xfId="0" applyNumberFormat="1" applyFont="1" applyFill="1" applyBorder="1" applyAlignment="1" applyProtection="1">
      <alignment horizontal="right" vertical="center"/>
      <protection hidden="1"/>
    </xf>
    <xf numFmtId="0" fontId="19" fillId="7" borderId="0" xfId="0" applyFont="1" applyFill="1" applyBorder="1" applyAlignment="1" applyProtection="1">
      <alignment horizontal="center" vertical="center"/>
      <protection hidden="1"/>
    </xf>
    <xf numFmtId="164" fontId="19" fillId="7" borderId="9" xfId="0" applyNumberFormat="1" applyFont="1" applyFill="1" applyBorder="1" applyAlignment="1" applyProtection="1">
      <alignment horizontal="right" vertical="center"/>
      <protection hidden="1"/>
    </xf>
    <xf numFmtId="0" fontId="1" fillId="3" borderId="3" xfId="0" applyFont="1" applyFill="1" applyBorder="1" applyAlignment="1" applyProtection="1">
      <alignment horizontal="left" vertical="center"/>
      <protection hidden="1"/>
    </xf>
    <xf numFmtId="0" fontId="1" fillId="3" borderId="54" xfId="0" applyFont="1" applyFill="1" applyBorder="1" applyAlignment="1" applyProtection="1">
      <alignment horizontal="left" vertical="center"/>
      <protection hidden="1"/>
    </xf>
    <xf numFmtId="0" fontId="1" fillId="3" borderId="5" xfId="0" applyFont="1" applyFill="1" applyBorder="1" applyAlignment="1" applyProtection="1">
      <alignment horizontal="left" vertical="center"/>
      <protection hidden="1"/>
    </xf>
    <xf numFmtId="0" fontId="1" fillId="3" borderId="4" xfId="0" applyFont="1" applyFill="1" applyBorder="1" applyAlignment="1" applyProtection="1">
      <alignment horizontal="left" vertical="center"/>
      <protection hidden="1"/>
    </xf>
    <xf numFmtId="0" fontId="2" fillId="7" borderId="4" xfId="0" applyFont="1" applyFill="1" applyBorder="1" applyAlignment="1" applyProtection="1">
      <alignment horizontal="center" vertical="center"/>
      <protection hidden="1"/>
    </xf>
    <xf numFmtId="0" fontId="0" fillId="0" borderId="0" xfId="4" applyFont="1" applyAlignment="1">
      <alignment vertical="center"/>
    </xf>
    <xf numFmtId="14" fontId="0" fillId="8" borderId="27"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22" xfId="0" applyBorder="1"/>
    <xf numFmtId="14" fontId="0" fillId="8" borderId="20" xfId="0" applyNumberFormat="1" applyFill="1" applyBorder="1" applyAlignment="1">
      <alignment horizontal="center" vertical="center"/>
    </xf>
    <xf numFmtId="0" fontId="0" fillId="0" borderId="20" xfId="0" applyBorder="1" applyAlignment="1">
      <alignment horizontal="center" vertical="center"/>
    </xf>
    <xf numFmtId="0" fontId="2" fillId="7" borderId="20" xfId="0" applyFont="1" applyFill="1" applyBorder="1" applyAlignment="1">
      <alignment horizontal="center" vertical="center"/>
    </xf>
    <xf numFmtId="164" fontId="0" fillId="8" borderId="20" xfId="0" applyNumberFormat="1" applyFill="1" applyBorder="1"/>
    <xf numFmtId="0" fontId="0" fillId="0" borderId="25" xfId="0" applyBorder="1"/>
    <xf numFmtId="0" fontId="0" fillId="0" borderId="26" xfId="0" applyBorder="1"/>
    <xf numFmtId="164" fontId="3" fillId="8" borderId="2" xfId="0" applyNumberFormat="1" applyFont="1" applyFill="1" applyBorder="1"/>
    <xf numFmtId="164" fontId="3" fillId="8" borderId="43" xfId="0" applyNumberFormat="1" applyFont="1" applyFill="1" applyBorder="1" applyAlignment="1" applyProtection="1">
      <alignment horizontal="right" vertical="center"/>
      <protection locked="0"/>
    </xf>
    <xf numFmtId="164" fontId="3" fillId="8" borderId="44" xfId="0" applyNumberFormat="1" applyFont="1" applyFill="1" applyBorder="1" applyAlignment="1" applyProtection="1">
      <protection locked="0"/>
    </xf>
    <xf numFmtId="164" fontId="3" fillId="8" borderId="45" xfId="0" applyNumberFormat="1" applyFont="1" applyFill="1" applyBorder="1" applyAlignment="1" applyProtection="1">
      <protection locked="0"/>
    </xf>
    <xf numFmtId="165" fontId="4" fillId="0" borderId="0" xfId="3" applyNumberFormat="1" applyAlignment="1">
      <alignment horizontal="center" vertical="center"/>
    </xf>
    <xf numFmtId="14" fontId="1" fillId="0" borderId="0" xfId="4" applyNumberFormat="1" applyFont="1" applyAlignment="1">
      <alignment vertical="center"/>
    </xf>
    <xf numFmtId="164" fontId="3" fillId="6" borderId="2" xfId="4" applyNumberFormat="1" applyFont="1" applyFill="1" applyBorder="1" applyAlignment="1">
      <alignment horizontal="center" vertical="center" wrapText="1"/>
    </xf>
    <xf numFmtId="0" fontId="2" fillId="2" borderId="4" xfId="4" applyFont="1" applyFill="1" applyBorder="1" applyAlignment="1">
      <alignment horizontal="center" vertical="center" wrapText="1"/>
    </xf>
    <xf numFmtId="0" fontId="3" fillId="8" borderId="0" xfId="4" applyFont="1" applyFill="1" applyAlignment="1">
      <alignment horizontal="center" vertical="center" wrapText="1"/>
    </xf>
    <xf numFmtId="0" fontId="2" fillId="2" borderId="0" xfId="4" applyFont="1" applyFill="1" applyBorder="1" applyAlignment="1">
      <alignment horizontal="center" vertical="center" wrapText="1"/>
    </xf>
    <xf numFmtId="0" fontId="2" fillId="2" borderId="5" xfId="4" applyFont="1" applyFill="1" applyBorder="1" applyAlignment="1">
      <alignment horizontal="center" vertical="center" wrapText="1"/>
    </xf>
    <xf numFmtId="164" fontId="3" fillId="8" borderId="4" xfId="4" applyNumberFormat="1" applyFont="1" applyFill="1" applyBorder="1" applyAlignment="1">
      <alignment horizontal="center" vertical="center" wrapText="1"/>
    </xf>
    <xf numFmtId="164" fontId="2" fillId="7" borderId="4" xfId="4" applyNumberFormat="1" applyFont="1" applyFill="1" applyBorder="1" applyAlignment="1">
      <alignment horizontal="center" vertical="center" wrapText="1"/>
    </xf>
    <xf numFmtId="0" fontId="22" fillId="0" borderId="0" xfId="0" applyNumberFormat="1" applyFont="1" applyFill="1" applyBorder="1" applyAlignment="1">
      <alignment horizontal="center" vertical="center"/>
    </xf>
    <xf numFmtId="0" fontId="6" fillId="7" borderId="24" xfId="0" applyFont="1" applyFill="1" applyBorder="1" applyAlignment="1">
      <alignment horizontal="center" vertical="center"/>
    </xf>
    <xf numFmtId="14" fontId="2" fillId="7" borderId="34" xfId="0" applyNumberFormat="1" applyFont="1" applyFill="1" applyBorder="1" applyAlignment="1">
      <alignment horizontal="center" vertical="center"/>
    </xf>
    <xf numFmtId="164" fontId="0" fillId="0" borderId="0" xfId="0" applyNumberFormat="1"/>
    <xf numFmtId="0" fontId="2" fillId="2" borderId="4" xfId="0" applyFont="1" applyFill="1" applyBorder="1" applyAlignment="1" applyProtection="1">
      <alignment horizontal="center" vertical="center" wrapText="1"/>
      <protection locked="0"/>
    </xf>
    <xf numFmtId="14" fontId="0" fillId="0" borderId="6" xfId="0" applyNumberFormat="1" applyBorder="1" applyAlignment="1" applyProtection="1">
      <alignment horizontal="center" vertical="center"/>
      <protection locked="0"/>
    </xf>
    <xf numFmtId="49" fontId="0" fillId="0" borderId="6" xfId="0" applyNumberFormat="1" applyBorder="1" applyAlignment="1" applyProtection="1">
      <alignment horizontal="left" vertical="center"/>
      <protection locked="0"/>
    </xf>
    <xf numFmtId="49" fontId="0" fillId="0" borderId="6" xfId="0" applyNumberFormat="1" applyBorder="1" applyAlignment="1" applyProtection="1">
      <alignment horizontal="center" vertical="center"/>
      <protection locked="0"/>
    </xf>
    <xf numFmtId="14" fontId="0" fillId="0" borderId="48" xfId="0" applyNumberFormat="1" applyBorder="1" applyAlignment="1" applyProtection="1">
      <alignment horizontal="center" vertical="center"/>
      <protection locked="0"/>
    </xf>
    <xf numFmtId="49" fontId="0" fillId="0" borderId="48" xfId="0" applyNumberFormat="1" applyBorder="1" applyAlignment="1" applyProtection="1">
      <alignment horizontal="left" vertical="center"/>
      <protection locked="0"/>
    </xf>
    <xf numFmtId="0" fontId="0" fillId="8" borderId="0" xfId="0" applyFill="1" applyAlignment="1">
      <alignment horizontal="center" vertical="center" wrapText="1"/>
    </xf>
    <xf numFmtId="0" fontId="0" fillId="4" borderId="0" xfId="0" applyFill="1" applyAlignment="1">
      <alignment horizontal="center" vertical="center" wrapText="1"/>
    </xf>
    <xf numFmtId="0" fontId="0" fillId="4" borderId="0" xfId="0" applyFill="1" applyAlignment="1">
      <alignment horizontal="center" vertical="center"/>
    </xf>
    <xf numFmtId="0" fontId="0" fillId="8" borderId="0" xfId="0" applyFill="1" applyAlignment="1">
      <alignment horizontal="center" vertical="center"/>
    </xf>
    <xf numFmtId="0" fontId="0" fillId="6" borderId="0" xfId="0" applyFill="1" applyAlignment="1">
      <alignment horizontal="center" vertical="center" wrapText="1"/>
    </xf>
    <xf numFmtId="0" fontId="0" fillId="6" borderId="0" xfId="0" applyFill="1" applyAlignment="1">
      <alignment horizontal="center" vertical="center"/>
    </xf>
    <xf numFmtId="0" fontId="19" fillId="7" borderId="0" xfId="0" applyFont="1" applyFill="1" applyAlignment="1">
      <alignment horizontal="center" vertical="center" wrapText="1"/>
    </xf>
    <xf numFmtId="0" fontId="19" fillId="11" borderId="0" xfId="0" applyFont="1" applyFill="1" applyAlignment="1">
      <alignment horizontal="center" vertical="center" wrapText="1"/>
    </xf>
    <xf numFmtId="0" fontId="19" fillId="12" borderId="0" xfId="0" applyFont="1" applyFill="1" applyAlignment="1">
      <alignment horizontal="center" vertical="center" wrapText="1"/>
    </xf>
    <xf numFmtId="0" fontId="19" fillId="7" borderId="0" xfId="0" applyFont="1" applyFill="1" applyAlignment="1">
      <alignment horizontal="center" vertical="center"/>
    </xf>
    <xf numFmtId="0" fontId="19" fillId="11" borderId="0" xfId="0" applyFont="1" applyFill="1" applyAlignment="1">
      <alignment horizontal="center" vertical="center"/>
    </xf>
    <xf numFmtId="0" fontId="19" fillId="12" borderId="0" xfId="0" applyFont="1" applyFill="1" applyAlignment="1">
      <alignment horizontal="center" vertical="center"/>
    </xf>
    <xf numFmtId="1" fontId="0" fillId="13" borderId="4" xfId="0" applyNumberFormat="1" applyFill="1" applyBorder="1" applyAlignment="1">
      <alignment horizontal="center" vertical="center"/>
    </xf>
    <xf numFmtId="0" fontId="3" fillId="13" borderId="0" xfId="0" applyFont="1" applyFill="1" applyAlignment="1">
      <alignment horizontal="center" vertical="center" wrapText="1"/>
    </xf>
    <xf numFmtId="14" fontId="0" fillId="0" borderId="0" xfId="0" applyNumberFormat="1" applyFill="1"/>
    <xf numFmtId="0" fontId="0" fillId="0" borderId="0" xfId="4" applyFont="1" applyAlignment="1">
      <alignment horizontal="center" vertical="center" wrapText="1"/>
    </xf>
    <xf numFmtId="164" fontId="2" fillId="7" borderId="38" xfId="0" applyNumberFormat="1" applyFont="1" applyFill="1" applyBorder="1" applyAlignment="1" applyProtection="1">
      <alignment horizontal="center" vertical="center"/>
      <protection hidden="1"/>
    </xf>
    <xf numFmtId="14" fontId="2" fillId="7" borderId="19" xfId="0" applyNumberFormat="1" applyFont="1" applyFill="1" applyBorder="1" applyAlignment="1" applyProtection="1">
      <alignment horizontal="center" vertical="center"/>
      <protection locked="0"/>
    </xf>
    <xf numFmtId="0" fontId="22" fillId="0" borderId="0" xfId="4" applyFont="1" applyAlignment="1">
      <alignment horizontal="center" vertical="center"/>
    </xf>
    <xf numFmtId="0" fontId="0" fillId="5" borderId="0" xfId="0" applyFill="1" applyAlignment="1"/>
    <xf numFmtId="14" fontId="0" fillId="0" borderId="0" xfId="0" applyNumberFormat="1" applyAlignment="1"/>
    <xf numFmtId="0" fontId="19" fillId="14" borderId="0" xfId="0" applyFont="1" applyFill="1" applyAlignment="1">
      <alignment horizontal="center" vertical="center" wrapText="1"/>
    </xf>
    <xf numFmtId="0" fontId="19" fillId="15" borderId="0" xfId="0" applyFont="1" applyFill="1" applyAlignment="1">
      <alignment horizontal="center" vertical="center" wrapText="1"/>
    </xf>
    <xf numFmtId="0" fontId="19" fillId="16" borderId="0" xfId="0" applyFont="1" applyFill="1" applyAlignment="1">
      <alignment horizontal="center" vertical="center" wrapText="1"/>
    </xf>
    <xf numFmtId="0" fontId="22" fillId="18" borderId="0" xfId="0" applyFont="1" applyFill="1" applyAlignment="1">
      <alignment horizontal="center" vertical="center" wrapText="1"/>
    </xf>
    <xf numFmtId="0" fontId="19" fillId="17" borderId="0" xfId="0" applyFont="1" applyFill="1" applyAlignment="1">
      <alignment horizontal="center" vertical="center" wrapText="1"/>
    </xf>
    <xf numFmtId="0" fontId="19" fillId="16" borderId="20" xfId="0" applyFont="1" applyFill="1" applyBorder="1" applyAlignment="1">
      <alignment horizontal="center" vertical="center"/>
    </xf>
    <xf numFmtId="167" fontId="19" fillId="16" borderId="20" xfId="0" applyNumberFormat="1" applyFont="1" applyFill="1" applyBorder="1" applyAlignment="1">
      <alignment horizontal="center" vertical="center"/>
    </xf>
    <xf numFmtId="0" fontId="22" fillId="5" borderId="0" xfId="0" applyFont="1" applyFill="1" applyAlignment="1">
      <alignment horizontal="center" vertical="center" wrapText="1"/>
    </xf>
    <xf numFmtId="0" fontId="22" fillId="5" borderId="20" xfId="0" applyFont="1" applyFill="1" applyBorder="1" applyAlignment="1">
      <alignment horizontal="center" vertical="center"/>
    </xf>
    <xf numFmtId="167" fontId="22" fillId="5" borderId="20" xfId="0" applyNumberFormat="1" applyFont="1" applyFill="1" applyBorder="1" applyAlignment="1">
      <alignment horizontal="center" vertical="center"/>
    </xf>
    <xf numFmtId="0" fontId="19" fillId="17" borderId="20" xfId="0" applyFont="1" applyFill="1" applyBorder="1" applyAlignment="1">
      <alignment horizontal="center" vertical="center"/>
    </xf>
    <xf numFmtId="167" fontId="19" fillId="17" borderId="20" xfId="0" applyNumberFormat="1" applyFont="1" applyFill="1" applyBorder="1" applyAlignment="1">
      <alignment horizontal="center" vertical="center"/>
    </xf>
    <xf numFmtId="0" fontId="19" fillId="14" borderId="20" xfId="0" applyFont="1" applyFill="1" applyBorder="1" applyAlignment="1">
      <alignment horizontal="center" vertical="center"/>
    </xf>
    <xf numFmtId="0" fontId="19" fillId="15" borderId="20" xfId="0" applyFont="1" applyFill="1" applyBorder="1" applyAlignment="1">
      <alignment horizontal="center" vertical="center"/>
    </xf>
    <xf numFmtId="167" fontId="19" fillId="14" borderId="20" xfId="0" applyNumberFormat="1" applyFont="1" applyFill="1" applyBorder="1" applyAlignment="1">
      <alignment horizontal="center" vertical="center"/>
    </xf>
    <xf numFmtId="167" fontId="19" fillId="15" borderId="20" xfId="0" applyNumberFormat="1" applyFont="1" applyFill="1" applyBorder="1" applyAlignment="1">
      <alignment horizontal="center" vertical="center"/>
    </xf>
    <xf numFmtId="0" fontId="22" fillId="18" borderId="20" xfId="0" applyFont="1" applyFill="1" applyBorder="1" applyAlignment="1">
      <alignment horizontal="center" vertical="center"/>
    </xf>
    <xf numFmtId="167" fontId="22" fillId="18" borderId="20" xfId="0" applyNumberFormat="1" applyFont="1" applyFill="1" applyBorder="1" applyAlignment="1">
      <alignment horizontal="center" vertical="center"/>
    </xf>
    <xf numFmtId="49" fontId="0" fillId="0" borderId="0" xfId="0" applyNumberFormat="1" applyAlignment="1">
      <alignment horizontal="right"/>
    </xf>
    <xf numFmtId="0" fontId="22" fillId="6" borderId="0" xfId="0" applyFont="1" applyFill="1" applyAlignment="1">
      <alignment horizontal="center" vertical="center" wrapText="1"/>
    </xf>
    <xf numFmtId="0" fontId="19" fillId="6" borderId="24" xfId="0" applyFont="1" applyFill="1" applyBorder="1" applyAlignment="1">
      <alignment horizontal="center" vertical="center"/>
    </xf>
    <xf numFmtId="167" fontId="19" fillId="6" borderId="24" xfId="0" applyNumberFormat="1" applyFont="1" applyFill="1" applyBorder="1" applyAlignment="1">
      <alignment horizontal="center" vertical="center"/>
    </xf>
    <xf numFmtId="164" fontId="2" fillId="7" borderId="2" xfId="0" applyNumberFormat="1" applyFont="1" applyFill="1" applyBorder="1"/>
    <xf numFmtId="0" fontId="2" fillId="19" borderId="16" xfId="3" applyFont="1" applyFill="1" applyBorder="1" applyAlignment="1" applyProtection="1">
      <alignment horizontal="left" vertical="center"/>
      <protection locked="0"/>
    </xf>
    <xf numFmtId="49" fontId="8" fillId="0" borderId="20" xfId="4" applyNumberFormat="1" applyBorder="1" applyAlignment="1">
      <alignment horizontal="center" vertical="center"/>
    </xf>
    <xf numFmtId="0" fontId="0" fillId="8" borderId="0" xfId="0" applyFill="1" applyBorder="1" applyAlignment="1"/>
    <xf numFmtId="0" fontId="2" fillId="2" borderId="25" xfId="0" applyFont="1" applyFill="1" applyBorder="1" applyAlignment="1" applyProtection="1">
      <protection locked="0"/>
    </xf>
    <xf numFmtId="0" fontId="2" fillId="2" borderId="26" xfId="0" applyFont="1" applyFill="1" applyBorder="1" applyAlignment="1" applyProtection="1">
      <protection locked="0"/>
    </xf>
    <xf numFmtId="0" fontId="2" fillId="2" borderId="49" xfId="0" applyFont="1" applyFill="1" applyBorder="1" applyAlignment="1" applyProtection="1">
      <protection locked="0"/>
    </xf>
    <xf numFmtId="164" fontId="0" fillId="0" borderId="0" xfId="0" applyNumberFormat="1" applyFill="1" applyBorder="1"/>
    <xf numFmtId="0" fontId="2" fillId="2" borderId="16" xfId="3" applyFont="1" applyFill="1" applyBorder="1" applyAlignment="1" applyProtection="1">
      <alignment horizontal="left" vertical="center"/>
      <protection hidden="1"/>
    </xf>
    <xf numFmtId="0" fontId="2" fillId="2" borderId="14" xfId="3" applyFont="1" applyFill="1" applyBorder="1" applyAlignment="1" applyProtection="1">
      <alignment horizontal="left" vertical="center"/>
      <protection hidden="1"/>
    </xf>
    <xf numFmtId="0" fontId="0" fillId="8" borderId="53" xfId="0" applyFill="1" applyBorder="1" applyAlignment="1"/>
    <xf numFmtId="0" fontId="0" fillId="6" borderId="20" xfId="0" applyFill="1" applyBorder="1"/>
    <xf numFmtId="0" fontId="2" fillId="2" borderId="4" xfId="0" applyFont="1" applyFill="1" applyBorder="1" applyAlignment="1" applyProtection="1">
      <alignment horizontal="center" vertical="center"/>
      <protection locked="0"/>
    </xf>
    <xf numFmtId="0" fontId="3" fillId="6" borderId="3" xfId="4" applyFont="1" applyFill="1" applyBorder="1" applyAlignment="1">
      <alignment vertical="center" wrapText="1"/>
    </xf>
    <xf numFmtId="0" fontId="3" fillId="6" borderId="5" xfId="4" applyFont="1" applyFill="1" applyBorder="1" applyAlignment="1">
      <alignment vertical="center" wrapText="1"/>
    </xf>
    <xf numFmtId="164" fontId="3" fillId="6" borderId="3" xfId="4" applyNumberFormat="1" applyFont="1" applyFill="1" applyBorder="1" applyAlignment="1">
      <alignment vertical="center" wrapText="1"/>
    </xf>
    <xf numFmtId="164" fontId="3" fillId="6" borderId="5" xfId="4" applyNumberFormat="1" applyFont="1" applyFill="1" applyBorder="1" applyAlignment="1">
      <alignment vertical="center" wrapText="1"/>
    </xf>
    <xf numFmtId="0" fontId="2" fillId="2" borderId="25" xfId="0" applyFont="1" applyFill="1" applyBorder="1" applyAlignment="1" applyProtection="1">
      <alignment horizontal="center" vertical="center" wrapText="1"/>
      <protection locked="0"/>
    </xf>
    <xf numFmtId="14" fontId="2" fillId="7" borderId="52" xfId="0" applyNumberFormat="1" applyFont="1" applyFill="1" applyBorder="1" applyAlignment="1" applyProtection="1">
      <alignment horizontal="center" vertical="center"/>
      <protection hidden="1"/>
    </xf>
    <xf numFmtId="0" fontId="2" fillId="7" borderId="34" xfId="0" applyNumberFormat="1" applyFont="1" applyFill="1" applyBorder="1" applyAlignment="1" applyProtection="1">
      <alignment horizontal="center" vertical="center"/>
      <protection hidden="1"/>
    </xf>
    <xf numFmtId="0" fontId="2" fillId="2" borderId="4" xfId="0" applyFont="1" applyFill="1" applyBorder="1" applyAlignment="1" applyProtection="1">
      <alignment horizontal="center" vertical="center"/>
      <protection locked="0"/>
    </xf>
    <xf numFmtId="0" fontId="0" fillId="0" borderId="0" xfId="0" applyAlignment="1">
      <alignment horizontal="right"/>
    </xf>
    <xf numFmtId="0" fontId="0" fillId="0" borderId="24" xfId="0" applyBorder="1" applyAlignment="1">
      <alignment horizontal="center" vertical="center"/>
    </xf>
    <xf numFmtId="9" fontId="0" fillId="0" borderId="27" xfId="5" applyFont="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55" xfId="0" applyBorder="1" applyAlignment="1">
      <alignment horizontal="center" vertical="center"/>
    </xf>
    <xf numFmtId="0" fontId="0" fillId="0" borderId="36" xfId="0" applyBorder="1" applyAlignment="1">
      <alignment horizontal="center" vertical="center"/>
    </xf>
    <xf numFmtId="0" fontId="0" fillId="0" borderId="56" xfId="0" applyBorder="1" applyAlignment="1">
      <alignment horizontal="center" vertical="center"/>
    </xf>
    <xf numFmtId="0" fontId="0" fillId="0" borderId="42" xfId="0" applyBorder="1" applyAlignment="1">
      <alignment horizontal="center" vertical="center"/>
    </xf>
    <xf numFmtId="0" fontId="0" fillId="0" borderId="47" xfId="0" applyBorder="1" applyAlignment="1">
      <alignment horizontal="center" vertical="center"/>
    </xf>
    <xf numFmtId="0" fontId="0" fillId="0" borderId="22" xfId="0" applyBorder="1" applyAlignment="1">
      <alignment horizontal="center" vertical="center"/>
    </xf>
    <xf numFmtId="0" fontId="0" fillId="0" borderId="6" xfId="0" applyBorder="1" applyAlignment="1">
      <alignment horizontal="center" vertical="center"/>
    </xf>
    <xf numFmtId="0" fontId="0" fillId="0" borderId="23" xfId="0" applyBorder="1" applyAlignment="1">
      <alignment horizontal="center" vertical="center"/>
    </xf>
    <xf numFmtId="14" fontId="2" fillId="7" borderId="0" xfId="0" applyNumberFormat="1" applyFont="1" applyFill="1" applyBorder="1" applyAlignment="1" applyProtection="1">
      <alignment horizontal="center" vertical="center"/>
      <protection locked="0"/>
    </xf>
    <xf numFmtId="0" fontId="2" fillId="7" borderId="22" xfId="0" applyFont="1" applyFill="1" applyBorder="1" applyAlignment="1" applyProtection="1">
      <alignment horizontal="center" vertical="center"/>
      <protection locked="0"/>
    </xf>
    <xf numFmtId="0" fontId="2" fillId="7" borderId="23" xfId="0" applyFont="1" applyFill="1" applyBorder="1" applyAlignment="1" applyProtection="1">
      <alignment horizontal="center" vertical="center"/>
      <protection locked="0"/>
    </xf>
    <xf numFmtId="0" fontId="0" fillId="0" borderId="25" xfId="0" applyBorder="1" applyAlignment="1" applyProtection="1">
      <protection locked="0"/>
    </xf>
    <xf numFmtId="0" fontId="0" fillId="0" borderId="24" xfId="0" applyBorder="1" applyAlignment="1" applyProtection="1">
      <protection locked="0"/>
    </xf>
    <xf numFmtId="0" fontId="2" fillId="7" borderId="25" xfId="0" applyFont="1" applyFill="1" applyBorder="1" applyAlignment="1" applyProtection="1">
      <alignment horizontal="center" vertical="center"/>
      <protection locked="0"/>
    </xf>
    <xf numFmtId="0" fontId="2" fillId="7" borderId="24" xfId="0" applyFont="1" applyFill="1" applyBorder="1" applyAlignment="1" applyProtection="1">
      <alignment horizontal="center" vertical="center"/>
      <protection locked="0"/>
    </xf>
    <xf numFmtId="0" fontId="0" fillId="0" borderId="26" xfId="0" applyBorder="1" applyAlignment="1" applyProtection="1">
      <protection locked="0"/>
    </xf>
    <xf numFmtId="0" fontId="0" fillId="0" borderId="34" xfId="0" applyBorder="1" applyAlignment="1" applyProtection="1">
      <protection locked="0"/>
    </xf>
    <xf numFmtId="0" fontId="2" fillId="7" borderId="22" xfId="0" applyFont="1" applyFill="1" applyBorder="1" applyAlignment="1" applyProtection="1">
      <alignment horizontal="center" vertical="center"/>
      <protection hidden="1"/>
    </xf>
    <xf numFmtId="164" fontId="2" fillId="7" borderId="23" xfId="0" applyNumberFormat="1" applyFont="1" applyFill="1" applyBorder="1" applyAlignment="1" applyProtection="1">
      <alignment horizontal="right" vertical="center"/>
      <protection hidden="1"/>
    </xf>
    <xf numFmtId="14" fontId="2" fillId="7" borderId="25" xfId="0" applyNumberFormat="1" applyFont="1" applyFill="1" applyBorder="1" applyAlignment="1" applyProtection="1">
      <alignment horizontal="center" vertical="center"/>
      <protection locked="0"/>
    </xf>
    <xf numFmtId="0" fontId="0" fillId="3" borderId="24" xfId="0" applyFill="1" applyBorder="1" applyAlignment="1" applyProtection="1">
      <protection hidden="1"/>
    </xf>
    <xf numFmtId="0" fontId="0" fillId="0" borderId="26" xfId="0" applyBorder="1" applyAlignment="1" applyProtection="1">
      <alignment horizontal="center" vertical="center"/>
      <protection locked="0"/>
    </xf>
    <xf numFmtId="0" fontId="0" fillId="3" borderId="34" xfId="0" applyFill="1" applyBorder="1" applyAlignment="1" applyProtection="1">
      <protection hidden="1"/>
    </xf>
    <xf numFmtId="164" fontId="2" fillId="7" borderId="57" xfId="0" applyNumberFormat="1" applyFont="1" applyFill="1" applyBorder="1" applyAlignment="1" applyProtection="1">
      <alignment vertical="center"/>
      <protection hidden="1"/>
    </xf>
    <xf numFmtId="14" fontId="2" fillId="7" borderId="42" xfId="0" applyNumberFormat="1" applyFont="1" applyFill="1" applyBorder="1" applyAlignment="1" applyProtection="1">
      <alignment horizontal="center" vertical="center"/>
      <protection hidden="1"/>
    </xf>
    <xf numFmtId="0" fontId="27" fillId="2" borderId="2" xfId="0" applyFont="1" applyFill="1" applyBorder="1" applyAlignment="1">
      <alignment horizontal="center" vertical="center"/>
    </xf>
    <xf numFmtId="0" fontId="27" fillId="2" borderId="4" xfId="0" applyFont="1" applyFill="1" applyBorder="1" applyAlignment="1">
      <alignment horizontal="center" vertical="center"/>
    </xf>
    <xf numFmtId="0" fontId="2" fillId="2" borderId="4" xfId="0" applyFont="1" applyFill="1" applyBorder="1"/>
    <xf numFmtId="0" fontId="2" fillId="2" borderId="20" xfId="0" applyFont="1" applyFill="1" applyBorder="1" applyAlignment="1">
      <alignment horizontal="center" vertical="center"/>
    </xf>
    <xf numFmtId="14" fontId="2" fillId="2" borderId="42" xfId="0" applyNumberFormat="1" applyFont="1" applyFill="1" applyBorder="1" applyAlignment="1">
      <alignment horizontal="center" vertical="center"/>
    </xf>
    <xf numFmtId="0" fontId="2" fillId="2" borderId="6" xfId="0" applyFont="1" applyFill="1" applyBorder="1" applyAlignment="1">
      <alignment horizontal="center" vertical="center"/>
    </xf>
    <xf numFmtId="0" fontId="0" fillId="0" borderId="0" xfId="0" applyBorder="1"/>
    <xf numFmtId="0" fontId="0" fillId="0" borderId="18" xfId="0" applyBorder="1" applyAlignment="1">
      <alignment horizontal="center" vertical="center"/>
    </xf>
    <xf numFmtId="9" fontId="0" fillId="0" borderId="19" xfId="5" applyFont="1" applyBorder="1" applyAlignment="1">
      <alignment horizontal="center" vertical="center"/>
    </xf>
    <xf numFmtId="9" fontId="29" fillId="2" borderId="27" xfId="5" applyFont="1" applyFill="1" applyBorder="1" applyAlignment="1">
      <alignment horizontal="center" vertical="center"/>
    </xf>
    <xf numFmtId="9" fontId="31" fillId="0" borderId="26" xfId="5" applyFont="1" applyBorder="1" applyAlignment="1">
      <alignment horizontal="center" vertical="center"/>
    </xf>
    <xf numFmtId="9" fontId="31" fillId="0" borderId="27" xfId="5" applyFont="1" applyBorder="1" applyAlignment="1">
      <alignment horizontal="center" vertical="center"/>
    </xf>
    <xf numFmtId="9" fontId="31" fillId="0" borderId="34" xfId="5" applyFont="1" applyBorder="1" applyAlignment="1">
      <alignment horizontal="center" vertical="center"/>
    </xf>
    <xf numFmtId="14" fontId="2" fillId="2" borderId="46" xfId="0" applyNumberFormat="1" applyFont="1" applyFill="1"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9" fontId="0" fillId="0" borderId="63" xfId="5" applyFont="1" applyBorder="1" applyAlignment="1">
      <alignment horizontal="center" vertical="center"/>
    </xf>
    <xf numFmtId="14" fontId="2" fillId="2" borderId="56" xfId="0" applyNumberFormat="1" applyFont="1" applyFill="1" applyBorder="1" applyAlignment="1">
      <alignment horizontal="center" vertical="center"/>
    </xf>
    <xf numFmtId="0" fontId="0" fillId="0" borderId="32" xfId="0" applyBorder="1" applyAlignment="1">
      <alignment horizontal="center" vertical="center"/>
    </xf>
    <xf numFmtId="9" fontId="0" fillId="0" borderId="37" xfId="5" applyFont="1" applyBorder="1" applyAlignment="1">
      <alignment horizontal="center" vertical="center"/>
    </xf>
    <xf numFmtId="14" fontId="2" fillId="2" borderId="3" xfId="0" applyNumberFormat="1" applyFont="1" applyFill="1" applyBorder="1" applyAlignment="1">
      <alignment horizontal="center" vertical="center"/>
    </xf>
    <xf numFmtId="0" fontId="0" fillId="4" borderId="0" xfId="4" applyFont="1" applyFill="1" applyAlignment="1">
      <alignment horizontal="center" vertical="center"/>
    </xf>
    <xf numFmtId="0" fontId="2" fillId="6" borderId="16" xfId="3" applyFont="1" applyFill="1" applyBorder="1" applyAlignment="1" applyProtection="1">
      <alignment horizontal="left" vertical="center"/>
      <protection locked="0"/>
    </xf>
    <xf numFmtId="0" fontId="2" fillId="2" borderId="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3" xfId="0" applyFont="1" applyFill="1" applyBorder="1"/>
    <xf numFmtId="0" fontId="0" fillId="2" borderId="4" xfId="0" applyFill="1" applyBorder="1"/>
    <xf numFmtId="14" fontId="2" fillId="7" borderId="58" xfId="0" applyNumberFormat="1" applyFont="1" applyFill="1" applyBorder="1" applyAlignment="1" applyProtection="1">
      <alignment horizontal="center" vertical="center"/>
      <protection hidden="1"/>
    </xf>
    <xf numFmtId="0" fontId="32" fillId="8" borderId="6" xfId="0" applyFont="1" applyFill="1" applyBorder="1" applyAlignment="1">
      <alignment horizontal="center" vertical="center"/>
    </xf>
    <xf numFmtId="0" fontId="32" fillId="8" borderId="23" xfId="0" applyFont="1" applyFill="1" applyBorder="1" applyAlignment="1">
      <alignment horizontal="center" vertical="center"/>
    </xf>
    <xf numFmtId="0" fontId="32" fillId="8" borderId="20" xfId="0" applyFont="1" applyFill="1" applyBorder="1" applyAlignment="1">
      <alignment horizontal="center" vertical="center"/>
    </xf>
    <xf numFmtId="0" fontId="32" fillId="8" borderId="24" xfId="0" applyFont="1" applyFill="1" applyBorder="1" applyAlignment="1">
      <alignment horizontal="center" vertical="center"/>
    </xf>
    <xf numFmtId="0" fontId="32" fillId="8" borderId="27" xfId="0" applyFont="1" applyFill="1" applyBorder="1" applyAlignment="1">
      <alignment horizontal="center" vertical="center"/>
    </xf>
    <xf numFmtId="0" fontId="32" fillId="8" borderId="34" xfId="0" applyFont="1" applyFill="1" applyBorder="1" applyAlignment="1">
      <alignment horizontal="center" vertical="center"/>
    </xf>
    <xf numFmtId="0" fontId="2" fillId="7" borderId="18" xfId="3" applyFont="1" applyFill="1" applyBorder="1" applyAlignment="1" applyProtection="1">
      <alignment horizontal="center" vertical="center"/>
      <protection locked="0"/>
    </xf>
    <xf numFmtId="0" fontId="2" fillId="7" borderId="38" xfId="3" applyFont="1" applyFill="1" applyBorder="1" applyAlignment="1" applyProtection="1">
      <alignment horizontal="center" vertical="center"/>
      <protection locked="0"/>
    </xf>
    <xf numFmtId="0" fontId="2" fillId="7" borderId="19" xfId="3" applyFont="1" applyFill="1" applyBorder="1" applyAlignment="1" applyProtection="1">
      <alignment horizontal="center" vertical="center"/>
      <protection locked="0"/>
    </xf>
    <xf numFmtId="0" fontId="13" fillId="2" borderId="4" xfId="0" applyFont="1" applyFill="1" applyBorder="1" applyAlignment="1">
      <alignment horizontal="center" vertical="center"/>
    </xf>
    <xf numFmtId="164" fontId="2" fillId="7" borderId="0" xfId="0" applyNumberFormat="1" applyFont="1" applyFill="1" applyAlignment="1">
      <alignment horizontal="center" vertical="center"/>
    </xf>
    <xf numFmtId="14" fontId="3" fillId="8" borderId="20" xfId="0" applyNumberFormat="1" applyFont="1" applyFill="1" applyBorder="1" applyAlignment="1">
      <alignment horizontal="center" vertical="center"/>
    </xf>
    <xf numFmtId="164" fontId="3" fillId="8" borderId="20" xfId="0" applyNumberFormat="1" applyFont="1" applyFill="1" applyBorder="1" applyAlignment="1">
      <alignment horizontal="right" vertical="center"/>
    </xf>
    <xf numFmtId="164" fontId="2" fillId="7" borderId="20" xfId="0" applyNumberFormat="1" applyFont="1" applyFill="1" applyBorder="1" applyAlignment="1">
      <alignment horizontal="right" vertical="center"/>
    </xf>
    <xf numFmtId="14" fontId="3" fillId="8" borderId="23" xfId="0" applyNumberFormat="1" applyFont="1" applyFill="1" applyBorder="1" applyAlignment="1">
      <alignment horizontal="center" vertical="center"/>
    </xf>
    <xf numFmtId="14" fontId="2" fillId="2" borderId="22" xfId="0" applyNumberFormat="1" applyFont="1" applyFill="1" applyBorder="1"/>
    <xf numFmtId="14" fontId="2" fillId="2" borderId="26" xfId="0" applyNumberFormat="1" applyFont="1" applyFill="1" applyBorder="1"/>
    <xf numFmtId="0" fontId="2" fillId="2" borderId="19" xfId="0" applyFont="1" applyFill="1" applyBorder="1"/>
    <xf numFmtId="14" fontId="3" fillId="8" borderId="19" xfId="0" applyNumberFormat="1" applyFont="1" applyFill="1" applyBorder="1" applyAlignment="1">
      <alignment horizontal="center" vertical="center"/>
    </xf>
    <xf numFmtId="0" fontId="2" fillId="2" borderId="4" xfId="0" applyFont="1" applyFill="1" applyBorder="1" applyAlignment="1">
      <alignment horizontal="center" vertical="center"/>
    </xf>
    <xf numFmtId="0" fontId="2" fillId="2" borderId="50" xfId="0" applyFont="1" applyFill="1" applyBorder="1"/>
    <xf numFmtId="14" fontId="3" fillId="8" borderId="50" xfId="0" applyNumberFormat="1" applyFont="1" applyFill="1" applyBorder="1" applyAlignment="1">
      <alignment horizontal="center" vertical="center"/>
    </xf>
    <xf numFmtId="14" fontId="3" fillId="8" borderId="51" xfId="0" applyNumberFormat="1" applyFont="1" applyFill="1" applyBorder="1" applyAlignment="1">
      <alignment horizontal="center" vertical="center"/>
    </xf>
    <xf numFmtId="164" fontId="3" fillId="8" borderId="51" xfId="0" applyNumberFormat="1" applyFont="1" applyFill="1" applyBorder="1" applyAlignment="1">
      <alignment horizontal="right" vertical="center"/>
    </xf>
    <xf numFmtId="0" fontId="2" fillId="7" borderId="51" xfId="0" applyFont="1" applyFill="1" applyBorder="1" applyAlignment="1">
      <alignment horizontal="center" vertical="center"/>
    </xf>
    <xf numFmtId="164" fontId="2" fillId="7" borderId="51" xfId="0" applyNumberFormat="1" applyFont="1" applyFill="1" applyBorder="1" applyAlignment="1">
      <alignment horizontal="right" vertical="center"/>
    </xf>
    <xf numFmtId="14" fontId="2" fillId="2" borderId="4" xfId="0" applyNumberFormat="1" applyFont="1" applyFill="1" applyBorder="1" applyAlignment="1">
      <alignment horizontal="center" vertical="center"/>
    </xf>
    <xf numFmtId="14" fontId="2" fillId="2" borderId="17" xfId="0" applyNumberFormat="1" applyFont="1" applyFill="1" applyBorder="1"/>
    <xf numFmtId="14" fontId="3" fillId="8" borderId="0" xfId="0" applyNumberFormat="1" applyFont="1" applyFill="1" applyBorder="1" applyAlignment="1">
      <alignment horizontal="center" vertical="center"/>
    </xf>
    <xf numFmtId="0" fontId="2" fillId="7" borderId="27" xfId="0" applyFont="1" applyFill="1" applyBorder="1" applyAlignment="1">
      <alignment horizontal="center" vertical="center"/>
    </xf>
    <xf numFmtId="164" fontId="2" fillId="7" borderId="27" xfId="0" applyNumberFormat="1" applyFont="1" applyFill="1" applyBorder="1" applyAlignment="1">
      <alignment horizontal="right" vertical="center"/>
    </xf>
    <xf numFmtId="0" fontId="1" fillId="3" borderId="13" xfId="0" applyFont="1" applyFill="1" applyBorder="1" applyAlignment="1" applyProtection="1">
      <alignment horizontal="left" vertical="center"/>
      <protection hidden="1"/>
    </xf>
    <xf numFmtId="0" fontId="0" fillId="3" borderId="2" xfId="0" applyFont="1" applyFill="1" applyBorder="1" applyAlignment="1" applyProtection="1">
      <alignment horizontal="left" vertical="center"/>
      <protection hidden="1"/>
    </xf>
    <xf numFmtId="0" fontId="0" fillId="3" borderId="23" xfId="0" applyFont="1" applyFill="1" applyBorder="1" applyAlignment="1" applyProtection="1">
      <alignment horizontal="left" vertical="center"/>
      <protection hidden="1"/>
    </xf>
    <xf numFmtId="0" fontId="0" fillId="3" borderId="24" xfId="0" applyFont="1" applyFill="1" applyBorder="1" applyAlignment="1" applyProtection="1">
      <alignment horizontal="left" vertical="center"/>
      <protection hidden="1"/>
    </xf>
    <xf numFmtId="0" fontId="0" fillId="3" borderId="34" xfId="0" applyFont="1" applyFill="1" applyBorder="1" applyAlignment="1" applyProtection="1">
      <alignment horizontal="left" vertical="center"/>
      <protection hidden="1"/>
    </xf>
    <xf numFmtId="0" fontId="2" fillId="2" borderId="18" xfId="0" applyFont="1" applyFill="1" applyBorder="1"/>
    <xf numFmtId="0" fontId="2" fillId="2" borderId="38" xfId="0" applyFont="1" applyFill="1" applyBorder="1"/>
    <xf numFmtId="14" fontId="0" fillId="2" borderId="8" xfId="0" applyNumberFormat="1" applyFill="1" applyBorder="1"/>
    <xf numFmtId="164" fontId="2" fillId="7" borderId="55" xfId="0" applyNumberFormat="1" applyFont="1" applyFill="1" applyBorder="1" applyAlignment="1">
      <alignment horizontal="right" vertical="center"/>
    </xf>
    <xf numFmtId="164" fontId="2" fillId="7" borderId="36" xfId="0" applyNumberFormat="1" applyFont="1" applyFill="1" applyBorder="1" applyAlignment="1">
      <alignment horizontal="right" vertical="center"/>
    </xf>
    <xf numFmtId="164" fontId="2" fillId="7" borderId="37" xfId="0" applyNumberFormat="1" applyFont="1" applyFill="1" applyBorder="1" applyAlignment="1">
      <alignment horizontal="right" vertical="center"/>
    </xf>
    <xf numFmtId="0" fontId="2" fillId="2" borderId="18" xfId="3" applyFont="1" applyFill="1" applyBorder="1" applyAlignment="1" applyProtection="1">
      <alignment horizontal="left" vertical="center"/>
      <protection hidden="1"/>
    </xf>
    <xf numFmtId="0" fontId="2" fillId="2" borderId="38" xfId="3" applyFont="1" applyFill="1" applyBorder="1" applyAlignment="1" applyProtection="1">
      <alignment horizontal="left" vertical="center"/>
      <protection hidden="1"/>
    </xf>
    <xf numFmtId="0" fontId="2" fillId="2" borderId="19" xfId="3" applyFont="1" applyFill="1" applyBorder="1" applyAlignment="1" applyProtection="1">
      <alignment horizontal="left" vertical="center"/>
      <protection hidden="1"/>
    </xf>
    <xf numFmtId="164" fontId="3" fillId="8" borderId="23" xfId="0" applyNumberFormat="1" applyFont="1" applyFill="1" applyBorder="1" applyAlignment="1">
      <alignment horizontal="right" vertical="center"/>
    </xf>
    <xf numFmtId="164" fontId="3" fillId="8" borderId="24" xfId="0" applyNumberFormat="1" applyFont="1" applyFill="1" applyBorder="1" applyAlignment="1">
      <alignment horizontal="right" vertical="center"/>
    </xf>
    <xf numFmtId="164" fontId="3" fillId="8" borderId="24" xfId="0" applyNumberFormat="1" applyFont="1" applyFill="1" applyBorder="1" applyAlignment="1">
      <alignment horizontal="right"/>
    </xf>
    <xf numFmtId="164" fontId="3" fillId="8" borderId="34" xfId="0" applyNumberFormat="1" applyFont="1" applyFill="1" applyBorder="1" applyAlignment="1">
      <alignment horizontal="right"/>
    </xf>
    <xf numFmtId="164" fontId="3" fillId="8" borderId="36" xfId="0" applyNumberFormat="1" applyFont="1" applyFill="1" applyBorder="1" applyAlignment="1">
      <alignment horizontal="right" vertical="center"/>
    </xf>
    <xf numFmtId="0" fontId="2" fillId="2" borderId="18" xfId="0" applyFont="1" applyFill="1" applyBorder="1" applyAlignment="1">
      <alignment horizontal="center" vertical="center"/>
    </xf>
    <xf numFmtId="164" fontId="2" fillId="7" borderId="19" xfId="0" applyNumberFormat="1" applyFont="1" applyFill="1" applyBorder="1" applyAlignment="1">
      <alignment horizontal="right" vertical="center"/>
    </xf>
    <xf numFmtId="164" fontId="2" fillId="7" borderId="38" xfId="0" applyNumberFormat="1" applyFont="1" applyFill="1" applyBorder="1" applyAlignment="1">
      <alignment horizontal="right" vertical="center"/>
    </xf>
    <xf numFmtId="0" fontId="2" fillId="7" borderId="22" xfId="0" applyNumberFormat="1" applyFont="1" applyFill="1" applyBorder="1" applyAlignment="1">
      <alignment horizontal="center" vertical="center"/>
    </xf>
    <xf numFmtId="164" fontId="2" fillId="7" borderId="6" xfId="0" applyNumberFormat="1" applyFont="1" applyFill="1" applyBorder="1" applyAlignment="1">
      <alignment horizontal="right" vertical="center"/>
    </xf>
    <xf numFmtId="0" fontId="1" fillId="3" borderId="23" xfId="0" applyFont="1" applyFill="1" applyBorder="1" applyAlignment="1" applyProtection="1">
      <alignment horizontal="left" vertical="center"/>
      <protection hidden="1"/>
    </xf>
    <xf numFmtId="164" fontId="3" fillId="8" borderId="25" xfId="0" applyNumberFormat="1" applyFont="1" applyFill="1" applyBorder="1" applyAlignment="1">
      <alignment horizontal="right" vertical="center"/>
    </xf>
    <xf numFmtId="164" fontId="2" fillId="7" borderId="24" xfId="0" applyNumberFormat="1" applyFont="1" applyFill="1" applyBorder="1" applyAlignment="1">
      <alignment horizontal="right" vertical="center"/>
    </xf>
    <xf numFmtId="164" fontId="3" fillId="8" borderId="57" xfId="0" applyNumberFormat="1" applyFont="1" applyFill="1" applyBorder="1" applyAlignment="1">
      <alignment horizontal="right" vertical="center"/>
    </xf>
    <xf numFmtId="164" fontId="2" fillId="7" borderId="42" xfId="0" applyNumberFormat="1" applyFont="1" applyFill="1" applyBorder="1" applyAlignment="1">
      <alignment horizontal="right" vertical="center"/>
    </xf>
    <xf numFmtId="164" fontId="2" fillId="7" borderId="47" xfId="0" applyNumberFormat="1" applyFont="1" applyFill="1" applyBorder="1" applyAlignment="1">
      <alignment horizontal="right" vertical="center"/>
    </xf>
    <xf numFmtId="164" fontId="2" fillId="7" borderId="39" xfId="0" applyNumberFormat="1" applyFont="1" applyFill="1" applyBorder="1" applyAlignment="1">
      <alignment horizontal="right" vertical="center"/>
    </xf>
    <xf numFmtId="164" fontId="2" fillId="7" borderId="35" xfId="0" applyNumberFormat="1" applyFont="1" applyFill="1" applyBorder="1" applyAlignment="1">
      <alignment horizontal="right" vertical="center"/>
    </xf>
    <xf numFmtId="164" fontId="2" fillId="7" borderId="40" xfId="0" applyNumberFormat="1" applyFont="1" applyFill="1" applyBorder="1" applyAlignment="1">
      <alignment horizontal="right" vertical="center"/>
    </xf>
    <xf numFmtId="14" fontId="3" fillId="8" borderId="6" xfId="0" applyNumberFormat="1" applyFont="1" applyFill="1" applyBorder="1" applyAlignment="1">
      <alignment horizontal="center" vertical="center"/>
    </xf>
    <xf numFmtId="14" fontId="0" fillId="0" borderId="25" xfId="0" applyNumberFormat="1" applyBorder="1"/>
    <xf numFmtId="14" fontId="2" fillId="7" borderId="24" xfId="0" applyNumberFormat="1" applyFont="1" applyFill="1" applyBorder="1" applyAlignment="1">
      <alignment horizontal="center" vertical="center"/>
    </xf>
    <xf numFmtId="0" fontId="2" fillId="2" borderId="26" xfId="0" applyFont="1" applyFill="1" applyBorder="1" applyAlignment="1">
      <alignment vertical="center"/>
    </xf>
    <xf numFmtId="14" fontId="3" fillId="8" borderId="34" xfId="0" applyNumberFormat="1" applyFont="1" applyFill="1" applyBorder="1" applyAlignment="1">
      <alignment horizontal="center" vertical="center"/>
    </xf>
    <xf numFmtId="14" fontId="3" fillId="0" borderId="23" xfId="0" applyNumberFormat="1" applyFont="1" applyBorder="1" applyAlignment="1">
      <alignment horizontal="center" vertical="center"/>
    </xf>
    <xf numFmtId="14" fontId="3" fillId="0" borderId="24" xfId="0" applyNumberFormat="1" applyFont="1" applyBorder="1" applyAlignment="1">
      <alignment horizontal="center" vertical="center"/>
    </xf>
    <xf numFmtId="14" fontId="0" fillId="0" borderId="34" xfId="0" applyNumberFormat="1" applyBorder="1"/>
    <xf numFmtId="0" fontId="2" fillId="2" borderId="22" xfId="0" applyFont="1" applyFill="1" applyBorder="1" applyAlignment="1">
      <alignment vertical="center"/>
    </xf>
    <xf numFmtId="0" fontId="2" fillId="7" borderId="18" xfId="0" applyFont="1" applyFill="1" applyBorder="1" applyAlignment="1">
      <alignment horizontal="center" vertical="center"/>
    </xf>
    <xf numFmtId="0" fontId="2" fillId="7" borderId="19" xfId="0" applyFont="1" applyFill="1" applyBorder="1" applyAlignment="1">
      <alignment horizontal="center" vertical="center"/>
    </xf>
    <xf numFmtId="0" fontId="2" fillId="2" borderId="49" xfId="0" applyFont="1" applyFill="1" applyBorder="1" applyAlignment="1">
      <alignment vertical="center"/>
    </xf>
    <xf numFmtId="164" fontId="2" fillId="7" borderId="23" xfId="0" applyNumberFormat="1" applyFont="1" applyFill="1" applyBorder="1" applyAlignment="1">
      <alignment horizontal="right" vertical="center"/>
    </xf>
    <xf numFmtId="164" fontId="2" fillId="7" borderId="34" xfId="0" applyNumberFormat="1" applyFont="1" applyFill="1" applyBorder="1" applyAlignment="1">
      <alignment horizontal="right" vertical="center"/>
    </xf>
    <xf numFmtId="14" fontId="3" fillId="8" borderId="63" xfId="0" applyNumberFormat="1" applyFont="1" applyFill="1" applyBorder="1" applyAlignment="1">
      <alignment horizontal="center" vertical="center"/>
    </xf>
    <xf numFmtId="14" fontId="2" fillId="7" borderId="63" xfId="0" applyNumberFormat="1" applyFont="1" applyFill="1" applyBorder="1" applyAlignment="1">
      <alignment horizontal="center" vertical="center"/>
    </xf>
    <xf numFmtId="14" fontId="0" fillId="8" borderId="42" xfId="0" applyNumberFormat="1" applyFill="1" applyBorder="1" applyAlignment="1">
      <alignment horizontal="center" vertical="center"/>
    </xf>
    <xf numFmtId="164" fontId="0" fillId="8" borderId="42" xfId="0" applyNumberFormat="1" applyFill="1" applyBorder="1"/>
    <xf numFmtId="0" fontId="2" fillId="7" borderId="42" xfId="0" applyFont="1" applyFill="1" applyBorder="1" applyAlignment="1">
      <alignment horizontal="center" vertical="center"/>
    </xf>
    <xf numFmtId="164" fontId="3" fillId="8" borderId="6" xfId="0" applyNumberFormat="1" applyFont="1" applyFill="1" applyBorder="1"/>
    <xf numFmtId="0" fontId="2" fillId="7" borderId="6" xfId="0" applyFont="1" applyFill="1" applyBorder="1" applyAlignment="1">
      <alignment horizontal="center" vertical="center"/>
    </xf>
    <xf numFmtId="0" fontId="1" fillId="3" borderId="10" xfId="0" applyFont="1" applyFill="1" applyBorder="1" applyAlignment="1" applyProtection="1">
      <alignment horizontal="left" vertical="center"/>
      <protection hidden="1"/>
    </xf>
    <xf numFmtId="14" fontId="3" fillId="8" borderId="27" xfId="0" applyNumberFormat="1" applyFont="1" applyFill="1" applyBorder="1" applyAlignment="1">
      <alignment horizontal="center" vertical="center"/>
    </xf>
    <xf numFmtId="164" fontId="3" fillId="8" borderId="27" xfId="0" applyNumberFormat="1" applyFont="1" applyFill="1" applyBorder="1"/>
    <xf numFmtId="14" fontId="3" fillId="2" borderId="6" xfId="0" applyNumberFormat="1" applyFont="1" applyFill="1" applyBorder="1" applyAlignment="1">
      <alignment horizontal="center" vertical="center"/>
    </xf>
    <xf numFmtId="0" fontId="0" fillId="8" borderId="55" xfId="0" applyFill="1" applyBorder="1"/>
    <xf numFmtId="0" fontId="0" fillId="8" borderId="36" xfId="0" applyFill="1" applyBorder="1"/>
    <xf numFmtId="0" fontId="0" fillId="8" borderId="20" xfId="0" applyFill="1" applyBorder="1"/>
    <xf numFmtId="0" fontId="0" fillId="8" borderId="42" xfId="0" applyFill="1" applyBorder="1"/>
    <xf numFmtId="0" fontId="0" fillId="8" borderId="22" xfId="0" applyFill="1" applyBorder="1"/>
    <xf numFmtId="0" fontId="0" fillId="8" borderId="26" xfId="0" applyFill="1" applyBorder="1"/>
    <xf numFmtId="164" fontId="2" fillId="7" borderId="19" xfId="0" applyNumberFormat="1" applyFont="1" applyFill="1" applyBorder="1" applyAlignment="1" applyProtection="1">
      <alignment horizontal="center" vertical="center"/>
      <protection hidden="1"/>
    </xf>
    <xf numFmtId="10" fontId="3" fillId="8" borderId="38" xfId="5" applyNumberFormat="1" applyFont="1" applyFill="1" applyBorder="1" applyAlignment="1">
      <alignment horizontal="center" vertical="center"/>
    </xf>
    <xf numFmtId="0" fontId="2" fillId="7" borderId="20" xfId="0" applyFont="1" applyFill="1" applyBorder="1" applyAlignment="1" applyProtection="1">
      <alignment vertical="center"/>
      <protection hidden="1"/>
    </xf>
    <xf numFmtId="0" fontId="33" fillId="0" borderId="0" xfId="0" applyFont="1" applyAlignment="1"/>
    <xf numFmtId="0" fontId="1" fillId="3" borderId="0" xfId="0" applyFont="1" applyFill="1" applyBorder="1" applyAlignment="1" applyProtection="1">
      <alignment horizontal="left" vertical="center"/>
      <protection hidden="1"/>
    </xf>
    <xf numFmtId="0" fontId="0" fillId="4" borderId="0" xfId="0" applyFill="1" applyBorder="1" applyAlignment="1"/>
    <xf numFmtId="0" fontId="22" fillId="3" borderId="3" xfId="0" quotePrefix="1" applyFont="1" applyFill="1" applyBorder="1" applyAlignment="1" applyProtection="1">
      <alignment horizontal="left" vertical="center"/>
      <protection hidden="1"/>
    </xf>
    <xf numFmtId="0" fontId="22" fillId="3" borderId="54" xfId="0" quotePrefix="1" applyFont="1" applyFill="1" applyBorder="1" applyAlignment="1" applyProtection="1">
      <alignment horizontal="left" vertical="center"/>
      <protection hidden="1"/>
    </xf>
    <xf numFmtId="0" fontId="22" fillId="3" borderId="5" xfId="0" quotePrefix="1" applyFont="1" applyFill="1" applyBorder="1" applyAlignment="1" applyProtection="1">
      <alignment horizontal="left" vertical="center"/>
      <protection hidden="1"/>
    </xf>
    <xf numFmtId="0" fontId="2" fillId="2" borderId="26" xfId="0" applyNumberFormat="1" applyFont="1" applyFill="1" applyBorder="1"/>
    <xf numFmtId="0" fontId="2" fillId="2" borderId="25" xfId="0" applyFont="1" applyFill="1" applyBorder="1" applyAlignment="1">
      <alignment vertical="center"/>
    </xf>
    <xf numFmtId="0" fontId="3" fillId="8" borderId="24" xfId="0" applyNumberFormat="1" applyFont="1" applyFill="1" applyBorder="1" applyAlignment="1">
      <alignment horizontal="center" vertical="center"/>
    </xf>
    <xf numFmtId="0" fontId="22" fillId="4" borderId="0" xfId="0" applyFont="1" applyFill="1" applyBorder="1" applyAlignment="1"/>
    <xf numFmtId="49" fontId="3" fillId="0" borderId="37" xfId="0" quotePrefix="1" applyNumberFormat="1" applyFont="1" applyFill="1" applyBorder="1" applyAlignment="1" applyProtection="1">
      <alignment horizontal="left" vertical="top" wrapText="1"/>
      <protection locked="0"/>
    </xf>
    <xf numFmtId="49" fontId="3" fillId="0" borderId="42" xfId="0" applyNumberFormat="1" applyFont="1" applyBorder="1" applyAlignment="1" applyProtection="1">
      <alignment horizontal="left" vertical="center"/>
      <protection locked="0"/>
    </xf>
    <xf numFmtId="0" fontId="22" fillId="0" borderId="0" xfId="4" applyFont="1" applyFill="1" applyAlignment="1">
      <alignment horizontal="center" vertical="center"/>
    </xf>
    <xf numFmtId="14" fontId="1" fillId="0" borderId="0" xfId="4" applyNumberFormat="1" applyFont="1" applyFill="1" applyAlignment="1">
      <alignment horizontal="center" vertical="center"/>
    </xf>
    <xf numFmtId="14" fontId="0" fillId="0" borderId="0" xfId="0" applyNumberFormat="1" applyAlignment="1">
      <alignment horizontal="center" vertical="center"/>
    </xf>
    <xf numFmtId="14" fontId="3" fillId="6" borderId="4" xfId="0" applyNumberFormat="1" applyFont="1" applyFill="1" applyBorder="1" applyAlignment="1">
      <alignment horizontal="center" vertical="center"/>
    </xf>
    <xf numFmtId="0" fontId="3" fillId="6" borderId="4" xfId="0" applyFont="1" applyFill="1" applyBorder="1" applyAlignment="1">
      <alignment horizontal="center" vertical="center"/>
    </xf>
    <xf numFmtId="168" fontId="3" fillId="6" borderId="4" xfId="4" applyNumberFormat="1" applyFont="1" applyFill="1" applyBorder="1" applyAlignment="1">
      <alignment horizontal="center" vertical="center" wrapText="1"/>
    </xf>
    <xf numFmtId="168" fontId="0" fillId="0" borderId="0" xfId="4" applyNumberFormat="1" applyFont="1" applyBorder="1" applyAlignment="1">
      <alignment horizontal="left" vertical="center"/>
    </xf>
    <xf numFmtId="168" fontId="1" fillId="0" borderId="0" xfId="4" applyNumberFormat="1" applyFont="1" applyAlignment="1">
      <alignment vertical="center"/>
    </xf>
    <xf numFmtId="169" fontId="3" fillId="6" borderId="4" xfId="0" applyNumberFormat="1" applyFont="1" applyFill="1" applyBorder="1" applyAlignment="1">
      <alignment horizontal="center" vertical="center"/>
    </xf>
    <xf numFmtId="169" fontId="0" fillId="0" borderId="0" xfId="0" applyNumberFormat="1" applyAlignment="1">
      <alignment horizontal="center" vertical="center"/>
    </xf>
    <xf numFmtId="169" fontId="0" fillId="0" borderId="0" xfId="0" applyNumberFormat="1"/>
    <xf numFmtId="168" fontId="0" fillId="0" borderId="0" xfId="4" applyNumberFormat="1" applyFont="1" applyAlignment="1">
      <alignment vertical="center"/>
    </xf>
    <xf numFmtId="0" fontId="0" fillId="20" borderId="18" xfId="0" applyFill="1" applyBorder="1" applyAlignment="1">
      <alignment horizontal="center" vertical="center"/>
    </xf>
    <xf numFmtId="0" fontId="0" fillId="20" borderId="38" xfId="0" applyFill="1" applyBorder="1" applyAlignment="1">
      <alignment horizontal="center" vertical="center"/>
    </xf>
    <xf numFmtId="9" fontId="28" fillId="20" borderId="19" xfId="5" applyFont="1" applyFill="1" applyBorder="1" applyAlignment="1">
      <alignment horizontal="center" vertical="center"/>
    </xf>
    <xf numFmtId="0" fontId="0" fillId="10" borderId="6" xfId="0" applyFill="1" applyBorder="1" applyAlignment="1">
      <alignment horizontal="center" vertical="center"/>
    </xf>
    <xf numFmtId="0" fontId="0" fillId="10" borderId="61" xfId="0" applyFill="1" applyBorder="1" applyAlignment="1">
      <alignment horizontal="center" vertical="center"/>
    </xf>
    <xf numFmtId="0" fontId="0" fillId="10" borderId="38" xfId="0" applyFill="1" applyBorder="1" applyAlignment="1">
      <alignment horizontal="center" vertical="center"/>
    </xf>
    <xf numFmtId="0" fontId="0" fillId="10" borderId="20" xfId="0" applyFill="1" applyBorder="1" applyAlignment="1">
      <alignment horizontal="center" vertical="center"/>
    </xf>
    <xf numFmtId="0" fontId="0" fillId="10" borderId="62" xfId="0" applyFill="1" applyBorder="1" applyAlignment="1">
      <alignment horizontal="center" vertical="center"/>
    </xf>
    <xf numFmtId="9" fontId="0" fillId="10" borderId="27" xfId="5" applyFont="1" applyFill="1" applyBorder="1" applyAlignment="1">
      <alignment horizontal="center" vertical="center"/>
    </xf>
    <xf numFmtId="9" fontId="0" fillId="10" borderId="63" xfId="5" applyFont="1" applyFill="1" applyBorder="1" applyAlignment="1">
      <alignment horizontal="center" vertical="center"/>
    </xf>
    <xf numFmtId="9" fontId="28" fillId="10" borderId="19" xfId="5" applyFont="1" applyFill="1" applyBorder="1" applyAlignment="1">
      <alignment horizontal="center" vertical="center"/>
    </xf>
    <xf numFmtId="10" fontId="2" fillId="7" borderId="19" xfId="5" applyNumberFormat="1" applyFont="1" applyFill="1" applyBorder="1" applyAlignment="1">
      <alignment horizontal="center" vertical="center"/>
    </xf>
    <xf numFmtId="0" fontId="0" fillId="0" borderId="27" xfId="0" applyBorder="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0" fontId="0" fillId="0" borderId="37" xfId="0" applyBorder="1" applyAlignment="1">
      <alignment horizontal="center" vertical="center"/>
    </xf>
    <xf numFmtId="14" fontId="0" fillId="0" borderId="1" xfId="0" applyNumberFormat="1" applyBorder="1" applyAlignment="1">
      <alignment horizontal="center"/>
    </xf>
    <xf numFmtId="9" fontId="0" fillId="0" borderId="68" xfId="5" applyFont="1" applyBorder="1" applyAlignment="1">
      <alignment horizontal="center" vertical="center"/>
    </xf>
    <xf numFmtId="9" fontId="0" fillId="0" borderId="62" xfId="5" applyFont="1" applyBorder="1" applyAlignment="1">
      <alignment horizontal="center" vertical="center"/>
    </xf>
    <xf numFmtId="0" fontId="0" fillId="0" borderId="49" xfId="0" applyBorder="1" applyAlignment="1">
      <alignment horizontal="center" vertical="center"/>
    </xf>
    <xf numFmtId="9" fontId="0" fillId="0" borderId="52" xfId="5" applyFont="1" applyBorder="1" applyAlignment="1">
      <alignment horizontal="center" vertical="center"/>
    </xf>
    <xf numFmtId="0" fontId="0" fillId="0" borderId="25" xfId="0" applyBorder="1" applyAlignment="1">
      <alignment horizontal="center" vertical="center"/>
    </xf>
    <xf numFmtId="9" fontId="0" fillId="0" borderId="24" xfId="5" applyFont="1" applyBorder="1" applyAlignment="1">
      <alignment horizontal="center" vertical="center"/>
    </xf>
    <xf numFmtId="0" fontId="0" fillId="0" borderId="26" xfId="0" applyBorder="1" applyAlignment="1">
      <alignment horizontal="center" vertical="center"/>
    </xf>
    <xf numFmtId="9" fontId="0" fillId="0" borderId="34" xfId="5" applyFont="1" applyBorder="1" applyAlignment="1">
      <alignment horizontal="center" vertical="center"/>
    </xf>
    <xf numFmtId="0" fontId="0" fillId="0" borderId="39" xfId="0" applyBorder="1" applyAlignment="1">
      <alignment horizontal="center" vertical="center"/>
    </xf>
    <xf numFmtId="0" fontId="0" fillId="0" borderId="35" xfId="0" applyBorder="1" applyAlignment="1">
      <alignment horizontal="center" vertical="center"/>
    </xf>
    <xf numFmtId="14" fontId="0" fillId="0" borderId="1" xfId="0" applyNumberFormat="1" applyBorder="1" applyAlignment="1">
      <alignment horizontal="center"/>
    </xf>
    <xf numFmtId="9" fontId="0" fillId="0" borderId="69" xfId="5" applyFont="1" applyBorder="1" applyAlignment="1">
      <alignment horizontal="center" vertical="center"/>
    </xf>
    <xf numFmtId="1" fontId="0" fillId="0" borderId="50" xfId="5" applyNumberFormat="1" applyFont="1" applyBorder="1" applyAlignment="1">
      <alignment horizontal="center" vertical="center"/>
    </xf>
    <xf numFmtId="1" fontId="0" fillId="0" borderId="54" xfId="5" applyNumberFormat="1" applyFont="1" applyBorder="1" applyAlignment="1">
      <alignment horizontal="center" vertical="center"/>
    </xf>
    <xf numFmtId="1" fontId="0" fillId="0" borderId="4" xfId="5" applyNumberFormat="1" applyFont="1" applyBorder="1" applyAlignment="1">
      <alignment horizontal="center" vertical="center"/>
    </xf>
    <xf numFmtId="17" fontId="0" fillId="0" borderId="0" xfId="4" applyNumberFormat="1" applyFont="1" applyAlignment="1">
      <alignment horizontal="center" vertical="center"/>
    </xf>
    <xf numFmtId="9" fontId="0" fillId="0" borderId="0" xfId="5" applyFont="1" applyAlignment="1">
      <alignment horizontal="center" vertical="center"/>
    </xf>
    <xf numFmtId="0" fontId="3" fillId="0" borderId="0" xfId="1" applyAlignment="1" applyProtection="1">
      <protection locked="0"/>
    </xf>
    <xf numFmtId="0" fontId="3" fillId="0" borderId="17" xfId="1" applyBorder="1" applyAlignment="1" applyProtection="1">
      <protection locked="0"/>
    </xf>
    <xf numFmtId="0" fontId="3" fillId="0" borderId="0" xfId="1" applyBorder="1" applyAlignment="1" applyProtection="1">
      <protection locked="0"/>
    </xf>
    <xf numFmtId="0" fontId="3" fillId="0" borderId="9" xfId="1" applyBorder="1" applyAlignment="1" applyProtection="1">
      <protection locked="0"/>
    </xf>
    <xf numFmtId="49" fontId="3" fillId="7" borderId="20" xfId="1" applyNumberFormat="1" applyFill="1" applyBorder="1" applyAlignment="1" applyProtection="1">
      <alignment horizontal="center" vertical="center"/>
      <protection locked="0"/>
    </xf>
    <xf numFmtId="14" fontId="3" fillId="7" borderId="20" xfId="1" applyNumberFormat="1" applyFill="1" applyBorder="1" applyAlignment="1" applyProtection="1">
      <alignment horizontal="center" vertical="center"/>
      <protection locked="0"/>
    </xf>
    <xf numFmtId="0" fontId="3" fillId="7" borderId="20" xfId="1" applyFill="1" applyBorder="1" applyAlignment="1" applyProtection="1">
      <alignment horizontal="center" vertical="center"/>
      <protection locked="0"/>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4" fontId="4" fillId="0" borderId="0" xfId="3" applyNumberFormat="1"/>
    <xf numFmtId="22" fontId="0" fillId="0" borderId="0" xfId="0" applyNumberFormat="1"/>
    <xf numFmtId="0" fontId="0" fillId="4" borderId="0" xfId="0" applyFill="1" applyAlignment="1" applyProtection="1">
      <protection locked="0"/>
    </xf>
    <xf numFmtId="0" fontId="2" fillId="2" borderId="4" xfId="0" applyFont="1" applyFill="1" applyBorder="1" applyAlignment="1" applyProtection="1">
      <alignment horizontal="center" vertical="center"/>
      <protection locked="0"/>
    </xf>
    <xf numFmtId="49" fontId="3" fillId="0" borderId="48" xfId="0" applyNumberFormat="1" applyFont="1" applyBorder="1" applyAlignment="1" applyProtection="1">
      <alignment horizontal="left" vertical="center"/>
      <protection locked="0"/>
    </xf>
    <xf numFmtId="1" fontId="3" fillId="0" borderId="4" xfId="0" applyNumberFormat="1" applyFont="1" applyBorder="1" applyAlignment="1" applyProtection="1">
      <alignment horizontal="center" vertical="center"/>
      <protection locked="0"/>
    </xf>
    <xf numFmtId="0" fontId="3" fillId="0" borderId="48" xfId="0" applyFont="1" applyBorder="1" applyAlignment="1" applyProtection="1">
      <alignment horizontal="center" vertical="center"/>
      <protection locked="0"/>
    </xf>
    <xf numFmtId="49" fontId="6" fillId="0" borderId="6" xfId="3" applyNumberFormat="1" applyFont="1" applyBorder="1" applyAlignment="1" applyProtection="1">
      <alignment horizontal="center" vertical="center"/>
      <protection locked="0"/>
    </xf>
    <xf numFmtId="9" fontId="3" fillId="6" borderId="4" xfId="5" applyFont="1" applyFill="1" applyBorder="1" applyAlignment="1">
      <alignment horizontal="center" vertical="center" wrapText="1"/>
    </xf>
    <xf numFmtId="9" fontId="8" fillId="0" borderId="0" xfId="5" applyFont="1"/>
    <xf numFmtId="10" fontId="8" fillId="0" borderId="0" xfId="5" applyNumberFormat="1" applyFont="1" applyAlignment="1">
      <alignment horizontal="center" vertical="center"/>
    </xf>
    <xf numFmtId="2" fontId="12" fillId="13" borderId="2" xfId="0" applyNumberFormat="1" applyFont="1" applyFill="1" applyBorder="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65" fontId="4" fillId="0" borderId="0" xfId="3" applyNumberFormat="1" applyAlignment="1">
      <alignment horizontal="center" vertical="center"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64" fontId="3" fillId="6" borderId="4" xfId="4" applyNumberFormat="1" applyFont="1" applyFill="1" applyBorder="1" applyAlignment="1">
      <alignment horizontal="center" vertical="center" wrapText="1"/>
    </xf>
    <xf numFmtId="0" fontId="3" fillId="0" borderId="0" xfId="1"/>
    <xf numFmtId="14" fontId="3" fillId="0" borderId="0" xfId="1" applyNumberFormat="1" applyBorder="1" applyAlignment="1" applyProtection="1">
      <alignment horizontal="left" vertical="center"/>
      <protection locked="0"/>
    </xf>
    <xf numFmtId="49" fontId="3" fillId="0" borderId="27" xfId="1" quotePrefix="1" applyNumberFormat="1" applyFill="1" applyBorder="1" applyAlignment="1" applyProtection="1">
      <alignment horizontal="left" vertical="top" wrapText="1"/>
      <protection locked="0"/>
    </xf>
    <xf numFmtId="49" fontId="3" fillId="0" borderId="20" xfId="1" quotePrefix="1" applyNumberFormat="1" applyBorder="1" applyAlignment="1" applyProtection="1">
      <alignment horizontal="left" vertical="top" wrapText="1"/>
      <protection locked="0"/>
    </xf>
    <xf numFmtId="0" fontId="3" fillId="0" borderId="6" xfId="2" applyBorder="1" applyAlignment="1" applyProtection="1">
      <alignment horizontal="center" vertical="center"/>
      <protection locked="0"/>
    </xf>
    <xf numFmtId="14" fontId="3" fillId="0" borderId="0" xfId="2" applyNumberFormat="1" applyAlignment="1" applyProtection="1">
      <protection locked="0"/>
    </xf>
    <xf numFmtId="0" fontId="3" fillId="0" borderId="6" xfId="2" applyBorder="1" applyAlignment="1" applyProtection="1">
      <alignment horizontal="left" vertical="center"/>
      <protection locked="0"/>
    </xf>
    <xf numFmtId="0" fontId="3" fillId="0" borderId="0" xfId="2" applyAlignment="1" applyProtection="1">
      <protection locked="0"/>
    </xf>
    <xf numFmtId="0" fontId="3" fillId="7" borderId="19" xfId="2" applyFill="1" applyBorder="1" applyAlignment="1" applyProtection="1">
      <alignment horizontal="center" vertical="center"/>
      <protection hidden="1"/>
    </xf>
    <xf numFmtId="49" fontId="3" fillId="0" borderId="4" xfId="2" applyNumberFormat="1" applyBorder="1" applyAlignment="1" applyProtection="1">
      <alignment horizontal="center" vertical="center"/>
      <protection locked="0"/>
    </xf>
    <xf numFmtId="0" fontId="3" fillId="0" borderId="0" xfId="2" applyNumberFormat="1" applyBorder="1" applyAlignment="1" applyProtection="1">
      <alignment horizontal="center" vertical="center"/>
      <protection locked="0"/>
    </xf>
    <xf numFmtId="164" fontId="3" fillId="0" borderId="6" xfId="2" applyNumberFormat="1" applyBorder="1" applyAlignment="1" applyProtection="1">
      <alignment horizontal="right" vertical="center"/>
      <protection locked="0"/>
    </xf>
    <xf numFmtId="0" fontId="3" fillId="3" borderId="0" xfId="2" applyFill="1" applyBorder="1" applyAlignment="1" applyProtection="1">
      <protection hidden="1"/>
    </xf>
    <xf numFmtId="14" fontId="3" fillId="0" borderId="0" xfId="2" applyNumberFormat="1" applyBorder="1" applyAlignment="1" applyProtection="1">
      <protection locked="0"/>
    </xf>
    <xf numFmtId="14" fontId="3" fillId="0" borderId="13" xfId="2" applyNumberFormat="1" applyBorder="1" applyAlignment="1" applyProtection="1">
      <alignment horizontal="center"/>
      <protection locked="0"/>
    </xf>
    <xf numFmtId="0" fontId="3" fillId="0" borderId="12" xfId="2" applyBorder="1" applyAlignment="1" applyProtection="1">
      <protection locked="0"/>
    </xf>
    <xf numFmtId="0" fontId="3" fillId="0" borderId="0" xfId="2" applyBorder="1" applyAlignment="1" applyProtection="1">
      <protection locked="0"/>
    </xf>
    <xf numFmtId="14" fontId="3" fillId="0" borderId="0" xfId="2" applyNumberFormat="1" applyAlignment="1" applyProtection="1">
      <alignment horizontal="center" vertical="center"/>
      <protection locked="0"/>
    </xf>
    <xf numFmtId="0" fontId="3" fillId="3" borderId="15" xfId="2" applyFill="1" applyBorder="1" applyAlignment="1" applyProtection="1">
      <protection hidden="1"/>
    </xf>
    <xf numFmtId="0" fontId="3" fillId="7" borderId="20" xfId="2" quotePrefix="1" applyNumberFormat="1" applyFill="1" applyBorder="1" applyAlignment="1" applyProtection="1">
      <alignment horizontal="left" vertical="top" wrapText="1"/>
      <protection hidden="1"/>
    </xf>
    <xf numFmtId="49" fontId="3" fillId="0" borderId="20" xfId="2" quotePrefix="1" applyNumberFormat="1" applyBorder="1" applyAlignment="1" applyProtection="1">
      <alignment horizontal="left" vertical="top" wrapText="1"/>
      <protection locked="0"/>
    </xf>
    <xf numFmtId="14" fontId="3" fillId="0" borderId="6" xfId="2" applyNumberFormat="1" applyBorder="1" applyAlignment="1" applyProtection="1">
      <alignment vertical="center"/>
      <protection locked="0"/>
    </xf>
    <xf numFmtId="14" fontId="3" fillId="0" borderId="15" xfId="2" applyNumberFormat="1" applyBorder="1" applyAlignment="1" applyProtection="1">
      <protection locked="0"/>
    </xf>
    <xf numFmtId="0" fontId="3" fillId="0" borderId="6" xfId="2" applyBorder="1" applyAlignment="1" applyProtection="1">
      <protection locked="0"/>
    </xf>
    <xf numFmtId="0" fontId="3" fillId="0" borderId="48" xfId="2" applyBorder="1" applyAlignment="1" applyProtection="1">
      <alignment horizontal="center" vertical="center"/>
      <protection locked="0"/>
    </xf>
    <xf numFmtId="0" fontId="3" fillId="7" borderId="24" xfId="2" applyNumberFormat="1" applyFill="1" applyBorder="1" applyAlignment="1" applyProtection="1">
      <alignment horizontal="center" vertical="center"/>
      <protection hidden="1"/>
    </xf>
    <xf numFmtId="0" fontId="3" fillId="0" borderId="70" xfId="4" applyFont="1" applyBorder="1" applyAlignment="1">
      <alignment horizontal="center" vertical="center"/>
    </xf>
    <xf numFmtId="9" fontId="3" fillId="0" borderId="70" xfId="5" applyFont="1" applyBorder="1" applyAlignment="1">
      <alignment horizontal="center" vertical="center"/>
    </xf>
    <xf numFmtId="0" fontId="3" fillId="0" borderId="1" xfId="4" applyFont="1" applyBorder="1" applyAlignment="1">
      <alignment horizontal="center" vertical="center"/>
    </xf>
    <xf numFmtId="9" fontId="3" fillId="0" borderId="1" xfId="5" applyFont="1" applyBorder="1" applyAlignment="1">
      <alignment horizontal="center" vertical="center"/>
    </xf>
    <xf numFmtId="0" fontId="3" fillId="0" borderId="50" xfId="4" applyFont="1" applyBorder="1" applyAlignment="1">
      <alignment vertical="center"/>
    </xf>
    <xf numFmtId="0" fontId="3" fillId="0" borderId="38" xfId="4" applyFont="1" applyBorder="1" applyAlignment="1">
      <alignment vertical="center"/>
    </xf>
    <xf numFmtId="0" fontId="3" fillId="0" borderId="19" xfId="4" applyFont="1" applyBorder="1" applyAlignment="1">
      <alignment vertical="center"/>
    </xf>
    <xf numFmtId="0" fontId="3" fillId="0" borderId="1" xfId="4" applyFont="1" applyBorder="1" applyAlignment="1">
      <alignment vertical="center"/>
    </xf>
    <xf numFmtId="0" fontId="2" fillId="2" borderId="4"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wrapText="1"/>
      <protection locked="0"/>
    </xf>
    <xf numFmtId="164" fontId="3" fillId="6" borderId="4" xfId="4" applyNumberFormat="1" applyFont="1" applyFill="1" applyBorder="1" applyAlignment="1">
      <alignment horizontal="center" vertical="center" wrapText="1"/>
    </xf>
    <xf numFmtId="49" fontId="2" fillId="2" borderId="4" xfId="2" applyNumberFormat="1" applyFont="1" applyFill="1" applyBorder="1" applyAlignment="1" applyProtection="1">
      <alignment horizontal="center" vertical="center"/>
      <protection locked="0"/>
    </xf>
    <xf numFmtId="0" fontId="0" fillId="0" borderId="6" xfId="0" applyBorder="1"/>
    <xf numFmtId="0" fontId="0" fillId="0" borderId="32" xfId="0" applyBorder="1"/>
    <xf numFmtId="0" fontId="0" fillId="0" borderId="20" xfId="0" applyBorder="1"/>
    <xf numFmtId="0" fontId="2" fillId="2" borderId="22" xfId="0" applyFont="1" applyFill="1" applyBorder="1" applyAlignment="1" applyProtection="1">
      <alignment horizontal="center" vertical="center" wrapText="1"/>
      <protection locked="0"/>
    </xf>
    <xf numFmtId="0" fontId="2" fillId="2" borderId="25" xfId="0" applyFont="1" applyFill="1" applyBorder="1" applyAlignment="1" applyProtection="1">
      <alignment horizontal="center"/>
      <protection locked="0"/>
    </xf>
    <xf numFmtId="14" fontId="3" fillId="7" borderId="23" xfId="2" applyNumberFormat="1" applyFill="1" applyBorder="1" applyAlignment="1" applyProtection="1">
      <alignment horizontal="center" vertical="center"/>
      <protection hidden="1"/>
    </xf>
    <xf numFmtId="0" fontId="2" fillId="2" borderId="16" xfId="0" applyFont="1" applyFill="1" applyBorder="1" applyAlignment="1" applyProtection="1">
      <alignment horizontal="center"/>
      <protection locked="0"/>
    </xf>
    <xf numFmtId="0" fontId="2" fillId="2" borderId="16" xfId="2" applyFont="1" applyFill="1" applyBorder="1" applyAlignment="1" applyProtection="1">
      <alignment horizontal="center"/>
      <protection locked="0"/>
    </xf>
    <xf numFmtId="0" fontId="2" fillId="2" borderId="67" xfId="0" applyFont="1" applyFill="1" applyBorder="1" applyAlignment="1" applyProtection="1">
      <alignment horizontal="center"/>
      <protection locked="0"/>
    </xf>
    <xf numFmtId="0" fontId="2" fillId="7" borderId="0" xfId="0" applyFont="1" applyFill="1" applyAlignment="1" applyProtection="1">
      <alignment horizontal="center" vertical="center"/>
      <protection locked="0"/>
    </xf>
    <xf numFmtId="164" fontId="3" fillId="7" borderId="24" xfId="2" applyNumberFormat="1" applyFill="1" applyBorder="1" applyAlignment="1" applyProtection="1">
      <alignment horizontal="center" vertical="center"/>
      <protection hidden="1"/>
    </xf>
    <xf numFmtId="49" fontId="2" fillId="7" borderId="24" xfId="0" applyNumberFormat="1" applyFont="1" applyFill="1" applyBorder="1" applyAlignment="1" applyProtection="1">
      <alignment horizontal="center" vertical="center"/>
      <protection hidden="1"/>
    </xf>
    <xf numFmtId="0" fontId="3" fillId="0" borderId="28" xfId="1" applyBorder="1" applyAlignment="1" applyProtection="1">
      <protection locked="0"/>
    </xf>
    <xf numFmtId="0" fontId="3" fillId="0" borderId="4" xfId="2" applyBorder="1" applyAlignment="1" applyProtection="1">
      <alignment horizontal="left" vertical="center"/>
      <protection locked="0"/>
    </xf>
    <xf numFmtId="14" fontId="3" fillId="0" borderId="6" xfId="2" applyNumberFormat="1" applyBorder="1" applyAlignment="1" applyProtection="1">
      <alignment horizontal="center" vertical="center"/>
      <protection locked="0"/>
    </xf>
    <xf numFmtId="0" fontId="3" fillId="0" borderId="4" xfId="2" applyBorder="1" applyAlignment="1" applyProtection="1">
      <alignment horizontal="center" vertical="center"/>
      <protection locked="0"/>
    </xf>
    <xf numFmtId="14" fontId="3" fillId="0" borderId="4" xfId="2" applyNumberFormat="1" applyBorder="1" applyAlignment="1" applyProtection="1">
      <alignment horizontal="center" vertical="center"/>
      <protection locked="0"/>
    </xf>
    <xf numFmtId="0" fontId="3" fillId="0" borderId="0" xfId="2"/>
    <xf numFmtId="0" fontId="3" fillId="2" borderId="16" xfId="2" applyFill="1" applyBorder="1" applyAlignment="1" applyProtection="1">
      <alignment horizontal="left" vertical="center"/>
      <protection locked="0"/>
    </xf>
    <xf numFmtId="164" fontId="3" fillId="0" borderId="20" xfId="2" applyNumberFormat="1" applyBorder="1" applyAlignment="1" applyProtection="1">
      <alignment horizontal="right" vertical="center"/>
      <protection locked="0"/>
    </xf>
    <xf numFmtId="0" fontId="3" fillId="3" borderId="42" xfId="2" applyFill="1" applyBorder="1" applyAlignment="1" applyProtection="1">
      <alignment horizontal="left"/>
      <protection hidden="1"/>
    </xf>
    <xf numFmtId="49" fontId="3" fillId="0" borderId="48" xfId="2" applyNumberFormat="1" applyFill="1" applyBorder="1" applyAlignment="1" applyProtection="1">
      <alignment horizontal="left" vertical="top"/>
      <protection locked="0"/>
    </xf>
    <xf numFmtId="0" fontId="3" fillId="0" borderId="6" xfId="2" applyBorder="1" applyAlignment="1" applyProtection="1">
      <alignment vertical="center"/>
      <protection locked="0"/>
    </xf>
    <xf numFmtId="14" fontId="3" fillId="0" borderId="48" xfId="2" applyNumberFormat="1" applyBorder="1" applyAlignment="1" applyProtection="1">
      <alignment horizontal="center" vertical="center"/>
      <protection locked="0"/>
    </xf>
    <xf numFmtId="49" fontId="3" fillId="0" borderId="6" xfId="2" applyNumberFormat="1" applyBorder="1" applyAlignment="1" applyProtection="1">
      <alignment horizontal="center" vertical="center"/>
      <protection locked="0"/>
    </xf>
    <xf numFmtId="0" fontId="3" fillId="5" borderId="0" xfId="2" applyFill="1" applyAlignment="1" applyProtection="1">
      <protection locked="0"/>
    </xf>
    <xf numFmtId="0" fontId="3" fillId="4" borderId="0" xfId="2" applyFill="1" applyAlignment="1" applyProtection="1">
      <protection locked="0"/>
    </xf>
    <xf numFmtId="0" fontId="3" fillId="0" borderId="17" xfId="4" applyFont="1" applyBorder="1" applyAlignment="1">
      <alignment horizontal="center" vertical="center"/>
    </xf>
    <xf numFmtId="9" fontId="3" fillId="0" borderId="17" xfId="5" applyFont="1" applyBorder="1" applyAlignment="1">
      <alignment horizontal="center" vertical="center"/>
    </xf>
    <xf numFmtId="9" fontId="3" fillId="0" borderId="4" xfId="5" applyFont="1" applyBorder="1" applyAlignment="1">
      <alignment horizontal="center" vertical="center"/>
    </xf>
    <xf numFmtId="49" fontId="3" fillId="7" borderId="24" xfId="2" applyNumberFormat="1" applyFill="1" applyBorder="1" applyAlignment="1" applyProtection="1">
      <alignment horizontal="center" vertical="center"/>
      <protection hidden="1"/>
    </xf>
    <xf numFmtId="164" fontId="3" fillId="7" borderId="34" xfId="2" applyNumberFormat="1" applyFill="1" applyBorder="1" applyAlignment="1" applyProtection="1">
      <alignment horizontal="center" vertical="center"/>
      <protection hidden="1"/>
    </xf>
    <xf numFmtId="0" fontId="2" fillId="2" borderId="4"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0" fillId="0" borderId="3" xfId="0" applyBorder="1" applyAlignment="1" applyProtection="1">
      <protection locked="0"/>
    </xf>
    <xf numFmtId="0" fontId="0" fillId="0" borderId="54" xfId="0" applyBorder="1" applyAlignment="1" applyProtection="1">
      <protection locked="0"/>
    </xf>
    <xf numFmtId="0" fontId="0" fillId="0" borderId="54" xfId="0" applyFont="1" applyBorder="1" applyAlignment="1" applyProtection="1">
      <protection locked="0"/>
    </xf>
    <xf numFmtId="0" fontId="0" fillId="0" borderId="4" xfId="0" applyFont="1" applyBorder="1" applyAlignment="1" applyProtection="1">
      <protection locked="0"/>
    </xf>
    <xf numFmtId="0" fontId="0" fillId="0" borderId="0" xfId="4" applyFont="1" applyAlignment="1">
      <alignment horizontal="left" vertical="center" wrapText="1"/>
    </xf>
    <xf numFmtId="168" fontId="1" fillId="0" borderId="0" xfId="4" applyNumberFormat="1" applyFont="1" applyAlignment="1">
      <alignment horizontal="center" vertical="center"/>
    </xf>
    <xf numFmtId="14" fontId="0" fillId="0" borderId="4" xfId="0" applyNumberFormat="1" applyBorder="1" applyAlignment="1">
      <alignment horizontal="center"/>
    </xf>
    <xf numFmtId="14" fontId="0" fillId="0" borderId="2" xfId="0" applyNumberFormat="1" applyBorder="1" applyAlignment="1">
      <alignment horizontal="center"/>
    </xf>
    <xf numFmtId="14" fontId="0" fillId="0" borderId="1" xfId="0" applyNumberFormat="1" applyBorder="1" applyAlignment="1">
      <alignment horizont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2" fillId="2" borderId="4" xfId="0" applyFont="1" applyFill="1" applyBorder="1" applyAlignment="1" applyProtection="1">
      <alignment horizontal="center" vertical="center"/>
      <protection locked="0"/>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0" fontId="2" fillId="2" borderId="49" xfId="2" applyFont="1" applyFill="1" applyBorder="1" applyAlignment="1" applyProtection="1">
      <alignment horizontal="center" vertical="center" wrapText="1"/>
      <protection locked="0"/>
    </xf>
    <xf numFmtId="0" fontId="2" fillId="2" borderId="25" xfId="2" applyFont="1" applyFill="1" applyBorder="1" applyAlignment="1" applyProtection="1">
      <alignment horizontal="center" vertical="center" wrapText="1"/>
      <protection locked="0"/>
    </xf>
    <xf numFmtId="0" fontId="2" fillId="2" borderId="26" xfId="2" applyFont="1" applyFill="1" applyBorder="1" applyAlignment="1" applyProtection="1">
      <alignment horizontal="center"/>
      <protection locked="0"/>
    </xf>
    <xf numFmtId="0" fontId="2" fillId="2" borderId="4" xfId="2" applyFont="1" applyFill="1" applyBorder="1" applyAlignment="1" applyProtection="1">
      <alignment horizontal="center" vertical="center"/>
      <protection locked="0"/>
    </xf>
    <xf numFmtId="1" fontId="2" fillId="2" borderId="4" xfId="2" applyNumberFormat="1" applyFont="1" applyFill="1" applyBorder="1" applyAlignment="1" applyProtection="1">
      <alignment horizontal="center" vertical="center"/>
      <protection locked="0"/>
    </xf>
    <xf numFmtId="14" fontId="2" fillId="2" borderId="4" xfId="2" applyNumberFormat="1" applyFont="1" applyFill="1" applyBorder="1" applyAlignment="1" applyProtection="1">
      <alignment horizontal="center" vertical="center"/>
      <protection locked="0"/>
    </xf>
    <xf numFmtId="0" fontId="2" fillId="2" borderId="3" xfId="2" applyFont="1" applyFill="1" applyBorder="1" applyAlignment="1" applyProtection="1">
      <alignment horizontal="center" vertical="center"/>
      <protection locked="0"/>
    </xf>
    <xf numFmtId="0" fontId="2" fillId="2" borderId="4" xfId="2" applyFont="1" applyFill="1" applyBorder="1" applyAlignment="1" applyProtection="1">
      <alignment horizontal="center"/>
      <protection locked="0"/>
    </xf>
    <xf numFmtId="0" fontId="2" fillId="2" borderId="1" xfId="2" applyFont="1" applyFill="1" applyBorder="1" applyAlignment="1" applyProtection="1">
      <alignment horizontal="center" vertical="center"/>
      <protection locked="0"/>
    </xf>
    <xf numFmtId="0" fontId="2" fillId="2" borderId="4" xfId="2" applyFont="1" applyFill="1" applyBorder="1" applyAlignment="1" applyProtection="1">
      <alignment horizontal="center" vertical="center" wrapText="1"/>
      <protection locked="0"/>
    </xf>
    <xf numFmtId="0" fontId="2" fillId="2" borderId="18" xfId="2" applyFont="1" applyFill="1" applyBorder="1" applyAlignment="1" applyProtection="1">
      <alignment horizontal="center" vertical="center"/>
      <protection locked="0"/>
    </xf>
    <xf numFmtId="0" fontId="2" fillId="7" borderId="18" xfId="2" applyFont="1" applyFill="1" applyBorder="1" applyAlignment="1" applyProtection="1">
      <alignment horizontal="left" vertical="center"/>
      <protection locked="0"/>
    </xf>
    <xf numFmtId="10" fontId="3" fillId="0" borderId="4" xfId="5" applyNumberFormat="1" applyFont="1" applyBorder="1" applyAlignment="1" applyProtection="1">
      <alignment horizontal="center" vertical="center"/>
      <protection locked="0"/>
    </xf>
    <xf numFmtId="164" fontId="2" fillId="7" borderId="19" xfId="0" applyNumberFormat="1" applyFont="1" applyFill="1" applyBorder="1" applyAlignment="1" applyProtection="1">
      <alignment horizontal="right" vertical="center"/>
      <protection hidden="1"/>
    </xf>
    <xf numFmtId="0" fontId="2" fillId="7" borderId="6" xfId="2" applyFont="1" applyFill="1" applyBorder="1" applyAlignment="1" applyProtection="1">
      <alignment horizontal="left" vertical="center"/>
      <protection hidden="1"/>
    </xf>
    <xf numFmtId="0" fontId="2" fillId="7" borderId="6" xfId="2" applyFont="1" applyFill="1" applyBorder="1" applyAlignment="1" applyProtection="1">
      <alignment horizontal="center" vertical="center"/>
      <protection hidden="1"/>
    </xf>
    <xf numFmtId="0" fontId="2" fillId="2" borderId="16" xfId="2" applyFont="1" applyFill="1" applyBorder="1" applyAlignment="1" applyProtection="1">
      <alignment horizontal="left" vertical="center"/>
      <protection locked="0"/>
    </xf>
    <xf numFmtId="0" fontId="2" fillId="2" borderId="46" xfId="0" applyFont="1" applyFill="1" applyBorder="1" applyAlignment="1"/>
    <xf numFmtId="0" fontId="2" fillId="2" borderId="29" xfId="0" applyFont="1" applyFill="1" applyBorder="1" applyAlignment="1"/>
    <xf numFmtId="164" fontId="3" fillId="6" borderId="4" xfId="4" applyNumberFormat="1" applyFont="1" applyFill="1" applyBorder="1" applyAlignment="1">
      <alignment horizontal="center" vertical="center" wrapText="1"/>
    </xf>
    <xf numFmtId="0" fontId="2" fillId="7" borderId="51" xfId="0" applyFont="1" applyFill="1" applyBorder="1" applyAlignment="1" applyProtection="1">
      <alignment horizontal="center" vertical="center"/>
      <protection hidden="1"/>
    </xf>
    <xf numFmtId="0" fontId="2" fillId="7" borderId="58" xfId="0" applyFont="1" applyFill="1" applyBorder="1" applyAlignment="1" applyProtection="1">
      <alignment horizontal="center" vertical="center"/>
      <protection hidden="1"/>
    </xf>
    <xf numFmtId="0" fontId="3" fillId="6" borderId="11" xfId="4" applyFont="1" applyFill="1" applyBorder="1" applyAlignment="1">
      <alignment horizontal="center" vertical="center"/>
    </xf>
    <xf numFmtId="0" fontId="3" fillId="6" borderId="12" xfId="4" applyFont="1" applyFill="1" applyBorder="1" applyAlignment="1">
      <alignment horizontal="center" vertical="center"/>
    </xf>
    <xf numFmtId="0" fontId="2" fillId="7" borderId="61" xfId="0" applyFont="1" applyFill="1" applyBorder="1" applyAlignment="1" applyProtection="1">
      <alignment horizontal="center" vertical="center"/>
      <protection hidden="1"/>
    </xf>
    <xf numFmtId="0" fontId="2" fillId="7" borderId="33" xfId="0" applyFont="1" applyFill="1" applyBorder="1" applyAlignment="1" applyProtection="1">
      <alignment horizontal="center" vertical="center"/>
      <protection hidden="1"/>
    </xf>
    <xf numFmtId="0" fontId="2" fillId="7" borderId="32" xfId="0" applyFont="1" applyFill="1" applyBorder="1" applyAlignment="1" applyProtection="1">
      <alignment horizontal="center" vertical="center"/>
      <protection hidden="1"/>
    </xf>
    <xf numFmtId="0" fontId="2" fillId="7" borderId="62" xfId="0" applyFont="1" applyFill="1" applyBorder="1" applyAlignment="1" applyProtection="1">
      <alignment horizontal="left" vertical="center"/>
      <protection hidden="1"/>
    </xf>
    <xf numFmtId="0" fontId="2" fillId="7" borderId="53" xfId="0" applyFont="1" applyFill="1" applyBorder="1" applyAlignment="1" applyProtection="1">
      <alignment horizontal="left" vertical="center"/>
      <protection hidden="1"/>
    </xf>
    <xf numFmtId="0" fontId="2" fillId="7" borderId="36" xfId="0" applyFont="1" applyFill="1" applyBorder="1" applyAlignment="1" applyProtection="1">
      <alignment horizontal="left" vertical="center"/>
      <protection hidden="1"/>
    </xf>
    <xf numFmtId="164" fontId="2" fillId="7" borderId="14" xfId="0" applyNumberFormat="1" applyFont="1" applyFill="1" applyBorder="1" applyAlignment="1">
      <alignment horizontal="right" vertical="center"/>
    </xf>
    <xf numFmtId="164" fontId="2" fillId="7" borderId="43" xfId="0" applyNumberFormat="1" applyFont="1" applyFill="1" applyBorder="1" applyAlignment="1">
      <alignment horizontal="right" vertical="center"/>
    </xf>
    <xf numFmtId="164" fontId="2" fillId="7" borderId="16" xfId="0" applyNumberFormat="1" applyFont="1" applyFill="1" applyBorder="1" applyAlignment="1">
      <alignment horizontal="right" vertical="center"/>
    </xf>
    <xf numFmtId="164" fontId="2" fillId="7" borderId="44" xfId="0" applyNumberFormat="1" applyFont="1" applyFill="1" applyBorder="1" applyAlignment="1">
      <alignment horizontal="right" vertical="center"/>
    </xf>
    <xf numFmtId="164" fontId="2" fillId="7" borderId="14" xfId="0" applyNumberFormat="1" applyFont="1" applyFill="1" applyBorder="1" applyAlignment="1">
      <alignment horizontal="right"/>
    </xf>
    <xf numFmtId="164" fontId="2" fillId="7" borderId="32" xfId="0" applyNumberFormat="1" applyFont="1" applyFill="1" applyBorder="1" applyAlignment="1">
      <alignment horizontal="right"/>
    </xf>
    <xf numFmtId="164" fontId="2" fillId="7" borderId="16" xfId="0" applyNumberFormat="1" applyFont="1" applyFill="1" applyBorder="1" applyAlignment="1">
      <alignment horizontal="right"/>
    </xf>
    <xf numFmtId="164" fontId="2" fillId="7" borderId="36" xfId="0" applyNumberFormat="1" applyFont="1" applyFill="1" applyBorder="1" applyAlignment="1">
      <alignment horizontal="right"/>
    </xf>
    <xf numFmtId="0" fontId="2" fillId="2" borderId="4" xfId="0" applyFont="1" applyFill="1" applyBorder="1" applyAlignment="1" applyProtection="1">
      <alignment horizontal="center" vertical="center"/>
      <protection locked="0"/>
    </xf>
    <xf numFmtId="0" fontId="13" fillId="2" borderId="1" xfId="0" applyFont="1" applyFill="1" applyBorder="1" applyAlignment="1">
      <alignment horizontal="center" vertical="center"/>
    </xf>
    <xf numFmtId="0" fontId="13" fillId="2" borderId="2" xfId="0" applyFont="1" applyFill="1" applyBorder="1" applyAlignment="1">
      <alignment horizontal="center" vertical="center"/>
    </xf>
    <xf numFmtId="0" fontId="9" fillId="2" borderId="1" xfId="0" applyFont="1" applyFill="1" applyBorder="1" applyAlignment="1" applyProtection="1">
      <alignment horizontal="center" vertical="center"/>
      <protection locked="0"/>
    </xf>
    <xf numFmtId="0" fontId="9" fillId="2" borderId="7" xfId="0" applyFont="1" applyFill="1" applyBorder="1" applyAlignment="1" applyProtection="1">
      <alignment horizontal="center" vertical="center"/>
      <protection locked="0"/>
    </xf>
    <xf numFmtId="0" fontId="9" fillId="2" borderId="2" xfId="0" applyFont="1" applyFill="1" applyBorder="1" applyAlignment="1" applyProtection="1">
      <alignment horizontal="center" vertical="center"/>
      <protection locked="0"/>
    </xf>
    <xf numFmtId="0" fontId="10" fillId="2" borderId="1" xfId="0" applyFont="1" applyFill="1" applyBorder="1" applyAlignment="1" applyProtection="1">
      <alignment horizontal="center" vertical="center"/>
      <protection locked="0"/>
    </xf>
    <xf numFmtId="0" fontId="10" fillId="2" borderId="7" xfId="0" applyFont="1" applyFill="1" applyBorder="1" applyAlignment="1" applyProtection="1">
      <alignment horizontal="center" vertical="center"/>
      <protection locked="0"/>
    </xf>
    <xf numFmtId="0" fontId="10" fillId="2" borderId="2" xfId="0" applyFont="1" applyFill="1" applyBorder="1" applyAlignment="1" applyProtection="1">
      <alignment horizontal="center" vertical="center"/>
      <protection locked="0"/>
    </xf>
    <xf numFmtId="164" fontId="2" fillId="7" borderId="67" xfId="0" applyNumberFormat="1" applyFont="1" applyFill="1" applyBorder="1" applyAlignment="1">
      <alignment horizontal="right" vertical="center"/>
    </xf>
    <xf numFmtId="164" fontId="2" fillId="7" borderId="45" xfId="0" applyNumberFormat="1" applyFont="1" applyFill="1" applyBorder="1" applyAlignment="1">
      <alignment horizontal="right" vertical="center"/>
    </xf>
    <xf numFmtId="0" fontId="2" fillId="2" borderId="4" xfId="3" applyFont="1" applyFill="1" applyBorder="1" applyAlignment="1" applyProtection="1">
      <alignment horizontal="center" vertical="center"/>
      <protection hidden="1"/>
    </xf>
    <xf numFmtId="164" fontId="2" fillId="7" borderId="67" xfId="0" applyNumberFormat="1" applyFont="1" applyFill="1" applyBorder="1" applyAlignment="1">
      <alignment horizontal="right"/>
    </xf>
    <xf numFmtId="164" fontId="2" fillId="7" borderId="37" xfId="0" applyNumberFormat="1" applyFont="1" applyFill="1" applyBorder="1" applyAlignment="1">
      <alignment horizontal="right"/>
    </xf>
    <xf numFmtId="164" fontId="2" fillId="7" borderId="1" xfId="0" applyNumberFormat="1" applyFont="1" applyFill="1" applyBorder="1" applyAlignment="1">
      <alignment horizontal="right"/>
    </xf>
    <xf numFmtId="164" fontId="2" fillId="7" borderId="7" xfId="0" applyNumberFormat="1" applyFont="1" applyFill="1" applyBorder="1" applyAlignment="1">
      <alignment horizontal="right"/>
    </xf>
    <xf numFmtId="0" fontId="2" fillId="2" borderId="1" xfId="3" applyFont="1" applyFill="1" applyBorder="1" applyAlignment="1" applyProtection="1">
      <alignment horizontal="center" vertical="center"/>
      <protection hidden="1"/>
    </xf>
    <xf numFmtId="0" fontId="2" fillId="2" borderId="7" xfId="3" applyFont="1" applyFill="1" applyBorder="1" applyAlignment="1" applyProtection="1">
      <alignment horizontal="center" vertical="center"/>
      <protection hidden="1"/>
    </xf>
    <xf numFmtId="0" fontId="2" fillId="2" borderId="2" xfId="3" applyFont="1" applyFill="1" applyBorder="1" applyAlignment="1" applyProtection="1">
      <alignment horizontal="center" vertical="center"/>
      <protection hidden="1"/>
    </xf>
    <xf numFmtId="0" fontId="3" fillId="6" borderId="3" xfId="4" applyFont="1" applyFill="1" applyBorder="1" applyAlignment="1">
      <alignment horizontal="center" vertical="center" wrapText="1"/>
    </xf>
    <xf numFmtId="0" fontId="3" fillId="6" borderId="5" xfId="4" applyFont="1" applyFill="1" applyBorder="1" applyAlignment="1">
      <alignment horizontal="center" vertical="center" wrapText="1"/>
    </xf>
    <xf numFmtId="164" fontId="3" fillId="6" borderId="3" xfId="4" applyNumberFormat="1" applyFont="1" applyFill="1" applyBorder="1" applyAlignment="1">
      <alignment horizontal="center" vertical="center" wrapText="1"/>
    </xf>
    <xf numFmtId="164" fontId="3" fillId="6" borderId="5" xfId="4" applyNumberFormat="1" applyFont="1" applyFill="1" applyBorder="1" applyAlignment="1">
      <alignment horizontal="center" vertical="center" wrapText="1"/>
    </xf>
    <xf numFmtId="0" fontId="3" fillId="6" borderId="3" xfId="4" applyFont="1" applyFill="1" applyBorder="1" applyAlignment="1">
      <alignment horizontal="center" vertical="center"/>
    </xf>
    <xf numFmtId="0" fontId="3" fillId="6" borderId="5" xfId="4" applyFont="1" applyFill="1" applyBorder="1" applyAlignment="1">
      <alignment horizontal="center" vertical="center"/>
    </xf>
    <xf numFmtId="14" fontId="3" fillId="6" borderId="3" xfId="4" applyNumberFormat="1" applyFont="1" applyFill="1" applyBorder="1" applyAlignment="1">
      <alignment horizontal="center" vertical="center" wrapText="1"/>
    </xf>
    <xf numFmtId="14" fontId="3" fillId="6" borderId="5" xfId="4" applyNumberFormat="1" applyFont="1" applyFill="1" applyBorder="1" applyAlignment="1">
      <alignment horizontal="center" vertical="center" wrapText="1"/>
    </xf>
    <xf numFmtId="168" fontId="3" fillId="6" borderId="3" xfId="4" applyNumberFormat="1" applyFont="1" applyFill="1" applyBorder="1" applyAlignment="1">
      <alignment horizontal="center" vertical="center" wrapText="1"/>
    </xf>
    <xf numFmtId="168" fontId="3" fillId="6" borderId="5" xfId="4" applyNumberFormat="1" applyFont="1" applyFill="1" applyBorder="1" applyAlignment="1">
      <alignment horizontal="center" vertical="center" wrapText="1"/>
    </xf>
    <xf numFmtId="168" fontId="3" fillId="6" borderId="1" xfId="4" applyNumberFormat="1" applyFont="1" applyFill="1" applyBorder="1" applyAlignment="1">
      <alignment horizontal="center" vertical="center" wrapText="1"/>
    </xf>
    <xf numFmtId="168" fontId="3" fillId="6" borderId="7" xfId="4" applyNumberFormat="1" applyFont="1" applyFill="1" applyBorder="1" applyAlignment="1">
      <alignment horizontal="center" vertical="center" wrapText="1"/>
    </xf>
    <xf numFmtId="168" fontId="3" fillId="6" borderId="2" xfId="4" applyNumberFormat="1" applyFont="1" applyFill="1" applyBorder="1" applyAlignment="1">
      <alignment horizontal="center" vertical="center" wrapText="1"/>
    </xf>
    <xf numFmtId="0" fontId="5" fillId="2" borderId="1" xfId="3" applyFont="1" applyFill="1" applyBorder="1" applyAlignment="1" applyProtection="1">
      <alignment horizontal="center" vertical="center"/>
      <protection locked="0"/>
    </xf>
    <xf numFmtId="0" fontId="5" fillId="2" borderId="2" xfId="3"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5" xfId="0" applyFont="1" applyFill="1" applyBorder="1" applyAlignment="1" applyProtection="1">
      <alignment horizontal="center" vertical="center"/>
      <protection locked="0"/>
    </xf>
    <xf numFmtId="0" fontId="2" fillId="2" borderId="8"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vertical="center"/>
      <protection locked="0"/>
    </xf>
    <xf numFmtId="0" fontId="2" fillId="2" borderId="7" xfId="0" applyFont="1" applyFill="1" applyBorder="1" applyAlignment="1" applyProtection="1">
      <alignment horizontal="center" vertical="center"/>
      <protection locked="0"/>
    </xf>
    <xf numFmtId="14" fontId="10" fillId="2" borderId="1" xfId="0" applyNumberFormat="1" applyFont="1" applyFill="1" applyBorder="1" applyAlignment="1" applyProtection="1">
      <alignment horizontal="center" vertical="center"/>
      <protection locked="0"/>
    </xf>
    <xf numFmtId="14" fontId="10" fillId="2" borderId="7" xfId="0" applyNumberFormat="1" applyFont="1" applyFill="1" applyBorder="1" applyAlignment="1" applyProtection="1">
      <alignment horizontal="center" vertical="center"/>
      <protection locked="0"/>
    </xf>
    <xf numFmtId="14" fontId="10" fillId="2" borderId="2" xfId="0" applyNumberFormat="1" applyFont="1" applyFill="1" applyBorder="1" applyAlignment="1" applyProtection="1">
      <alignment horizontal="center" vertical="center"/>
      <protection locked="0"/>
    </xf>
    <xf numFmtId="0" fontId="2" fillId="7" borderId="3" xfId="0" applyFont="1" applyFill="1" applyBorder="1" applyAlignment="1" applyProtection="1">
      <alignment horizontal="center" vertical="center" wrapText="1"/>
      <protection hidden="1"/>
    </xf>
    <xf numFmtId="0" fontId="2" fillId="7" borderId="5" xfId="0" applyFont="1" applyFill="1" applyBorder="1" applyAlignment="1" applyProtection="1">
      <alignment horizontal="center" vertical="center" wrapText="1"/>
      <protection hidden="1"/>
    </xf>
    <xf numFmtId="0" fontId="12" fillId="2" borderId="1" xfId="0" applyFont="1" applyFill="1" applyBorder="1" applyAlignment="1" applyProtection="1">
      <alignment horizontal="center" vertical="center"/>
      <protection locked="0"/>
    </xf>
    <xf numFmtId="0" fontId="12" fillId="2" borderId="7" xfId="0" applyFont="1" applyFill="1" applyBorder="1" applyAlignment="1" applyProtection="1">
      <alignment horizontal="center" vertical="center"/>
      <protection locked="0"/>
    </xf>
    <xf numFmtId="0" fontId="12" fillId="2" borderId="2" xfId="0" applyFont="1" applyFill="1" applyBorder="1" applyAlignment="1" applyProtection="1">
      <alignment horizontal="center" vertical="center"/>
      <protection locked="0"/>
    </xf>
    <xf numFmtId="14" fontId="9" fillId="2" borderId="1" xfId="0" applyNumberFormat="1" applyFont="1" applyFill="1" applyBorder="1" applyAlignment="1" applyProtection="1">
      <alignment horizontal="center" vertical="center"/>
      <protection locked="0"/>
    </xf>
    <xf numFmtId="14" fontId="9" fillId="2" borderId="7" xfId="0" applyNumberFormat="1" applyFont="1" applyFill="1" applyBorder="1" applyAlignment="1" applyProtection="1">
      <alignment horizontal="center" vertical="center"/>
      <protection locked="0"/>
    </xf>
    <xf numFmtId="14" fontId="9" fillId="2" borderId="2" xfId="0" applyNumberFormat="1" applyFont="1" applyFill="1" applyBorder="1" applyAlignment="1" applyProtection="1">
      <alignment horizontal="center" vertical="center"/>
      <protection locked="0"/>
    </xf>
    <xf numFmtId="0" fontId="2" fillId="2" borderId="9"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2" fillId="2" borderId="13" xfId="0" applyFont="1" applyFill="1" applyBorder="1" applyAlignment="1" applyProtection="1">
      <alignment horizontal="center" vertical="center"/>
      <protection locked="0"/>
    </xf>
    <xf numFmtId="14" fontId="12" fillId="2" borderId="1" xfId="0" applyNumberFormat="1" applyFont="1" applyFill="1" applyBorder="1" applyAlignment="1" applyProtection="1">
      <alignment horizontal="center" vertical="center"/>
      <protection locked="0"/>
    </xf>
    <xf numFmtId="14" fontId="12" fillId="2" borderId="7" xfId="0" applyNumberFormat="1" applyFont="1" applyFill="1" applyBorder="1" applyAlignment="1" applyProtection="1">
      <alignment horizontal="center" vertical="center"/>
      <protection locked="0"/>
    </xf>
    <xf numFmtId="14" fontId="12" fillId="2" borderId="2" xfId="0" applyNumberFormat="1" applyFont="1" applyFill="1" applyBorder="1" applyAlignment="1" applyProtection="1">
      <alignment horizontal="center" vertical="center"/>
      <protection locked="0"/>
    </xf>
    <xf numFmtId="14" fontId="12" fillId="2" borderId="12" xfId="0" applyNumberFormat="1"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wrapText="1"/>
      <protection locked="0"/>
    </xf>
    <xf numFmtId="0" fontId="2" fillId="2" borderId="7" xfId="0" applyFont="1" applyFill="1" applyBorder="1" applyAlignment="1" applyProtection="1">
      <alignment horizontal="center" vertical="center" wrapText="1"/>
      <protection locked="0"/>
    </xf>
    <xf numFmtId="0" fontId="2" fillId="2" borderId="2"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vertical="center" wrapText="1"/>
      <protection locked="0"/>
    </xf>
    <xf numFmtId="0" fontId="2" fillId="2" borderId="4" xfId="2"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protection locked="0"/>
    </xf>
    <xf numFmtId="0" fontId="2" fillId="2" borderId="7" xfId="0" applyFont="1" applyFill="1" applyBorder="1" applyAlignment="1" applyProtection="1">
      <alignment horizontal="center"/>
      <protection locked="0"/>
    </xf>
    <xf numFmtId="0" fontId="2" fillId="2" borderId="2" xfId="0" applyFont="1" applyFill="1" applyBorder="1" applyAlignment="1" applyProtection="1">
      <alignment horizontal="center"/>
      <protection locked="0"/>
    </xf>
    <xf numFmtId="14" fontId="13" fillId="2" borderId="1" xfId="0" applyNumberFormat="1" applyFont="1" applyFill="1" applyBorder="1" applyAlignment="1" applyProtection="1">
      <alignment horizontal="center" vertical="center"/>
      <protection locked="0"/>
    </xf>
    <xf numFmtId="14" fontId="13" fillId="2" borderId="7" xfId="0" applyNumberFormat="1" applyFont="1" applyFill="1" applyBorder="1" applyAlignment="1" applyProtection="1">
      <alignment horizontal="center" vertical="center"/>
      <protection locked="0"/>
    </xf>
    <xf numFmtId="14" fontId="13" fillId="2" borderId="2" xfId="0"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39" xfId="0" applyFont="1" applyFill="1" applyBorder="1" applyAlignment="1" applyProtection="1">
      <alignment horizontal="center" vertical="center" wrapText="1"/>
      <protection locked="0"/>
    </xf>
    <xf numFmtId="0" fontId="2" fillId="2" borderId="40" xfId="0" applyFont="1" applyFill="1" applyBorder="1" applyAlignment="1" applyProtection="1">
      <alignment horizontal="center" vertical="center" wrapText="1"/>
      <protection locked="0"/>
    </xf>
    <xf numFmtId="0" fontId="2" fillId="2" borderId="4" xfId="0" applyFont="1" applyFill="1" applyBorder="1" applyAlignment="1" applyProtection="1">
      <alignment horizontal="center"/>
      <protection locked="0"/>
    </xf>
    <xf numFmtId="0" fontId="2" fillId="2" borderId="3" xfId="0" applyFont="1" applyFill="1" applyBorder="1" applyAlignment="1" applyProtection="1">
      <alignment horizontal="center" vertical="center" wrapText="1"/>
      <protection locked="0"/>
    </xf>
    <xf numFmtId="0" fontId="2" fillId="2" borderId="5" xfId="0" applyFont="1" applyFill="1" applyBorder="1" applyAlignment="1" applyProtection="1">
      <alignment horizontal="center" vertical="center" wrapText="1"/>
      <protection locked="0"/>
    </xf>
    <xf numFmtId="0" fontId="10" fillId="2" borderId="11" xfId="0" applyFont="1" applyFill="1" applyBorder="1" applyAlignment="1" applyProtection="1">
      <alignment horizontal="center" vertical="center"/>
      <protection locked="0"/>
    </xf>
    <xf numFmtId="0" fontId="10" fillId="2" borderId="12" xfId="0" applyFont="1" applyFill="1" applyBorder="1" applyAlignment="1" applyProtection="1">
      <alignment horizontal="center" vertical="center"/>
      <protection locked="0"/>
    </xf>
    <xf numFmtId="49" fontId="3" fillId="6" borderId="3" xfId="0" applyNumberFormat="1" applyFont="1" applyFill="1" applyBorder="1" applyAlignment="1">
      <alignment horizontal="center" vertical="center" wrapText="1"/>
    </xf>
    <xf numFmtId="49" fontId="3" fillId="6" borderId="5" xfId="0" applyNumberFormat="1" applyFont="1" applyFill="1" applyBorder="1" applyAlignment="1">
      <alignment horizontal="center" vertical="center" wrapText="1"/>
    </xf>
    <xf numFmtId="14" fontId="0" fillId="0" borderId="2" xfId="0" applyNumberFormat="1" applyBorder="1" applyAlignment="1">
      <alignment horizontal="center"/>
    </xf>
    <xf numFmtId="14" fontId="0" fillId="0" borderId="4" xfId="0" applyNumberFormat="1" applyBorder="1" applyAlignment="1">
      <alignment horizontal="center"/>
    </xf>
    <xf numFmtId="14" fontId="0" fillId="0" borderId="1" xfId="0" applyNumberFormat="1" applyBorder="1" applyAlignment="1">
      <alignment horizontal="center"/>
    </xf>
    <xf numFmtId="164" fontId="3" fillId="6" borderId="1" xfId="4" applyNumberFormat="1" applyFont="1" applyFill="1" applyBorder="1" applyAlignment="1">
      <alignment horizontal="center" vertical="center" wrapText="1"/>
    </xf>
    <xf numFmtId="164" fontId="3" fillId="6" borderId="2" xfId="4" applyNumberFormat="1" applyFont="1" applyFill="1" applyBorder="1" applyAlignment="1">
      <alignment horizontal="center" vertical="center" wrapText="1"/>
    </xf>
    <xf numFmtId="164" fontId="3" fillId="6" borderId="7" xfId="4" applyNumberFormat="1" applyFont="1" applyFill="1" applyBorder="1" applyAlignment="1">
      <alignment horizontal="center" vertical="center" wrapText="1"/>
    </xf>
    <xf numFmtId="164" fontId="3" fillId="6" borderId="4" xfId="4" applyNumberFormat="1" applyFont="1" applyFill="1" applyBorder="1" applyAlignment="1">
      <alignment horizontal="center" vertical="center" wrapText="1"/>
    </xf>
    <xf numFmtId="0" fontId="12" fillId="2" borderId="33" xfId="0" applyFont="1" applyFill="1" applyBorder="1" applyAlignment="1">
      <alignment horizontal="left" vertical="center"/>
    </xf>
    <xf numFmtId="0" fontId="12" fillId="2" borderId="53" xfId="0" applyFont="1" applyFill="1" applyBorder="1" applyAlignment="1">
      <alignment horizontal="left" vertical="center"/>
    </xf>
    <xf numFmtId="0" fontId="12" fillId="2" borderId="60" xfId="0" applyFont="1" applyFill="1" applyBorder="1" applyAlignment="1">
      <alignment horizontal="left" vertical="center"/>
    </xf>
    <xf numFmtId="0" fontId="30" fillId="2" borderId="48" xfId="0" applyFont="1" applyFill="1" applyBorder="1" applyAlignment="1">
      <alignment horizontal="left" vertical="center" wrapText="1"/>
    </xf>
    <xf numFmtId="0" fontId="30" fillId="2" borderId="58" xfId="0" applyFont="1" applyFill="1" applyBorder="1" applyAlignment="1">
      <alignment horizontal="left" vertical="center" wrapText="1"/>
    </xf>
    <xf numFmtId="0" fontId="30" fillId="2" borderId="59" xfId="0" applyFont="1" applyFill="1" applyBorder="1" applyAlignment="1">
      <alignment horizontal="left" vertical="center" wrapText="1"/>
    </xf>
    <xf numFmtId="0" fontId="30" fillId="2" borderId="6" xfId="0" applyFont="1" applyFill="1" applyBorder="1" applyAlignment="1">
      <alignment horizontal="left" vertical="center" wrapText="1"/>
    </xf>
    <xf numFmtId="0" fontId="30" fillId="2" borderId="20" xfId="0" applyFont="1" applyFill="1" applyBorder="1" applyAlignment="1">
      <alignment horizontal="left" vertical="center" wrapText="1"/>
    </xf>
    <xf numFmtId="0" fontId="30" fillId="2" borderId="27" xfId="0" applyFont="1" applyFill="1" applyBorder="1" applyAlignment="1">
      <alignment horizontal="left" vertical="center" wrapText="1"/>
    </xf>
    <xf numFmtId="0" fontId="30" fillId="2" borderId="65" xfId="0" applyFont="1" applyFill="1" applyBorder="1" applyAlignment="1">
      <alignment horizontal="left" vertical="center" wrapText="1"/>
    </xf>
    <xf numFmtId="0" fontId="30" fillId="2" borderId="64" xfId="0" applyFont="1" applyFill="1" applyBorder="1" applyAlignment="1">
      <alignment horizontal="left" vertical="center" wrapText="1"/>
    </xf>
    <xf numFmtId="0" fontId="30" fillId="2" borderId="66" xfId="0" applyFont="1" applyFill="1" applyBorder="1" applyAlignment="1">
      <alignment horizontal="left" vertical="center" wrapText="1"/>
    </xf>
    <xf numFmtId="0" fontId="12" fillId="2" borderId="3" xfId="0" applyFont="1" applyFill="1" applyBorder="1" applyAlignment="1">
      <alignment horizontal="left" vertical="center"/>
    </xf>
    <xf numFmtId="0" fontId="12" fillId="2" borderId="5" xfId="0" applyFont="1" applyFill="1" applyBorder="1" applyAlignment="1">
      <alignment horizontal="left" vertical="center"/>
    </xf>
  </cellXfs>
  <cellStyles count="6">
    <cellStyle name="Гиперссылка" xfId="3" builtinId="8"/>
    <cellStyle name="Обычный" xfId="0" builtinId="0"/>
    <cellStyle name="Обычный 2" xfId="4"/>
    <cellStyle name="Процентный" xfId="5" builtinId="5"/>
    <cellStyle name="УровеньСтолб_1" xfId="2" builtinId="2" iLevel="0"/>
    <cellStyle name="УровеньСтрок_1" xfId="1" builtinId="1" iLevel="0"/>
  </cellStyles>
  <dxfs count="320">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7"/>
        </patternFill>
      </fill>
      <border>
        <left/>
        <right/>
        <top/>
        <bottom/>
        <vertical/>
        <horizontal/>
      </border>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rgb="FF0070C0"/>
        </patternFill>
      </fill>
    </dxf>
    <dxf>
      <fill>
        <patternFill>
          <bgColor theme="8"/>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FFC000"/>
        </patternFill>
      </fill>
    </dxf>
    <dxf>
      <fill>
        <patternFill>
          <bgColor rgb="FF92D050"/>
        </patternFill>
      </fill>
    </dxf>
    <dxf>
      <fill>
        <patternFill>
          <bgColor rgb="FFFF0000"/>
        </patternFill>
      </fill>
    </dxf>
    <dxf>
      <font>
        <color theme="0"/>
      </font>
      <fill>
        <patternFill>
          <bgColor rgb="FF7030A0"/>
        </patternFill>
      </fill>
    </dxf>
    <dxf>
      <font>
        <color theme="0"/>
      </font>
      <fill>
        <patternFill>
          <bgColor rgb="FF0070C0"/>
        </patternFill>
      </fill>
    </dxf>
    <dxf>
      <font>
        <color theme="0"/>
      </font>
      <fill>
        <patternFill>
          <bgColor rgb="FF00206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C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theme="0"/>
      </font>
      <fill>
        <patternFill>
          <bgColor rgb="FFFF0000"/>
        </patternFill>
      </fill>
    </dxf>
    <dxf>
      <numFmt numFmtId="0" formatCode="General"/>
    </dxf>
    <dxf>
      <numFmt numFmtId="0" formatCode="General"/>
      <alignment horizontal="center" textRotation="0" wrapText="0" indent="0" justifyLastLine="0" shrinkToFit="0" readingOrder="0"/>
    </dxf>
    <dxf>
      <numFmt numFmtId="0" formatCode="General"/>
    </dxf>
    <dxf>
      <alignment horizontal="center" vertical="center" textRotation="0" wrapText="0" indent="0" justifyLastLine="0" shrinkToFit="0" readingOrder="0"/>
    </dxf>
    <dxf>
      <numFmt numFmtId="0" formatCode="General"/>
    </dxf>
    <dxf>
      <numFmt numFmtId="0" formatCode="General"/>
      <alignment horizontal="center" textRotation="0" wrapText="0" indent="0" justifyLastLine="0" shrinkToFit="0" readingOrder="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center"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colors>
    <mruColors>
      <color rgb="FFFF7979"/>
      <color rgb="FF990099"/>
      <color rgb="FFFFA709"/>
      <color rgb="FFEB701D"/>
      <color rgb="FF8D54E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СТАТИСТИКА_PAST!$B$1</c:f>
              <c:strCache>
                <c:ptCount val="1"/>
                <c:pt idx="0">
                  <c:v>Нечаева Александра Анатольевна</c:v>
                </c:pt>
              </c:strCache>
            </c:strRef>
          </c:tx>
          <c:spPr>
            <a:ln w="22225" cap="rnd">
              <a:solidFill>
                <a:schemeClr val="accent1"/>
              </a:solidFill>
            </a:ln>
            <a:effectLst>
              <a:glow rad="139700">
                <a:schemeClr val="accent1">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СТАТИСТИКА_PAST!$B$2:$B$47</c:f>
              <c:numCache>
                <c:formatCode>General</c:formatCode>
                <c:ptCount val="46"/>
                <c:pt idx="0">
                  <c:v>4</c:v>
                </c:pt>
                <c:pt idx="1">
                  <c:v>2</c:v>
                </c:pt>
                <c:pt idx="2">
                  <c:v>2</c:v>
                </c:pt>
                <c:pt idx="3">
                  <c:v>4</c:v>
                </c:pt>
                <c:pt idx="4">
                  <c:v>3</c:v>
                </c:pt>
                <c:pt idx="5">
                  <c:v>3</c:v>
                </c:pt>
                <c:pt idx="6">
                  <c:v>5</c:v>
                </c:pt>
                <c:pt idx="7">
                  <c:v>4</c:v>
                </c:pt>
                <c:pt idx="8">
                  <c:v>3</c:v>
                </c:pt>
                <c:pt idx="9">
                  <c:v>3</c:v>
                </c:pt>
                <c:pt idx="10">
                  <c:v>3</c:v>
                </c:pt>
                <c:pt idx="11">
                  <c:v>7</c:v>
                </c:pt>
                <c:pt idx="12">
                  <c:v>4</c:v>
                </c:pt>
                <c:pt idx="13">
                  <c:v>3</c:v>
                </c:pt>
                <c:pt idx="14">
                  <c:v>4</c:v>
                </c:pt>
                <c:pt idx="15">
                  <c:v>4</c:v>
                </c:pt>
                <c:pt idx="16">
                  <c:v>4</c:v>
                </c:pt>
                <c:pt idx="17">
                  <c:v>5</c:v>
                </c:pt>
                <c:pt idx="18">
                  <c:v>3</c:v>
                </c:pt>
                <c:pt idx="19">
                  <c:v>3</c:v>
                </c:pt>
                <c:pt idx="20">
                  <c:v>3</c:v>
                </c:pt>
                <c:pt idx="21">
                  <c:v>5</c:v>
                </c:pt>
                <c:pt idx="22">
                  <c:v>4</c:v>
                </c:pt>
                <c:pt idx="23">
                  <c:v>6</c:v>
                </c:pt>
                <c:pt idx="24">
                  <c:v>4</c:v>
                </c:pt>
                <c:pt idx="25">
                  <c:v>2</c:v>
                </c:pt>
                <c:pt idx="26">
                  <c:v>4</c:v>
                </c:pt>
                <c:pt idx="27">
                  <c:v>2</c:v>
                </c:pt>
                <c:pt idx="28">
                  <c:v>1</c:v>
                </c:pt>
                <c:pt idx="29">
                  <c:v>4</c:v>
                </c:pt>
                <c:pt idx="30">
                  <c:v>5</c:v>
                </c:pt>
                <c:pt idx="31">
                  <c:v>4</c:v>
                </c:pt>
                <c:pt idx="32">
                  <c:v>3</c:v>
                </c:pt>
                <c:pt idx="33">
                  <c:v>4</c:v>
                </c:pt>
                <c:pt idx="34">
                  <c:v>4</c:v>
                </c:pt>
                <c:pt idx="35">
                  <c:v>4</c:v>
                </c:pt>
                <c:pt idx="36">
                  <c:v>8</c:v>
                </c:pt>
                <c:pt idx="37">
                  <c:v>3</c:v>
                </c:pt>
                <c:pt idx="38">
                  <c:v>3</c:v>
                </c:pt>
                <c:pt idx="39">
                  <c:v>3</c:v>
                </c:pt>
                <c:pt idx="40">
                  <c:v>5</c:v>
                </c:pt>
                <c:pt idx="41">
                  <c:v>3</c:v>
                </c:pt>
                <c:pt idx="42">
                  <c:v>4</c:v>
                </c:pt>
                <c:pt idx="43">
                  <c:v>3</c:v>
                </c:pt>
                <c:pt idx="44">
                  <c:v>3</c:v>
                </c:pt>
                <c:pt idx="45">
                  <c:v>3</c:v>
                </c:pt>
              </c:numCache>
            </c:numRef>
          </c:val>
          <c:smooth val="0"/>
          <c:extLst>
            <c:ext xmlns:c16="http://schemas.microsoft.com/office/drawing/2014/chart" uri="{C3380CC4-5D6E-409C-BE32-E72D297353CC}">
              <c16:uniqueId val="{00000001-332C-43ED-B51F-3F84B96ABD5D}"/>
            </c:ext>
          </c:extLst>
        </c:ser>
        <c:ser>
          <c:idx val="1"/>
          <c:order val="1"/>
          <c:tx>
            <c:strRef>
              <c:f>СТАТИСТИКА_PAST!$C$1</c:f>
              <c:strCache>
                <c:ptCount val="1"/>
                <c:pt idx="0">
                  <c:v>Гурьянова Татьяна Юрьевна</c:v>
                </c:pt>
              </c:strCache>
            </c:strRef>
          </c:tx>
          <c:spPr>
            <a:ln w="22225" cap="rnd">
              <a:solidFill>
                <a:schemeClr val="accent2"/>
              </a:solidFill>
            </a:ln>
            <a:effectLst>
              <a:glow rad="139700">
                <a:schemeClr val="accent2">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СТАТИСТИКА_PAST!$C$2:$C$47</c:f>
              <c:numCache>
                <c:formatCode>General</c:formatCode>
                <c:ptCount val="46"/>
                <c:pt idx="0">
                  <c:v>4</c:v>
                </c:pt>
                <c:pt idx="1">
                  <c:v>2</c:v>
                </c:pt>
                <c:pt idx="2">
                  <c:v>2</c:v>
                </c:pt>
                <c:pt idx="3">
                  <c:v>2</c:v>
                </c:pt>
                <c:pt idx="4">
                  <c:v>0</c:v>
                </c:pt>
                <c:pt idx="5">
                  <c:v>5</c:v>
                </c:pt>
                <c:pt idx="6">
                  <c:v>0</c:v>
                </c:pt>
                <c:pt idx="7">
                  <c:v>0</c:v>
                </c:pt>
                <c:pt idx="8">
                  <c:v>0</c:v>
                </c:pt>
                <c:pt idx="9">
                  <c:v>0</c:v>
                </c:pt>
                <c:pt idx="10">
                  <c:v>0</c:v>
                </c:pt>
                <c:pt idx="11">
                  <c:v>5</c:v>
                </c:pt>
                <c:pt idx="12">
                  <c:v>4</c:v>
                </c:pt>
                <c:pt idx="13">
                  <c:v>4</c:v>
                </c:pt>
                <c:pt idx="14">
                  <c:v>3</c:v>
                </c:pt>
                <c:pt idx="15">
                  <c:v>5</c:v>
                </c:pt>
                <c:pt idx="16">
                  <c:v>7</c:v>
                </c:pt>
                <c:pt idx="17">
                  <c:v>5</c:v>
                </c:pt>
                <c:pt idx="18">
                  <c:v>3</c:v>
                </c:pt>
                <c:pt idx="19">
                  <c:v>2</c:v>
                </c:pt>
                <c:pt idx="20">
                  <c:v>3</c:v>
                </c:pt>
                <c:pt idx="21">
                  <c:v>6</c:v>
                </c:pt>
                <c:pt idx="22">
                  <c:v>5</c:v>
                </c:pt>
                <c:pt idx="23">
                  <c:v>4</c:v>
                </c:pt>
                <c:pt idx="24">
                  <c:v>2</c:v>
                </c:pt>
                <c:pt idx="25">
                  <c:v>5</c:v>
                </c:pt>
                <c:pt idx="26">
                  <c:v>6</c:v>
                </c:pt>
                <c:pt idx="27">
                  <c:v>4</c:v>
                </c:pt>
                <c:pt idx="28">
                  <c:v>4</c:v>
                </c:pt>
                <c:pt idx="29">
                  <c:v>3</c:v>
                </c:pt>
                <c:pt idx="30">
                  <c:v>4</c:v>
                </c:pt>
                <c:pt idx="31">
                  <c:v>4</c:v>
                </c:pt>
                <c:pt idx="32">
                  <c:v>3</c:v>
                </c:pt>
                <c:pt idx="33">
                  <c:v>4</c:v>
                </c:pt>
                <c:pt idx="34">
                  <c:v>3</c:v>
                </c:pt>
                <c:pt idx="35">
                  <c:v>3</c:v>
                </c:pt>
                <c:pt idx="36">
                  <c:v>3</c:v>
                </c:pt>
                <c:pt idx="37">
                  <c:v>2</c:v>
                </c:pt>
                <c:pt idx="38">
                  <c:v>1</c:v>
                </c:pt>
                <c:pt idx="39">
                  <c:v>3</c:v>
                </c:pt>
                <c:pt idx="40">
                  <c:v>5</c:v>
                </c:pt>
                <c:pt idx="41">
                  <c:v>3</c:v>
                </c:pt>
                <c:pt idx="42">
                  <c:v>5</c:v>
                </c:pt>
                <c:pt idx="43">
                  <c:v>5</c:v>
                </c:pt>
                <c:pt idx="44">
                  <c:v>3</c:v>
                </c:pt>
                <c:pt idx="45">
                  <c:v>3</c:v>
                </c:pt>
              </c:numCache>
            </c:numRef>
          </c:val>
          <c:smooth val="0"/>
          <c:extLst>
            <c:ext xmlns:c16="http://schemas.microsoft.com/office/drawing/2014/chart" uri="{C3380CC4-5D6E-409C-BE32-E72D297353CC}">
              <c16:uniqueId val="{00000002-332C-43ED-B51F-3F84B96ABD5D}"/>
            </c:ext>
          </c:extLst>
        </c:ser>
        <c:ser>
          <c:idx val="2"/>
          <c:order val="2"/>
          <c:tx>
            <c:strRef>
              <c:f>СТАТИСТИКА_PAST!$D$1</c:f>
              <c:strCache>
                <c:ptCount val="1"/>
                <c:pt idx="0">
                  <c:v>Сибатров Максим Николаевич</c:v>
                </c:pt>
              </c:strCache>
            </c:strRef>
          </c:tx>
          <c:spPr>
            <a:ln w="22225" cap="rnd">
              <a:solidFill>
                <a:schemeClr val="accent3"/>
              </a:solidFill>
            </a:ln>
            <a:effectLst>
              <a:glow rad="139700">
                <a:schemeClr val="accent3">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СТАТИСТИКА_PAST!$D$2:$D$47</c:f>
              <c:numCache>
                <c:formatCode>General</c:formatCode>
                <c:ptCount val="46"/>
                <c:pt idx="0">
                  <c:v>4</c:v>
                </c:pt>
                <c:pt idx="1">
                  <c:v>4</c:v>
                </c:pt>
                <c:pt idx="2">
                  <c:v>3</c:v>
                </c:pt>
                <c:pt idx="3">
                  <c:v>5</c:v>
                </c:pt>
                <c:pt idx="4">
                  <c:v>3</c:v>
                </c:pt>
                <c:pt idx="5">
                  <c:v>4</c:v>
                </c:pt>
                <c:pt idx="6">
                  <c:v>5</c:v>
                </c:pt>
                <c:pt idx="7">
                  <c:v>3</c:v>
                </c:pt>
                <c:pt idx="8">
                  <c:v>6</c:v>
                </c:pt>
                <c:pt idx="9">
                  <c:v>2</c:v>
                </c:pt>
                <c:pt idx="10">
                  <c:v>3</c:v>
                </c:pt>
                <c:pt idx="11">
                  <c:v>4</c:v>
                </c:pt>
                <c:pt idx="12">
                  <c:v>4</c:v>
                </c:pt>
                <c:pt idx="13">
                  <c:v>6</c:v>
                </c:pt>
                <c:pt idx="14">
                  <c:v>3</c:v>
                </c:pt>
                <c:pt idx="15">
                  <c:v>6</c:v>
                </c:pt>
                <c:pt idx="16">
                  <c:v>7</c:v>
                </c:pt>
                <c:pt idx="17">
                  <c:v>6</c:v>
                </c:pt>
                <c:pt idx="18">
                  <c:v>2</c:v>
                </c:pt>
                <c:pt idx="19">
                  <c:v>4</c:v>
                </c:pt>
                <c:pt idx="20">
                  <c:v>2</c:v>
                </c:pt>
                <c:pt idx="21">
                  <c:v>8</c:v>
                </c:pt>
                <c:pt idx="22">
                  <c:v>3</c:v>
                </c:pt>
                <c:pt idx="23">
                  <c:v>5</c:v>
                </c:pt>
                <c:pt idx="24">
                  <c:v>3</c:v>
                </c:pt>
                <c:pt idx="25">
                  <c:v>3</c:v>
                </c:pt>
                <c:pt idx="26">
                  <c:v>5</c:v>
                </c:pt>
                <c:pt idx="27">
                  <c:v>2</c:v>
                </c:pt>
                <c:pt idx="28">
                  <c:v>3</c:v>
                </c:pt>
                <c:pt idx="29">
                  <c:v>5</c:v>
                </c:pt>
                <c:pt idx="30">
                  <c:v>4</c:v>
                </c:pt>
                <c:pt idx="31">
                  <c:v>2</c:v>
                </c:pt>
                <c:pt idx="32">
                  <c:v>3</c:v>
                </c:pt>
                <c:pt idx="33">
                  <c:v>3</c:v>
                </c:pt>
                <c:pt idx="34">
                  <c:v>6</c:v>
                </c:pt>
                <c:pt idx="35">
                  <c:v>4</c:v>
                </c:pt>
                <c:pt idx="36">
                  <c:v>5</c:v>
                </c:pt>
                <c:pt idx="37">
                  <c:v>2</c:v>
                </c:pt>
                <c:pt idx="38">
                  <c:v>2</c:v>
                </c:pt>
                <c:pt idx="39">
                  <c:v>2</c:v>
                </c:pt>
                <c:pt idx="40">
                  <c:v>5</c:v>
                </c:pt>
                <c:pt idx="41">
                  <c:v>4</c:v>
                </c:pt>
                <c:pt idx="42">
                  <c:v>3</c:v>
                </c:pt>
                <c:pt idx="43">
                  <c:v>3</c:v>
                </c:pt>
                <c:pt idx="44">
                  <c:v>6</c:v>
                </c:pt>
                <c:pt idx="45">
                  <c:v>6</c:v>
                </c:pt>
              </c:numCache>
            </c:numRef>
          </c:val>
          <c:smooth val="0"/>
          <c:extLst>
            <c:ext xmlns:c16="http://schemas.microsoft.com/office/drawing/2014/chart" uri="{C3380CC4-5D6E-409C-BE32-E72D297353CC}">
              <c16:uniqueId val="{00000003-332C-43ED-B51F-3F84B96ABD5D}"/>
            </c:ext>
          </c:extLst>
        </c:ser>
        <c:ser>
          <c:idx val="3"/>
          <c:order val="3"/>
          <c:tx>
            <c:strRef>
              <c:f>СТАТИСТИКА_PAST!$E$1</c:f>
              <c:strCache>
                <c:ptCount val="1"/>
                <c:pt idx="0">
                  <c:v>Хахалев Эдуард Олегович</c:v>
                </c:pt>
              </c:strCache>
            </c:strRef>
          </c:tx>
          <c:spPr>
            <a:ln w="22225" cap="rnd">
              <a:solidFill>
                <a:schemeClr val="accent4"/>
              </a:solidFill>
            </a:ln>
            <a:effectLst>
              <a:glow rad="139700">
                <a:schemeClr val="accent4">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СТАТИСТИКА_PAST!$E$2:$E$47</c:f>
              <c:numCache>
                <c:formatCode>General</c:formatCode>
                <c:ptCount val="46"/>
                <c:pt idx="0">
                  <c:v>3</c:v>
                </c:pt>
                <c:pt idx="1">
                  <c:v>1</c:v>
                </c:pt>
                <c:pt idx="2">
                  <c:v>4</c:v>
                </c:pt>
                <c:pt idx="3">
                  <c:v>3</c:v>
                </c:pt>
                <c:pt idx="4">
                  <c:v>3</c:v>
                </c:pt>
                <c:pt idx="5">
                  <c:v>3</c:v>
                </c:pt>
                <c:pt idx="6">
                  <c:v>4</c:v>
                </c:pt>
                <c:pt idx="7">
                  <c:v>4</c:v>
                </c:pt>
                <c:pt idx="8">
                  <c:v>3</c:v>
                </c:pt>
                <c:pt idx="9">
                  <c:v>2</c:v>
                </c:pt>
                <c:pt idx="10">
                  <c:v>3</c:v>
                </c:pt>
                <c:pt idx="11">
                  <c:v>7</c:v>
                </c:pt>
                <c:pt idx="12">
                  <c:v>3</c:v>
                </c:pt>
                <c:pt idx="13">
                  <c:v>5</c:v>
                </c:pt>
                <c:pt idx="14">
                  <c:v>1</c:v>
                </c:pt>
                <c:pt idx="15">
                  <c:v>2</c:v>
                </c:pt>
                <c:pt idx="16">
                  <c:v>6</c:v>
                </c:pt>
                <c:pt idx="17">
                  <c:v>4</c:v>
                </c:pt>
                <c:pt idx="18">
                  <c:v>5</c:v>
                </c:pt>
                <c:pt idx="19">
                  <c:v>4</c:v>
                </c:pt>
                <c:pt idx="20">
                  <c:v>3</c:v>
                </c:pt>
                <c:pt idx="21">
                  <c:v>3</c:v>
                </c:pt>
                <c:pt idx="22">
                  <c:v>7</c:v>
                </c:pt>
                <c:pt idx="23">
                  <c:v>3</c:v>
                </c:pt>
                <c:pt idx="24">
                  <c:v>4</c:v>
                </c:pt>
                <c:pt idx="25">
                  <c:v>5</c:v>
                </c:pt>
                <c:pt idx="26">
                  <c:v>6</c:v>
                </c:pt>
                <c:pt idx="27">
                  <c:v>3</c:v>
                </c:pt>
                <c:pt idx="28">
                  <c:v>2</c:v>
                </c:pt>
                <c:pt idx="29">
                  <c:v>2</c:v>
                </c:pt>
                <c:pt idx="30">
                  <c:v>4</c:v>
                </c:pt>
                <c:pt idx="31">
                  <c:v>3</c:v>
                </c:pt>
                <c:pt idx="32">
                  <c:v>2</c:v>
                </c:pt>
                <c:pt idx="33">
                  <c:v>5</c:v>
                </c:pt>
                <c:pt idx="34">
                  <c:v>6</c:v>
                </c:pt>
                <c:pt idx="35">
                  <c:v>3</c:v>
                </c:pt>
                <c:pt idx="36">
                  <c:v>2</c:v>
                </c:pt>
                <c:pt idx="37">
                  <c:v>5</c:v>
                </c:pt>
                <c:pt idx="38">
                  <c:v>4</c:v>
                </c:pt>
                <c:pt idx="39">
                  <c:v>5</c:v>
                </c:pt>
                <c:pt idx="40">
                  <c:v>5</c:v>
                </c:pt>
                <c:pt idx="41">
                  <c:v>6</c:v>
                </c:pt>
                <c:pt idx="42">
                  <c:v>4</c:v>
                </c:pt>
                <c:pt idx="43">
                  <c:v>4</c:v>
                </c:pt>
                <c:pt idx="44">
                  <c:v>3</c:v>
                </c:pt>
                <c:pt idx="45">
                  <c:v>2</c:v>
                </c:pt>
              </c:numCache>
            </c:numRef>
          </c:val>
          <c:smooth val="0"/>
          <c:extLst>
            <c:ext xmlns:c16="http://schemas.microsoft.com/office/drawing/2014/chart" uri="{C3380CC4-5D6E-409C-BE32-E72D297353CC}">
              <c16:uniqueId val="{00000004-332C-43ED-B51F-3F84B96ABD5D}"/>
            </c:ext>
          </c:extLst>
        </c:ser>
        <c:ser>
          <c:idx val="4"/>
          <c:order val="4"/>
          <c:tx>
            <c:strRef>
              <c:f>СТАТИСТИКА_PAST!$G$1</c:f>
              <c:strCache>
                <c:ptCount val="1"/>
                <c:pt idx="0">
                  <c:v>Шумилов Алексей Александрович</c:v>
                </c:pt>
              </c:strCache>
            </c:strRef>
          </c:tx>
          <c:spPr>
            <a:ln w="22225" cap="rnd">
              <a:solidFill>
                <a:schemeClr val="accent5"/>
              </a:solidFill>
            </a:ln>
            <a:effectLst>
              <a:glow rad="139700">
                <a:schemeClr val="accent5">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СТАТИСТИКА_PAST!$G$2:$G$47</c:f>
              <c:numCache>
                <c:formatCode>General</c:formatCode>
                <c:ptCount val="46"/>
                <c:pt idx="0">
                  <c:v>0</c:v>
                </c:pt>
                <c:pt idx="1">
                  <c:v>0</c:v>
                </c:pt>
                <c:pt idx="2">
                  <c:v>0</c:v>
                </c:pt>
                <c:pt idx="3">
                  <c:v>0</c:v>
                </c:pt>
                <c:pt idx="4">
                  <c:v>0</c:v>
                </c:pt>
                <c:pt idx="5">
                  <c:v>2</c:v>
                </c:pt>
                <c:pt idx="6">
                  <c:v>3</c:v>
                </c:pt>
                <c:pt idx="7">
                  <c:v>5</c:v>
                </c:pt>
                <c:pt idx="8">
                  <c:v>5</c:v>
                </c:pt>
                <c:pt idx="9">
                  <c:v>3</c:v>
                </c:pt>
                <c:pt idx="10">
                  <c:v>1</c:v>
                </c:pt>
                <c:pt idx="11">
                  <c:v>4</c:v>
                </c:pt>
                <c:pt idx="12">
                  <c:v>3</c:v>
                </c:pt>
                <c:pt idx="13">
                  <c:v>4</c:v>
                </c:pt>
                <c:pt idx="14">
                  <c:v>2</c:v>
                </c:pt>
                <c:pt idx="15">
                  <c:v>2</c:v>
                </c:pt>
                <c:pt idx="16">
                  <c:v>3</c:v>
                </c:pt>
                <c:pt idx="17">
                  <c:v>0</c:v>
                </c:pt>
                <c:pt idx="18">
                  <c:v>2</c:v>
                </c:pt>
                <c:pt idx="19">
                  <c:v>2</c:v>
                </c:pt>
                <c:pt idx="20">
                  <c:v>3</c:v>
                </c:pt>
                <c:pt idx="21">
                  <c:v>4</c:v>
                </c:pt>
                <c:pt idx="22">
                  <c:v>3</c:v>
                </c:pt>
                <c:pt idx="23">
                  <c:v>3</c:v>
                </c:pt>
                <c:pt idx="24">
                  <c:v>3</c:v>
                </c:pt>
                <c:pt idx="25">
                  <c:v>4</c:v>
                </c:pt>
                <c:pt idx="26">
                  <c:v>2</c:v>
                </c:pt>
                <c:pt idx="27">
                  <c:v>4</c:v>
                </c:pt>
                <c:pt idx="28">
                  <c:v>3</c:v>
                </c:pt>
                <c:pt idx="29">
                  <c:v>4</c:v>
                </c:pt>
                <c:pt idx="30">
                  <c:v>4</c:v>
                </c:pt>
                <c:pt idx="31">
                  <c:v>4</c:v>
                </c:pt>
                <c:pt idx="32">
                  <c:v>3</c:v>
                </c:pt>
                <c:pt idx="33">
                  <c:v>3</c:v>
                </c:pt>
                <c:pt idx="34">
                  <c:v>4</c:v>
                </c:pt>
                <c:pt idx="35">
                  <c:v>2</c:v>
                </c:pt>
                <c:pt idx="36">
                  <c:v>5</c:v>
                </c:pt>
                <c:pt idx="37">
                  <c:v>3</c:v>
                </c:pt>
                <c:pt idx="38">
                  <c:v>1</c:v>
                </c:pt>
                <c:pt idx="39">
                  <c:v>4</c:v>
                </c:pt>
                <c:pt idx="40">
                  <c:v>7</c:v>
                </c:pt>
                <c:pt idx="41">
                  <c:v>3</c:v>
                </c:pt>
                <c:pt idx="42">
                  <c:v>3</c:v>
                </c:pt>
                <c:pt idx="43">
                  <c:v>3</c:v>
                </c:pt>
                <c:pt idx="44">
                  <c:v>3</c:v>
                </c:pt>
                <c:pt idx="45">
                  <c:v>3</c:v>
                </c:pt>
              </c:numCache>
            </c:numRef>
          </c:val>
          <c:smooth val="0"/>
          <c:extLst>
            <c:ext xmlns:c16="http://schemas.microsoft.com/office/drawing/2014/chart" uri="{C3380CC4-5D6E-409C-BE32-E72D297353CC}">
              <c16:uniqueId val="{00000005-332C-43ED-B51F-3F84B96ABD5D}"/>
            </c:ext>
          </c:extLst>
        </c:ser>
        <c:ser>
          <c:idx val="5"/>
          <c:order val="5"/>
          <c:tx>
            <c:strRef>
              <c:f>СТАТИСТИКА_PAST!$I$1</c:f>
              <c:strCache>
                <c:ptCount val="1"/>
                <c:pt idx="0">
                  <c:v>Ермолаева Елена Александровна</c:v>
                </c:pt>
              </c:strCache>
            </c:strRef>
          </c:tx>
          <c:spPr>
            <a:ln w="22225" cap="rnd">
              <a:solidFill>
                <a:schemeClr val="accent6"/>
              </a:solidFill>
            </a:ln>
            <a:effectLst>
              <a:glow rad="139700">
                <a:schemeClr val="accent6">
                  <a:satMod val="175000"/>
                  <a:alpha val="14000"/>
                </a:schemeClr>
              </a:glo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ru-RU"/>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numRef>
              <c:f>СТАТИСТИКА_PAST!$A:$A</c:f>
              <c:numCache>
                <c:formatCode>m/d/yyyy</c:formatCode>
                <c:ptCount val="1048576"/>
                <c:pt idx="1">
                  <c:v>43808</c:v>
                </c:pt>
                <c:pt idx="2">
                  <c:v>43809</c:v>
                </c:pt>
                <c:pt idx="3">
                  <c:v>43810</c:v>
                </c:pt>
                <c:pt idx="4">
                  <c:v>43811</c:v>
                </c:pt>
                <c:pt idx="5">
                  <c:v>43812</c:v>
                </c:pt>
                <c:pt idx="6">
                  <c:v>43815</c:v>
                </c:pt>
                <c:pt idx="7">
                  <c:v>43816</c:v>
                </c:pt>
                <c:pt idx="8">
                  <c:v>43817</c:v>
                </c:pt>
                <c:pt idx="9">
                  <c:v>43818</c:v>
                </c:pt>
                <c:pt idx="10">
                  <c:v>43819</c:v>
                </c:pt>
                <c:pt idx="11">
                  <c:v>43822</c:v>
                </c:pt>
                <c:pt idx="12">
                  <c:v>43823</c:v>
                </c:pt>
                <c:pt idx="13">
                  <c:v>43824</c:v>
                </c:pt>
                <c:pt idx="14">
                  <c:v>43825</c:v>
                </c:pt>
                <c:pt idx="15">
                  <c:v>43826</c:v>
                </c:pt>
                <c:pt idx="16">
                  <c:v>43829</c:v>
                </c:pt>
                <c:pt idx="17">
                  <c:v>43830</c:v>
                </c:pt>
                <c:pt idx="18">
                  <c:v>43839</c:v>
                </c:pt>
                <c:pt idx="19">
                  <c:v>43840</c:v>
                </c:pt>
                <c:pt idx="20">
                  <c:v>43843</c:v>
                </c:pt>
                <c:pt idx="21">
                  <c:v>43844</c:v>
                </c:pt>
                <c:pt idx="22">
                  <c:v>43845</c:v>
                </c:pt>
                <c:pt idx="23">
                  <c:v>43846</c:v>
                </c:pt>
                <c:pt idx="24">
                  <c:v>43847</c:v>
                </c:pt>
                <c:pt idx="25">
                  <c:v>43850</c:v>
                </c:pt>
                <c:pt idx="26">
                  <c:v>43851</c:v>
                </c:pt>
                <c:pt idx="27">
                  <c:v>43852</c:v>
                </c:pt>
                <c:pt idx="28">
                  <c:v>43853</c:v>
                </c:pt>
                <c:pt idx="29">
                  <c:v>43854</c:v>
                </c:pt>
                <c:pt idx="30">
                  <c:v>43857</c:v>
                </c:pt>
                <c:pt idx="31">
                  <c:v>43858</c:v>
                </c:pt>
                <c:pt idx="32">
                  <c:v>43859</c:v>
                </c:pt>
                <c:pt idx="33">
                  <c:v>43860</c:v>
                </c:pt>
                <c:pt idx="34">
                  <c:v>43861</c:v>
                </c:pt>
                <c:pt idx="35">
                  <c:v>43864</c:v>
                </c:pt>
                <c:pt idx="36">
                  <c:v>43865</c:v>
                </c:pt>
                <c:pt idx="37">
                  <c:v>43866</c:v>
                </c:pt>
                <c:pt idx="38">
                  <c:v>43867</c:v>
                </c:pt>
                <c:pt idx="39">
                  <c:v>43868</c:v>
                </c:pt>
                <c:pt idx="40">
                  <c:v>43871</c:v>
                </c:pt>
                <c:pt idx="41">
                  <c:v>43872</c:v>
                </c:pt>
                <c:pt idx="42">
                  <c:v>43873</c:v>
                </c:pt>
                <c:pt idx="43">
                  <c:v>43879</c:v>
                </c:pt>
                <c:pt idx="44">
                  <c:v>43880</c:v>
                </c:pt>
                <c:pt idx="45">
                  <c:v>43881</c:v>
                </c:pt>
                <c:pt idx="46">
                  <c:v>43882</c:v>
                </c:pt>
                <c:pt idx="47">
                  <c:v>43886</c:v>
                </c:pt>
                <c:pt idx="48">
                  <c:v>43887</c:v>
                </c:pt>
                <c:pt idx="49">
                  <c:v>43888</c:v>
                </c:pt>
                <c:pt idx="50">
                  <c:v>43889</c:v>
                </c:pt>
                <c:pt idx="51">
                  <c:v>43892</c:v>
                </c:pt>
                <c:pt idx="52">
                  <c:v>43893</c:v>
                </c:pt>
                <c:pt idx="53">
                  <c:v>43894</c:v>
                </c:pt>
                <c:pt idx="54">
                  <c:v>43895</c:v>
                </c:pt>
                <c:pt idx="55">
                  <c:v>43896</c:v>
                </c:pt>
                <c:pt idx="56">
                  <c:v>43900</c:v>
                </c:pt>
                <c:pt idx="57">
                  <c:v>43901</c:v>
                </c:pt>
                <c:pt idx="58">
                  <c:v>43902</c:v>
                </c:pt>
                <c:pt idx="59">
                  <c:v>43903</c:v>
                </c:pt>
                <c:pt idx="60">
                  <c:v>43906</c:v>
                </c:pt>
                <c:pt idx="61">
                  <c:v>43907</c:v>
                </c:pt>
                <c:pt idx="62">
                  <c:v>43908</c:v>
                </c:pt>
                <c:pt idx="63">
                  <c:v>43909</c:v>
                </c:pt>
                <c:pt idx="64">
                  <c:v>43910</c:v>
                </c:pt>
                <c:pt idx="65">
                  <c:v>43913</c:v>
                </c:pt>
                <c:pt idx="66">
                  <c:v>43914</c:v>
                </c:pt>
                <c:pt idx="67">
                  <c:v>43915</c:v>
                </c:pt>
                <c:pt idx="68">
                  <c:v>43916</c:v>
                </c:pt>
                <c:pt idx="69">
                  <c:v>43917</c:v>
                </c:pt>
                <c:pt idx="70">
                  <c:v>43927</c:v>
                </c:pt>
                <c:pt idx="71">
                  <c:v>43928</c:v>
                </c:pt>
                <c:pt idx="72">
                  <c:v>43929</c:v>
                </c:pt>
                <c:pt idx="73">
                  <c:v>43963</c:v>
                </c:pt>
                <c:pt idx="74">
                  <c:v>43964</c:v>
                </c:pt>
                <c:pt idx="75">
                  <c:v>43965</c:v>
                </c:pt>
                <c:pt idx="76">
                  <c:v>43966</c:v>
                </c:pt>
                <c:pt idx="77">
                  <c:v>43969</c:v>
                </c:pt>
                <c:pt idx="78">
                  <c:v>43970</c:v>
                </c:pt>
                <c:pt idx="79">
                  <c:v>43971</c:v>
                </c:pt>
                <c:pt idx="80">
                  <c:v>43972</c:v>
                </c:pt>
                <c:pt idx="81">
                  <c:v>43973</c:v>
                </c:pt>
                <c:pt idx="82">
                  <c:v>43976</c:v>
                </c:pt>
                <c:pt idx="83">
                  <c:v>43977</c:v>
                </c:pt>
                <c:pt idx="84">
                  <c:v>43978</c:v>
                </c:pt>
                <c:pt idx="85">
                  <c:v>43979</c:v>
                </c:pt>
                <c:pt idx="86">
                  <c:v>43980</c:v>
                </c:pt>
                <c:pt idx="87">
                  <c:v>43981</c:v>
                </c:pt>
                <c:pt idx="88">
                  <c:v>43982</c:v>
                </c:pt>
                <c:pt idx="89">
                  <c:v>43983</c:v>
                </c:pt>
                <c:pt idx="90">
                  <c:v>43984</c:v>
                </c:pt>
                <c:pt idx="91">
                  <c:v>43985</c:v>
                </c:pt>
                <c:pt idx="92">
                  <c:v>43986</c:v>
                </c:pt>
                <c:pt idx="93">
                  <c:v>43987</c:v>
                </c:pt>
                <c:pt idx="94">
                  <c:v>43988</c:v>
                </c:pt>
                <c:pt idx="95">
                  <c:v>43989</c:v>
                </c:pt>
                <c:pt idx="96">
                  <c:v>43990</c:v>
                </c:pt>
                <c:pt idx="97">
                  <c:v>43991</c:v>
                </c:pt>
                <c:pt idx="98">
                  <c:v>43992</c:v>
                </c:pt>
                <c:pt idx="99">
                  <c:v>43993</c:v>
                </c:pt>
                <c:pt idx="100">
                  <c:v>43994</c:v>
                </c:pt>
                <c:pt idx="101">
                  <c:v>43995</c:v>
                </c:pt>
                <c:pt idx="102">
                  <c:v>43996</c:v>
                </c:pt>
                <c:pt idx="103">
                  <c:v>43997</c:v>
                </c:pt>
                <c:pt idx="104">
                  <c:v>43998</c:v>
                </c:pt>
                <c:pt idx="105">
                  <c:v>43999</c:v>
                </c:pt>
                <c:pt idx="106">
                  <c:v>44000</c:v>
                </c:pt>
                <c:pt idx="107">
                  <c:v>44001</c:v>
                </c:pt>
                <c:pt idx="108">
                  <c:v>44002</c:v>
                </c:pt>
                <c:pt idx="109">
                  <c:v>44003</c:v>
                </c:pt>
                <c:pt idx="110">
                  <c:v>44004</c:v>
                </c:pt>
                <c:pt idx="111">
                  <c:v>44005</c:v>
                </c:pt>
                <c:pt idx="112">
                  <c:v>44006</c:v>
                </c:pt>
                <c:pt idx="113">
                  <c:v>44007</c:v>
                </c:pt>
              </c:numCache>
            </c:numRef>
          </c:cat>
          <c:val>
            <c:numRef>
              <c:f>СТАТИСТИКА_PAST!$I$2:$I$47</c:f>
              <c:numCache>
                <c:formatCode>General</c:formatCode>
                <c:ptCount val="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1</c:v>
                </c:pt>
                <c:pt idx="40">
                  <c:v>5</c:v>
                </c:pt>
                <c:pt idx="41">
                  <c:v>4</c:v>
                </c:pt>
                <c:pt idx="42">
                  <c:v>0</c:v>
                </c:pt>
                <c:pt idx="43">
                  <c:v>0</c:v>
                </c:pt>
                <c:pt idx="44">
                  <c:v>0</c:v>
                </c:pt>
                <c:pt idx="45">
                  <c:v>0</c:v>
                </c:pt>
              </c:numCache>
            </c:numRef>
          </c:val>
          <c:smooth val="0"/>
          <c:extLst>
            <c:ext xmlns:c16="http://schemas.microsoft.com/office/drawing/2014/chart" uri="{C3380CC4-5D6E-409C-BE32-E72D297353CC}">
              <c16:uniqueId val="{00000000-B412-4D78-821E-E368B9A71463}"/>
            </c:ext>
          </c:extLst>
        </c:ser>
        <c:dLbls>
          <c:dLblPos val="ctr"/>
          <c:showLegendKey val="0"/>
          <c:showVal val="1"/>
          <c:showCatName val="0"/>
          <c:showSerName val="0"/>
          <c:showPercent val="0"/>
          <c:showBubbleSize val="0"/>
        </c:dLbls>
        <c:smooth val="0"/>
        <c:axId val="951217968"/>
        <c:axId val="951218800"/>
      </c:lineChart>
      <c:dateAx>
        <c:axId val="951217968"/>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dd/mm/yy"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951218800"/>
        <c:crosses val="autoZero"/>
        <c:auto val="1"/>
        <c:lblOffset val="100"/>
        <c:baseTimeUnit val="days"/>
      </c:dateAx>
      <c:valAx>
        <c:axId val="951218800"/>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crossAx val="9512179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ru-RU"/>
        </a:p>
      </c:txPr>
    </c:legend>
    <c:plotVisOnly val="1"/>
    <c:dispBlanksAs val="zero"/>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fmlaLink="$H$4" lockText="1"/>
</file>

<file path=xl/ctrlProps/ctrlProp2.xml><?xml version="1.0" encoding="utf-8"?>
<formControlPr xmlns="http://schemas.microsoft.com/office/spreadsheetml/2009/9/main" objectType="CheckBox" fmlaLink="$D$31" lockText="1"/>
</file>

<file path=xl/ctrlProps/ctrlProp3.xml><?xml version="1.0" encoding="utf-8"?>
<formControlPr xmlns="http://schemas.microsoft.com/office/spreadsheetml/2009/9/main" objectType="CheckBox" fmlaLink="$E$31" lockText="1"/>
</file>

<file path=xl/ctrlProps/ctrlProp4.xml><?xml version="1.0" encoding="utf-8"?>
<formControlPr xmlns="http://schemas.microsoft.com/office/spreadsheetml/2009/9/main" objectType="CheckBox" fmlaLink="$A$23"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fmlaLink="$K$10" lockText="1"/>
</file>

<file path=xl/ctrlProps/ctrlProp9.xml><?xml version="1.0" encoding="utf-8"?>
<formControlPr xmlns="http://schemas.microsoft.com/office/spreadsheetml/2009/9/main" objectType="CheckBox" fmlaLink="$K$9" lockText="1"/>
</file>

<file path=xl/ctrlProps/ctrlProp10.xml><?xml version="1.0" encoding="utf-8"?>
<formControlPr xmlns="http://schemas.microsoft.com/office/spreadsheetml/2009/9/main" objectType="CheckBox" fmlaLink="$K$14"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CheckBox" fmlaLink="$J$16" lockText="1"/>
</file>

<file path=xl/ctrlProps/ctrlProp13.xml><?xml version="1.0" encoding="utf-8"?>
<formControlPr xmlns="http://schemas.microsoft.com/office/spreadsheetml/2009/9/main" objectType="CheckBox" fmlaLink="$J$13" lockText="1"/>
</file>

<file path=xl/ctrlProps/ctrlProp14.xml><?xml version="1.0" encoding="utf-8"?>
<formControlPr xmlns="http://schemas.microsoft.com/office/spreadsheetml/2009/9/main" objectType="CheckBox" fmlaLink="$J$14" lockText="1"/>
</file>

<file path=xl/ctrlProps/ctrlProp15.xml><?xml version="1.0" encoding="utf-8"?>
<formControlPr xmlns="http://schemas.microsoft.com/office/spreadsheetml/2009/9/main" objectType="CheckBox" fmlaLink="$J$15" lockText="1"/>
</file>

<file path=xl/ctrlProps/ctrlProp16.xml><?xml version="1.0" encoding="utf-8"?>
<formControlPr xmlns="http://schemas.microsoft.com/office/spreadsheetml/2009/9/main" objectType="CheckBox" fmlaLink="$J$18" lockText="1"/>
</file>

<file path=xl/ctrlProps/ctrlProp17.xml><?xml version="1.0" encoding="utf-8"?>
<formControlPr xmlns="http://schemas.microsoft.com/office/spreadsheetml/2009/9/main" objectType="CheckBox" fmlaLink="$K$13"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fmlaLink="A19" lockText="1"/>
</file>

<file path=xl/ctrlProps/ctrlProp21.xml><?xml version="1.0" encoding="utf-8"?>
<formControlPr xmlns="http://schemas.microsoft.com/office/spreadsheetml/2009/9/main" objectType="CheckBox" fmlaLink="$Z$15" lockText="1"/>
</file>

<file path=xl/ctrlProps/ctrlProp22.xml><?xml version="1.0" encoding="utf-8"?>
<formControlPr xmlns="http://schemas.microsoft.com/office/spreadsheetml/2009/9/main" objectType="CheckBox" fmlaLink="$J$17"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6.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 Id="rId4"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1</xdr:row>
          <xdr:rowOff>0</xdr:rowOff>
        </xdr:from>
        <xdr:to>
          <xdr:col>11</xdr:col>
          <xdr:colOff>0</xdr:colOff>
          <xdr:row>2</xdr:row>
          <xdr:rowOff>0</xdr:rowOff>
        </xdr:to>
        <xdr:sp macro="" textlink="">
          <xdr:nvSpPr>
            <xdr:cNvPr id="12294" name="ComboBox1" hidden="1">
              <a:extLst>
                <a:ext uri="{63B3BB69-23CF-44E3-9099-C40C66FF867C}">
                  <a14:compatExt spid="_x0000_s122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2</xdr:row>
          <xdr:rowOff>0</xdr:rowOff>
        </xdr:from>
        <xdr:to>
          <xdr:col>11</xdr:col>
          <xdr:colOff>0</xdr:colOff>
          <xdr:row>3</xdr:row>
          <xdr:rowOff>0</xdr:rowOff>
        </xdr:to>
        <xdr:sp macro="" textlink="">
          <xdr:nvSpPr>
            <xdr:cNvPr id="12295" name="ComboBox2" hidden="1">
              <a:extLst>
                <a:ext uri="{63B3BB69-23CF-44E3-9099-C40C66FF867C}">
                  <a14:compatExt spid="_x0000_s122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0</xdr:colOff>
          <xdr:row>4</xdr:row>
          <xdr:rowOff>0</xdr:rowOff>
        </xdr:to>
        <xdr:sp macro="" textlink="">
          <xdr:nvSpPr>
            <xdr:cNvPr id="12296" name="ComboBox3" hidden="1">
              <a:extLst>
                <a:ext uri="{63B3BB69-23CF-44E3-9099-C40C66FF867C}">
                  <a14:compatExt spid="_x0000_s122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11</xdr:col>
          <xdr:colOff>0</xdr:colOff>
          <xdr:row>5</xdr:row>
          <xdr:rowOff>0</xdr:rowOff>
        </xdr:to>
        <xdr:sp macro="" textlink="">
          <xdr:nvSpPr>
            <xdr:cNvPr id="12297" name="ComboBox4" hidden="1">
              <a:extLst>
                <a:ext uri="{63B3BB69-23CF-44E3-9099-C40C66FF867C}">
                  <a14:compatExt spid="_x0000_s12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5</xdr:row>
          <xdr:rowOff>0</xdr:rowOff>
        </xdr:from>
        <xdr:to>
          <xdr:col>11</xdr:col>
          <xdr:colOff>0</xdr:colOff>
          <xdr:row>6</xdr:row>
          <xdr:rowOff>0</xdr:rowOff>
        </xdr:to>
        <xdr:sp macro="" textlink="">
          <xdr:nvSpPr>
            <xdr:cNvPr id="12298" name="ComboBox5" hidden="1">
              <a:extLst>
                <a:ext uri="{63B3BB69-23CF-44E3-9099-C40C66FF867C}">
                  <a14:compatExt spid="_x0000_s12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6</xdr:row>
          <xdr:rowOff>0</xdr:rowOff>
        </xdr:from>
        <xdr:to>
          <xdr:col>11</xdr:col>
          <xdr:colOff>0</xdr:colOff>
          <xdr:row>7</xdr:row>
          <xdr:rowOff>0</xdr:rowOff>
        </xdr:to>
        <xdr:sp macro="" textlink="">
          <xdr:nvSpPr>
            <xdr:cNvPr id="12299" name="ComboBox6" hidden="1">
              <a:extLst>
                <a:ext uri="{63B3BB69-23CF-44E3-9099-C40C66FF867C}">
                  <a14:compatExt spid="_x0000_s12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7</xdr:row>
          <xdr:rowOff>0</xdr:rowOff>
        </xdr:from>
        <xdr:to>
          <xdr:col>11</xdr:col>
          <xdr:colOff>0</xdr:colOff>
          <xdr:row>8</xdr:row>
          <xdr:rowOff>0</xdr:rowOff>
        </xdr:to>
        <xdr:sp macro="" textlink="">
          <xdr:nvSpPr>
            <xdr:cNvPr id="12300" name="ComboBox7" hidden="1">
              <a:extLst>
                <a:ext uri="{63B3BB69-23CF-44E3-9099-C40C66FF867C}">
                  <a14:compatExt spid="_x0000_s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11</xdr:col>
          <xdr:colOff>0</xdr:colOff>
          <xdr:row>9</xdr:row>
          <xdr:rowOff>0</xdr:rowOff>
        </xdr:to>
        <xdr:sp macro="" textlink="">
          <xdr:nvSpPr>
            <xdr:cNvPr id="12301" name="ComboBox8" hidden="1">
              <a:extLst>
                <a:ext uri="{63B3BB69-23CF-44E3-9099-C40C66FF867C}">
                  <a14:compatExt spid="_x0000_s12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9</xdr:row>
          <xdr:rowOff>0</xdr:rowOff>
        </xdr:from>
        <xdr:to>
          <xdr:col>11</xdr:col>
          <xdr:colOff>0</xdr:colOff>
          <xdr:row>10</xdr:row>
          <xdr:rowOff>0</xdr:rowOff>
        </xdr:to>
        <xdr:sp macro="" textlink="">
          <xdr:nvSpPr>
            <xdr:cNvPr id="12302" name="ComboBox9" hidden="1">
              <a:extLst>
                <a:ext uri="{63B3BB69-23CF-44E3-9099-C40C66FF867C}">
                  <a14:compatExt spid="_x0000_s123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10</xdr:row>
          <xdr:rowOff>0</xdr:rowOff>
        </xdr:from>
        <xdr:to>
          <xdr:col>11</xdr:col>
          <xdr:colOff>0</xdr:colOff>
          <xdr:row>11</xdr:row>
          <xdr:rowOff>0</xdr:rowOff>
        </xdr:to>
        <xdr:sp macro="" textlink="">
          <xdr:nvSpPr>
            <xdr:cNvPr id="12303" name="ComboBox10" hidden="1">
              <a:extLst>
                <a:ext uri="{63B3BB69-23CF-44E3-9099-C40C66FF867C}">
                  <a14:compatExt spid="_x0000_s12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0</xdr:rowOff>
        </xdr:from>
        <xdr:to>
          <xdr:col>13</xdr:col>
          <xdr:colOff>0</xdr:colOff>
          <xdr:row>2</xdr:row>
          <xdr:rowOff>0</xdr:rowOff>
        </xdr:to>
        <xdr:sp macro="" textlink="">
          <xdr:nvSpPr>
            <xdr:cNvPr id="12304" name="ComboBox11" hidden="1">
              <a:extLst>
                <a:ext uri="{63B3BB69-23CF-44E3-9099-C40C66FF867C}">
                  <a14:compatExt spid="_x0000_s12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2</xdr:row>
          <xdr:rowOff>0</xdr:rowOff>
        </xdr:from>
        <xdr:to>
          <xdr:col>13</xdr:col>
          <xdr:colOff>0</xdr:colOff>
          <xdr:row>3</xdr:row>
          <xdr:rowOff>0</xdr:rowOff>
        </xdr:to>
        <xdr:sp macro="" textlink="">
          <xdr:nvSpPr>
            <xdr:cNvPr id="12305" name="ComboBox12" hidden="1">
              <a:extLst>
                <a:ext uri="{63B3BB69-23CF-44E3-9099-C40C66FF867C}">
                  <a14:compatExt spid="_x0000_s12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0</xdr:rowOff>
        </xdr:from>
        <xdr:to>
          <xdr:col>13</xdr:col>
          <xdr:colOff>0</xdr:colOff>
          <xdr:row>4</xdr:row>
          <xdr:rowOff>0</xdr:rowOff>
        </xdr:to>
        <xdr:sp macro="" textlink="">
          <xdr:nvSpPr>
            <xdr:cNvPr id="12314" name="ComboBox13" hidden="1">
              <a:extLst>
                <a:ext uri="{63B3BB69-23CF-44E3-9099-C40C66FF867C}">
                  <a14:compatExt spid="_x0000_s12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xdr:row>
          <xdr:rowOff>0</xdr:rowOff>
        </xdr:from>
        <xdr:to>
          <xdr:col>13</xdr:col>
          <xdr:colOff>0</xdr:colOff>
          <xdr:row>5</xdr:row>
          <xdr:rowOff>0</xdr:rowOff>
        </xdr:to>
        <xdr:sp macro="" textlink="">
          <xdr:nvSpPr>
            <xdr:cNvPr id="12315" name="ComboBox14" hidden="1">
              <a:extLst>
                <a:ext uri="{63B3BB69-23CF-44E3-9099-C40C66FF867C}">
                  <a14:compatExt spid="_x0000_s12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5</xdr:row>
          <xdr:rowOff>0</xdr:rowOff>
        </xdr:from>
        <xdr:to>
          <xdr:col>13</xdr:col>
          <xdr:colOff>0</xdr:colOff>
          <xdr:row>6</xdr:row>
          <xdr:rowOff>0</xdr:rowOff>
        </xdr:to>
        <xdr:sp macro="" textlink="">
          <xdr:nvSpPr>
            <xdr:cNvPr id="12317" name="ComboBox15" hidden="1">
              <a:extLst>
                <a:ext uri="{63B3BB69-23CF-44E3-9099-C40C66FF867C}">
                  <a14:compatExt spid="_x0000_s123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xdr:row>
          <xdr:rowOff>0</xdr:rowOff>
        </xdr:from>
        <xdr:to>
          <xdr:col>13</xdr:col>
          <xdr:colOff>0</xdr:colOff>
          <xdr:row>7</xdr:row>
          <xdr:rowOff>0</xdr:rowOff>
        </xdr:to>
        <xdr:sp macro="" textlink="">
          <xdr:nvSpPr>
            <xdr:cNvPr id="12318" name="ComboBox16" hidden="1">
              <a:extLst>
                <a:ext uri="{63B3BB69-23CF-44E3-9099-C40C66FF867C}">
                  <a14:compatExt spid="_x0000_s123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xdr:row>
          <xdr:rowOff>0</xdr:rowOff>
        </xdr:from>
        <xdr:to>
          <xdr:col>13</xdr:col>
          <xdr:colOff>0</xdr:colOff>
          <xdr:row>8</xdr:row>
          <xdr:rowOff>0</xdr:rowOff>
        </xdr:to>
        <xdr:sp macro="" textlink="">
          <xdr:nvSpPr>
            <xdr:cNvPr id="12319" name="ComboBox17" hidden="1">
              <a:extLst>
                <a:ext uri="{63B3BB69-23CF-44E3-9099-C40C66FF867C}">
                  <a14:compatExt spid="_x0000_s123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xdr:row>
          <xdr:rowOff>0</xdr:rowOff>
        </xdr:from>
        <xdr:to>
          <xdr:col>13</xdr:col>
          <xdr:colOff>0</xdr:colOff>
          <xdr:row>9</xdr:row>
          <xdr:rowOff>0</xdr:rowOff>
        </xdr:to>
        <xdr:sp macro="" textlink="">
          <xdr:nvSpPr>
            <xdr:cNvPr id="12320" name="ComboBox18" hidden="1">
              <a:extLst>
                <a:ext uri="{63B3BB69-23CF-44E3-9099-C40C66FF867C}">
                  <a14:compatExt spid="_x0000_s12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9</xdr:row>
          <xdr:rowOff>0</xdr:rowOff>
        </xdr:from>
        <xdr:to>
          <xdr:col>13</xdr:col>
          <xdr:colOff>0</xdr:colOff>
          <xdr:row>10</xdr:row>
          <xdr:rowOff>0</xdr:rowOff>
        </xdr:to>
        <xdr:sp macro="" textlink="">
          <xdr:nvSpPr>
            <xdr:cNvPr id="12321" name="ComboBox19" hidden="1">
              <a:extLst>
                <a:ext uri="{63B3BB69-23CF-44E3-9099-C40C66FF867C}">
                  <a14:compatExt spid="_x0000_s12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10</xdr:row>
          <xdr:rowOff>0</xdr:rowOff>
        </xdr:from>
        <xdr:to>
          <xdr:col>13</xdr:col>
          <xdr:colOff>0</xdr:colOff>
          <xdr:row>11</xdr:row>
          <xdr:rowOff>0</xdr:rowOff>
        </xdr:to>
        <xdr:sp macro="" textlink="">
          <xdr:nvSpPr>
            <xdr:cNvPr id="12322" name="ComboBox20" hidden="1">
              <a:extLst>
                <a:ext uri="{63B3BB69-23CF-44E3-9099-C40C66FF867C}">
                  <a14:compatExt spid="_x0000_s12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0</xdr:row>
          <xdr:rowOff>0</xdr:rowOff>
        </xdr:from>
        <xdr:to>
          <xdr:col>7</xdr:col>
          <xdr:colOff>0</xdr:colOff>
          <xdr:row>2</xdr:row>
          <xdr:rowOff>0</xdr:rowOff>
        </xdr:to>
        <xdr:sp macro="" textlink="">
          <xdr:nvSpPr>
            <xdr:cNvPr id="12323" name="Button_Delete" hidden="1">
              <a:extLst>
                <a:ext uri="{63B3BB69-23CF-44E3-9099-C40C66FF867C}">
                  <a14:compatExt spid="_x0000_s1232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0</xdr:colOff>
          <xdr:row>4</xdr:row>
          <xdr:rowOff>0</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Европротокол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0</xdr:rowOff>
        </xdr:from>
        <xdr:to>
          <xdr:col>3</xdr:col>
          <xdr:colOff>0</xdr:colOff>
          <xdr:row>12</xdr:row>
          <xdr:rowOff>0</xdr:rowOff>
        </xdr:to>
        <xdr:sp macro="" textlink="">
          <xdr:nvSpPr>
            <xdr:cNvPr id="12327" name="ComboBox21" hidden="1">
              <a:extLst>
                <a:ext uri="{63B3BB69-23CF-44E3-9099-C40C66FF867C}">
                  <a14:compatExt spid="_x0000_s12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12328" name="ComboBox22" hidden="1">
              <a:extLst>
                <a:ext uri="{63B3BB69-23CF-44E3-9099-C40C66FF867C}">
                  <a14:compatExt spid="_x0000_s12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12329" name="ComboBox23" hidden="1">
              <a:extLst>
                <a:ext uri="{63B3BB69-23CF-44E3-9099-C40C66FF867C}">
                  <a14:compatExt spid="_x0000_s12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12330" name="ComboBox24" hidden="1">
              <a:extLst>
                <a:ext uri="{63B3BB69-23CF-44E3-9099-C40C66FF867C}">
                  <a14:compatExt spid="_x0000_s123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6350</xdr:rowOff>
        </xdr:to>
        <xdr:sp macro="" textlink="">
          <xdr:nvSpPr>
            <xdr:cNvPr id="12331" name="ComboBox25" hidden="1">
              <a:extLst>
                <a:ext uri="{63B3BB69-23CF-44E3-9099-C40C66FF867C}">
                  <a14:compatExt spid="_x0000_s12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6350</xdr:rowOff>
        </xdr:to>
        <xdr:sp macro="" textlink="">
          <xdr:nvSpPr>
            <xdr:cNvPr id="12332" name="ComboBox26" hidden="1">
              <a:extLst>
                <a:ext uri="{63B3BB69-23CF-44E3-9099-C40C66FF867C}">
                  <a14:compatExt spid="_x0000_s123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6350</xdr:rowOff>
        </xdr:to>
        <xdr:sp macro="" textlink="">
          <xdr:nvSpPr>
            <xdr:cNvPr id="12333" name="ComboBox27" hidden="1">
              <a:extLst>
                <a:ext uri="{63B3BB69-23CF-44E3-9099-C40C66FF867C}">
                  <a14:compatExt spid="_x0000_s12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6350</xdr:rowOff>
        </xdr:to>
        <xdr:sp macro="" textlink="">
          <xdr:nvSpPr>
            <xdr:cNvPr id="12334" name="ComboBox28" hidden="1">
              <a:extLst>
                <a:ext uri="{63B3BB69-23CF-44E3-9099-C40C66FF867C}">
                  <a14:compatExt spid="_x0000_s123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0</xdr:colOff>
          <xdr:row>20</xdr:row>
          <xdr:rowOff>6350</xdr:rowOff>
        </xdr:to>
        <xdr:sp macro="" textlink="">
          <xdr:nvSpPr>
            <xdr:cNvPr id="12335" name="ComboBox29" hidden="1">
              <a:extLst>
                <a:ext uri="{63B3BB69-23CF-44E3-9099-C40C66FF867C}">
                  <a14:compatExt spid="_x0000_s123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0</xdr:colOff>
          <xdr:row>21</xdr:row>
          <xdr:rowOff>6350</xdr:rowOff>
        </xdr:to>
        <xdr:sp macro="" textlink="">
          <xdr:nvSpPr>
            <xdr:cNvPr id="12336" name="ComboBox30" hidden="1">
              <a:extLst>
                <a:ext uri="{63B3BB69-23CF-44E3-9099-C40C66FF867C}">
                  <a14:compatExt spid="_x0000_s123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184150</xdr:rowOff>
        </xdr:to>
        <xdr:sp macro="" textlink="">
          <xdr:nvSpPr>
            <xdr:cNvPr id="12337" name="Check Box 49" hidden="1">
              <a:extLst>
                <a:ext uri="{63B3BB69-23CF-44E3-9099-C40C66FF867C}">
                  <a14:compatExt spid="_x0000_s12337"/>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Вина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965200</xdr:colOff>
          <xdr:row>30</xdr:row>
          <xdr:rowOff>0</xdr:rowOff>
        </xdr:from>
        <xdr:to>
          <xdr:col>5</xdr:col>
          <xdr:colOff>0</xdr:colOff>
          <xdr:row>30</xdr:row>
          <xdr:rowOff>184150</xdr:rowOff>
        </xdr:to>
        <xdr:sp macro="" textlink="">
          <xdr:nvSpPr>
            <xdr:cNvPr id="12338" name="Check Box 50" hidden="1">
              <a:extLst>
                <a:ext uri="{63B3BB69-23CF-44E3-9099-C40C66FF867C}">
                  <a14:compatExt spid="_x0000_s12338"/>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НДФЛ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0</xdr:colOff>
          <xdr:row>32</xdr:row>
          <xdr:rowOff>184150</xdr:rowOff>
        </xdr:to>
        <xdr:sp macro="" textlink="">
          <xdr:nvSpPr>
            <xdr:cNvPr id="12339" name="ComboBox31" hidden="1">
              <a:extLst>
                <a:ext uri="{63B3BB69-23CF-44E3-9099-C40C66FF867C}">
                  <a14:compatExt spid="_x0000_s12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184150</xdr:rowOff>
        </xdr:from>
        <xdr:to>
          <xdr:col>1</xdr:col>
          <xdr:colOff>0</xdr:colOff>
          <xdr:row>23</xdr:row>
          <xdr:rowOff>0</xdr:rowOff>
        </xdr:to>
        <xdr:sp macro="" textlink="">
          <xdr:nvSpPr>
            <xdr:cNvPr id="12340" name="Check Box 52" hidden="1">
              <a:extLst>
                <a:ext uri="{63B3BB69-23CF-44E3-9099-C40C66FF867C}">
                  <a14:compatExt spid="_x0000_s12340"/>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Лично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4</xdr:row>
          <xdr:rowOff>0</xdr:rowOff>
        </xdr:to>
        <xdr:sp macro="" textlink="">
          <xdr:nvSpPr>
            <xdr:cNvPr id="12341" name="NewFilledListDates" hidden="1">
              <a:extLst>
                <a:ext uri="{63B3BB69-23CF-44E3-9099-C40C66FF867C}">
                  <a14:compatExt spid="_x0000_s123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12344" name="DescriptionList" hidden="1">
              <a:extLst>
                <a:ext uri="{63B3BB69-23CF-44E3-9099-C40C66FF867C}">
                  <a14:compatExt spid="_x0000_s123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4</xdr:row>
          <xdr:rowOff>0</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ru-RU" sz="2200" b="1" i="0" u="none" strike="noStrike" baseline="0">
                  <a:solidFill>
                    <a:srgbClr val="000000"/>
                  </a:solidFill>
                  <a:latin typeface="Calibri"/>
                  <a:cs typeface="Calibri"/>
                </a:rPr>
                <a:t>Решение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xdr:row>
          <xdr:rowOff>0</xdr:rowOff>
        </xdr:from>
        <xdr:to>
          <xdr:col>12</xdr:col>
          <xdr:colOff>0</xdr:colOff>
          <xdr:row>6</xdr:row>
          <xdr:rowOff>0</xdr:rowOff>
        </xdr:to>
        <xdr:sp macro="" textlink="">
          <xdr:nvSpPr>
            <xdr:cNvPr id="4105" name="Button 9" hidden="1">
              <a:extLst>
                <a:ext uri="{63B3BB69-23CF-44E3-9099-C40C66FF867C}">
                  <a14:compatExt spid="_x0000_s4105"/>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ru-RU" sz="1600" b="1"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2</xdr:row>
          <xdr:rowOff>0</xdr:rowOff>
        </xdr:to>
        <xdr:sp macro="" textlink="">
          <xdr:nvSpPr>
            <xdr:cNvPr id="4106" name="Button 10" hidden="1">
              <a:extLst>
                <a:ext uri="{63B3BB69-23CF-44E3-9099-C40C66FF867C}">
                  <a14:compatExt spid="_x0000_s4106"/>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ru-RU" sz="1600" b="1" i="0" u="none" strike="noStrike" baseline="0">
                  <a:solidFill>
                    <a:srgbClr val="000000"/>
                  </a:solidFill>
                  <a:latin typeface="Calibri"/>
                  <a:cs typeface="Calibri"/>
                </a:rPr>
                <a:t>NEW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9</xdr:row>
          <xdr:rowOff>0</xdr:rowOff>
        </xdr:from>
        <xdr:to>
          <xdr:col>11</xdr:col>
          <xdr:colOff>0</xdr:colOff>
          <xdr:row>10</xdr:row>
          <xdr:rowOff>0</xdr:rowOff>
        </xdr:to>
        <xdr:sp macro="" textlink="">
          <xdr:nvSpPr>
            <xdr:cNvPr id="4126" name="CheckBoxOchnoe" descr="333 ГК РФ" hidden="1">
              <a:extLst>
                <a:ext uri="{63B3BB69-23CF-44E3-9099-C40C66FF867C}">
                  <a14:compatExt spid="_x0000_s4126"/>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12700">
                  <a:solidFill>
                    <a:srgbClr val="FF6600" mc:Ignorable="a14" a14:legacySpreadsheetColorIndex="53"/>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Очное</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1181100</xdr:colOff>
          <xdr:row>8</xdr:row>
          <xdr:rowOff>0</xdr:rowOff>
        </xdr:from>
        <xdr:to>
          <xdr:col>11</xdr:col>
          <xdr:colOff>0</xdr:colOff>
          <xdr:row>9</xdr:row>
          <xdr:rowOff>0</xdr:rowOff>
        </xdr:to>
        <xdr:sp macro="" textlink="">
          <xdr:nvSpPr>
            <xdr:cNvPr id="4127" name="CheckBox333" descr="333 ГК РФ" hidden="1">
              <a:extLst>
                <a:ext uri="{63B3BB69-23CF-44E3-9099-C40C66FF867C}">
                  <a14:compatExt spid="_x0000_s4127"/>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12700">
                  <a:solidFill>
                    <a:srgbClr val="008000" mc:Ignorable="a14" a14:legacySpreadsheetColorIndex="17"/>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333 ГК РФ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13</xdr:row>
          <xdr:rowOff>0</xdr:rowOff>
        </xdr:from>
        <xdr:to>
          <xdr:col>11</xdr:col>
          <xdr:colOff>0</xdr:colOff>
          <xdr:row>14</xdr:row>
          <xdr:rowOff>0</xdr:rowOff>
        </xdr:to>
        <xdr:sp macro="" textlink="">
          <xdr:nvSpPr>
            <xdr:cNvPr id="4184" name="Check Box 88" hidden="1">
              <a:extLst>
                <a:ext uri="{63B3BB69-23CF-44E3-9099-C40C66FF867C}">
                  <a14:compatExt spid="_x0000_s4184"/>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3175">
                  <a:solidFill>
                    <a:srgbClr val="339966" mc:Ignorable="a14" a14:legacySpreadsheetColorIndex="57"/>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165.1 ГК РФ</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4</xdr:row>
          <xdr:rowOff>0</xdr:rowOff>
        </xdr:to>
        <xdr:sp macro="" textlink="">
          <xdr:nvSpPr>
            <xdr:cNvPr id="4317" name="Button 221" hidden="1">
              <a:extLst>
                <a:ext uri="{63B3BB69-23CF-44E3-9099-C40C66FF867C}">
                  <a14:compatExt spid="_x0000_s4317"/>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ru-RU" sz="1600" b="1" i="0" u="none" strike="noStrike" baseline="0">
                  <a:solidFill>
                    <a:srgbClr val="000000"/>
                  </a:solidFill>
                  <a:latin typeface="Calibri"/>
                  <a:cs typeface="Calibri"/>
                </a:rPr>
                <a:t>НТЭ ФУ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10</xdr:col>
          <xdr:colOff>0</xdr:colOff>
          <xdr:row>16</xdr:row>
          <xdr:rowOff>0</xdr:rowOff>
        </xdr:to>
        <xdr:sp macro="" textlink="">
          <xdr:nvSpPr>
            <xdr:cNvPr id="4319" name="Check Box 223" hidden="1">
              <a:extLst>
                <a:ext uri="{63B3BB69-23CF-44E3-9099-C40C66FF867C}">
                  <a14:compatExt spid="_x0000_s4319"/>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Вина 50%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209550</xdr:rowOff>
        </xdr:from>
        <xdr:to>
          <xdr:col>10</xdr:col>
          <xdr:colOff>0</xdr:colOff>
          <xdr:row>13</xdr:row>
          <xdr:rowOff>0</xdr:rowOff>
        </xdr:to>
        <xdr:sp macro="" textlink="">
          <xdr:nvSpPr>
            <xdr:cNvPr id="4438" name="Check Box 342" hidden="1">
              <a:extLst>
                <a:ext uri="{63B3BB69-23CF-44E3-9099-C40C66FF867C}">
                  <a14:compatExt spid="_x0000_s4438"/>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193 ГК РФ</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209550</xdr:rowOff>
        </xdr:from>
        <xdr:to>
          <xdr:col>10</xdr:col>
          <xdr:colOff>0</xdr:colOff>
          <xdr:row>14</xdr:row>
          <xdr:rowOff>0</xdr:rowOff>
        </xdr:to>
        <xdr:sp macro="" textlink="">
          <xdr:nvSpPr>
            <xdr:cNvPr id="4439" name="Check Box 343" hidden="1">
              <a:extLst>
                <a:ext uri="{63B3BB69-23CF-44E3-9099-C40C66FF867C}">
                  <a14:compatExt spid="_x0000_s4439"/>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Неустойка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209550</xdr:rowOff>
        </xdr:from>
        <xdr:to>
          <xdr:col>10</xdr:col>
          <xdr:colOff>0</xdr:colOff>
          <xdr:row>15</xdr:row>
          <xdr:rowOff>0</xdr:rowOff>
        </xdr:to>
        <xdr:sp macro="" textlink="">
          <xdr:nvSpPr>
            <xdr:cNvPr id="4453" name="Check Box 357" hidden="1">
              <a:extLst>
                <a:ext uri="{63B3BB69-23CF-44E3-9099-C40C66FF867C}">
                  <a14:compatExt spid="_x0000_s4453"/>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Неустойка отл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16</xdr:row>
          <xdr:rowOff>209550</xdr:rowOff>
        </xdr:from>
        <xdr:to>
          <xdr:col>10</xdr:col>
          <xdr:colOff>0</xdr:colOff>
          <xdr:row>18</xdr:row>
          <xdr:rowOff>0</xdr:rowOff>
        </xdr:to>
        <xdr:sp macro="" textlink="">
          <xdr:nvSpPr>
            <xdr:cNvPr id="4581" name="Check Box 485" hidden="1">
              <a:extLst>
                <a:ext uri="{63B3BB69-23CF-44E3-9099-C40C66FF867C}">
                  <a14:compatExt spid="_x0000_s4581"/>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Неустойка после суда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12</xdr:col>
          <xdr:colOff>0</xdr:colOff>
          <xdr:row>16</xdr:row>
          <xdr:rowOff>0</xdr:rowOff>
        </xdr:to>
        <xdr:sp macro="" textlink="">
          <xdr:nvSpPr>
            <xdr:cNvPr id="4592" name="ComboBox3" hidden="1">
              <a:extLst>
                <a:ext uri="{63B3BB69-23CF-44E3-9099-C40C66FF867C}">
                  <a14:compatExt spid="_x0000_s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209550</xdr:rowOff>
        </xdr:from>
        <xdr:to>
          <xdr:col>4</xdr:col>
          <xdr:colOff>0</xdr:colOff>
          <xdr:row>11</xdr:row>
          <xdr:rowOff>0</xdr:rowOff>
        </xdr:to>
        <xdr:sp macro="" textlink="">
          <xdr:nvSpPr>
            <xdr:cNvPr id="4594" name="ComboBox1" hidden="1">
              <a:extLst>
                <a:ext uri="{63B3BB69-23CF-44E3-9099-C40C66FF867C}">
                  <a14:compatExt spid="_x0000_s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222250</xdr:rowOff>
        </xdr:from>
        <xdr:to>
          <xdr:col>4</xdr:col>
          <xdr:colOff>0</xdr:colOff>
          <xdr:row>15</xdr:row>
          <xdr:rowOff>0</xdr:rowOff>
        </xdr:to>
        <xdr:sp macro="" textlink="">
          <xdr:nvSpPr>
            <xdr:cNvPr id="4595" name="ComboBox2" hidden="1">
              <a:extLst>
                <a:ext uri="{63B3BB69-23CF-44E3-9099-C40C66FF867C}">
                  <a14:compatExt spid="_x0000_s45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203200</xdr:rowOff>
        </xdr:from>
        <xdr:to>
          <xdr:col>11</xdr:col>
          <xdr:colOff>0</xdr:colOff>
          <xdr:row>13</xdr:row>
          <xdr:rowOff>0</xdr:rowOff>
        </xdr:to>
        <xdr:sp macro="" textlink="">
          <xdr:nvSpPr>
            <xdr:cNvPr id="4614" name="Check Box 518" hidden="1">
              <a:extLst>
                <a:ext uri="{63B3BB69-23CF-44E3-9099-C40C66FF867C}">
                  <a14:compatExt spid="_x0000_s4614"/>
                </a:ext>
              </a:extLst>
            </xdr:cNvPr>
            <xdr:cNvSpPr/>
          </xdr:nvSpPr>
          <xdr:spPr bwMode="auto">
            <a:xfrm>
              <a:off x="0" y="0"/>
              <a:ext cx="0" cy="0"/>
            </a:xfrm>
            <a:prstGeom prst="rect">
              <a:avLst/>
            </a:prstGeom>
            <a:solidFill>
              <a:srgbClr val="99CC00" mc:Ignorable="a14" a14:legacySpreadsheetColorIndex="50"/>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Производные расходы</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0</xdr:rowOff>
        </xdr:from>
        <xdr:to>
          <xdr:col>11</xdr:col>
          <xdr:colOff>0</xdr:colOff>
          <xdr:row>7</xdr:row>
          <xdr:rowOff>0</xdr:rowOff>
        </xdr:to>
        <xdr:sp macro="" textlink="">
          <xdr:nvSpPr>
            <xdr:cNvPr id="4622" name="Button 526" hidden="1">
              <a:extLst>
                <a:ext uri="{63B3BB69-23CF-44E3-9099-C40C66FF867C}">
                  <a14:compatExt spid="_x0000_s4622"/>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ru-RU" sz="1600" b="1" i="0" u="none" strike="noStrike" baseline="0">
                  <a:solidFill>
                    <a:srgbClr val="000000"/>
                  </a:solidFill>
                  <a:latin typeface="Calibri"/>
                  <a:cs typeface="Calibri"/>
                </a:rPr>
                <a:t>Заполнить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4641" name="Button 545" hidden="1">
              <a:extLst>
                <a:ext uri="{63B3BB69-23CF-44E3-9099-C40C66FF867C}">
                  <a14:compatExt spid="_x0000_s46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200" b="1" i="0" u="none" strike="noStrike" baseline="0">
                  <a:solidFill>
                    <a:srgbClr val="000000"/>
                  </a:solidFill>
                  <a:latin typeface="Calibri"/>
                  <a:cs typeface="Calibri"/>
                </a:rPr>
                <a:t>«BR»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203200</xdr:rowOff>
        </xdr:from>
        <xdr:to>
          <xdr:col>1</xdr:col>
          <xdr:colOff>0</xdr:colOff>
          <xdr:row>19</xdr:row>
          <xdr:rowOff>0</xdr:rowOff>
        </xdr:to>
        <xdr:sp macro="" textlink="">
          <xdr:nvSpPr>
            <xdr:cNvPr id="4643" name="Check Box 547" hidden="1">
              <a:extLst>
                <a:ext uri="{63B3BB69-23CF-44E3-9099-C40C66FF867C}">
                  <a14:compatExt spid="_x0000_s4643"/>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Европротокол</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8</xdr:row>
          <xdr:rowOff>0</xdr:rowOff>
        </xdr:from>
        <xdr:to>
          <xdr:col>12</xdr:col>
          <xdr:colOff>0</xdr:colOff>
          <xdr:row>9</xdr:row>
          <xdr:rowOff>6350</xdr:rowOff>
        </xdr:to>
        <xdr:sp macro="" textlink="">
          <xdr:nvSpPr>
            <xdr:cNvPr id="4691" name="ComboBox4" hidden="1">
              <a:extLst>
                <a:ext uri="{63B3BB69-23CF-44E3-9099-C40C66FF867C}">
                  <a14:compatExt spid="_x0000_s46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0</xdr:colOff>
          <xdr:row>14</xdr:row>
          <xdr:rowOff>0</xdr:rowOff>
        </xdr:from>
        <xdr:to>
          <xdr:col>26</xdr:col>
          <xdr:colOff>0</xdr:colOff>
          <xdr:row>16</xdr:row>
          <xdr:rowOff>0</xdr:rowOff>
        </xdr:to>
        <xdr:sp macro="" textlink="">
          <xdr:nvSpPr>
            <xdr:cNvPr id="4700" name="Check Box 604" hidden="1">
              <a:extLst>
                <a:ext uri="{63B3BB69-23CF-44E3-9099-C40C66FF867C}">
                  <a14:compatExt spid="_x0000_s4700"/>
                </a:ext>
              </a:extLst>
            </xdr:cNvPr>
            <xdr:cNvSpPr/>
          </xdr:nvSpPr>
          <xdr:spPr bwMode="auto">
            <a:xfrm>
              <a:off x="0" y="0"/>
              <a:ext cx="0" cy="0"/>
            </a:xfrm>
            <a:prstGeom prst="rect">
              <a:avLst/>
            </a:prstGeom>
            <a:solidFill>
              <a:srgbClr val="FFCC00" mc:Ignorable="a14" a14:legacySpreadsheetColorIndex="51"/>
            </a:solidFill>
            <a:ln w="15875">
              <a:solidFill>
                <a:srgbClr val="000000" mc:Ignorable="a14" a14:legacySpreadsheetColorIndex="64"/>
              </a:solidFill>
              <a:miter lim="800000"/>
              <a:headEnd/>
              <a:tailEnd/>
            </a:ln>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CHECK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209550</xdr:rowOff>
        </xdr:from>
        <xdr:to>
          <xdr:col>10</xdr:col>
          <xdr:colOff>0</xdr:colOff>
          <xdr:row>17</xdr:row>
          <xdr:rowOff>0</xdr:rowOff>
        </xdr:to>
        <xdr:sp macro="" textlink="">
          <xdr:nvSpPr>
            <xdr:cNvPr id="4706" name="Check Box 610" hidden="1">
              <a:extLst>
                <a:ext uri="{63B3BB69-23CF-44E3-9099-C40C66FF867C}">
                  <a14:compatExt spid="_x0000_s4706"/>
                </a:ext>
              </a:extLst>
            </xdr:cNvPr>
            <xdr:cNvSpPr/>
          </xdr:nvSpPr>
          <xdr:spPr bwMode="auto">
            <a:xfrm>
              <a:off x="0" y="0"/>
              <a:ext cx="0" cy="0"/>
            </a:xfrm>
            <a:prstGeom prst="rect">
              <a:avLst/>
            </a:prstGeom>
            <a:solidFill>
              <a:srgbClr val="FFCC00" mc:Ignorable="a14" a14:legacySpreadsheetColorIndex="5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ru-RU" sz="800" b="0" i="0" u="none" strike="noStrike" baseline="0">
                  <a:solidFill>
                    <a:srgbClr val="000000"/>
                  </a:solidFill>
                  <a:latin typeface="Segoe UI"/>
                  <a:cs typeface="Segoe UI"/>
                </a:rPr>
                <a:t>Фин санкция</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10</xdr:col>
          <xdr:colOff>0</xdr:colOff>
          <xdr:row>3</xdr:row>
          <xdr:rowOff>6350</xdr:rowOff>
        </xdr:to>
        <xdr:sp macro="" textlink="">
          <xdr:nvSpPr>
            <xdr:cNvPr id="4713" name="ComboBox5" hidden="1">
              <a:extLst>
                <a:ext uri="{63B3BB69-23CF-44E3-9099-C40C66FF867C}">
                  <a14:compatExt spid="_x0000_s4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600074</xdr:colOff>
      <xdr:row>2</xdr:row>
      <xdr:rowOff>190499</xdr:rowOff>
    </xdr:from>
    <xdr:to>
      <xdr:col>28</xdr:col>
      <xdr:colOff>371475</xdr:colOff>
      <xdr:row>19</xdr:row>
      <xdr:rowOff>9524</xdr:rowOff>
    </xdr:to>
    <xdr:graphicFrame macro="">
      <xdr:nvGraphicFramePr>
        <xdr:cNvPr id="4" name="Диаграмма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040;&#1056;&#1061;&#1048;&#1042;/&#1064;&#1040;&#1041;&#1051;&#1054;&#1053;_23.03.20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TAL"/>
      <sheetName val="DRAFT"/>
      <sheetName val="MOTIV"/>
      <sheetName val="ФО"/>
      <sheetName val="WORKSHEET"/>
      <sheetName val="DATES"/>
      <sheetName val="STATUS"/>
      <sheetName val="FILLING"/>
      <sheetName val="STATISTICS"/>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Set>
  </externalBook>
</externalLink>
</file>

<file path=xl/tables/table1.xml><?xml version="1.0" encoding="utf-8"?>
<table xmlns="http://schemas.openxmlformats.org/spreadsheetml/2006/main" id="2" name="Таблица2" displayName="Таблица2" ref="A1:Q2" insertRow="1" totalsRowShown="0" headerRowDxfId="319" dataDxfId="318">
  <tableColumns count="17">
    <tableColumn id="1" name="Decision" dataDxfId="317"/>
    <tableColumn id="2" name="Heading" dataDxfId="316"/>
    <tableColumn id="3" name="FU_Pos" dataDxfId="315"/>
    <tableColumn id="4" name="FU_Name" dataDxfId="314"/>
    <tableColumn id="5" name="ClaimAll" dataDxfId="313"/>
    <tableColumn id="6" name="Request" dataDxfId="312"/>
    <tableColumn id="7" name="DescriptionDtp" dataDxfId="311"/>
    <tableColumn id="8" name="Application1" dataDxfId="310"/>
    <tableColumn id="9" name="Application2" dataDxfId="309"/>
    <tableColumn id="10" name="Application3" dataDxfId="308"/>
    <tableColumn id="11" name="Application4" dataDxfId="307"/>
    <tableColumn id="12" name="Application5" dataDxfId="306"/>
    <tableColumn id="13" name="Application6" dataDxfId="305"/>
    <tableColumn id="14" name="Motivation" dataDxfId="304"/>
    <tableColumn id="15" name="Resulative" dataDxfId="303"/>
    <tableColumn id="16" name="NTE_FU_1" dataDxfId="302"/>
    <tableColumn id="17" name="NTE_FU_2" dataDxfId="301"/>
  </tableColumns>
  <tableStyleInfo name="TableStyleLight19" showFirstColumn="0" showLastColumn="0" showRowStripes="1" showColumnStripes="0"/>
</table>
</file>

<file path=xl/tables/table2.xml><?xml version="1.0" encoding="utf-8"?>
<table xmlns="http://schemas.openxmlformats.org/spreadsheetml/2006/main" id="1" name="tblData" displayName="tblData" ref="A1:G301" totalsRowShown="0" headerRowDxfId="300">
  <tableColumns count="7">
    <tableColumn id="1" name="ФО"/>
    <tableColumn id="2" name="Статус" dataDxfId="299">
      <calculatedColumnFormula>NOT(ISERROR(SEARCH(FILLING!$D$11,tblData[[#This Row],[ФО]])))</calculatedColumnFormula>
    </tableColumn>
    <tableColumn id="3" name="Индекс" dataDxfId="298">
      <calculatedColumnFormula>IF(tblData[[#This Row],[Статус]],COUNTIF($B$2:tblData[[#This Row],[Статус]],TRUE),"")</calculatedColumnFormula>
    </tableColumn>
    <tableColumn id="4" name="Фильтр" dataDxfId="297">
      <calculatedColumnFormula>IFERROR(INDEX(tblData[ФО],MATCH(ROWS($C$2:tblData[[#This Row],[Индекс]]),tblData[Индекс],0)),"")</calculatedColumnFormula>
    </tableColumn>
    <tableColumn id="5" name="Статус2" dataDxfId="296">
      <calculatedColumnFormula>NOT(ISERROR(SEARCH(FILLING!$D$15,tblData[[#This Row],[ФО]])))</calculatedColumnFormula>
    </tableColumn>
    <tableColumn id="6" name="Индекс2" dataDxfId="295">
      <calculatedColumnFormula>IF(tblData[[#This Row],[Статус2]],COUNTIF($E$2:tblData[[#This Row],[Статус2]],TRUE),"")</calculatedColumnFormula>
    </tableColumn>
    <tableColumn id="7" name="Фильтр2" dataDxfId="294">
      <calculatedColumnFormula>IFERROR(INDEX(tblData[ФО],MATCH(ROWS($F$2:tblData[[#This Row],[Индекс2]]),tblData[Индекс2],0)),"")</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blData_Region" displayName="tblData_Region" ref="I1:L86" totalsRowShown="0" headerRowDxfId="293">
  <tableColumns count="4">
    <tableColumn id="1" name="РЕГИОН"/>
    <tableColumn id="2" name="Статус" dataDxfId="292">
      <calculatedColumnFormula>NOT(ISERROR(SEARCH(FILLING!$L$16,tblData_Region[[#This Row],[РЕГИОН]])))</calculatedColumnFormula>
    </tableColumn>
    <tableColumn id="3" name="Индекс" dataDxfId="291">
      <calculatedColumnFormula>IF(tblData_Region[[#This Row],[Статус]],COUNTIF($J$2:tblData_Region[[#This Row],[Статус]],TRUE),"")</calculatedColumnFormula>
    </tableColumn>
    <tableColumn id="4" name="Фильтр" dataDxfId="290">
      <calculatedColumnFormula>IFERROR(INDEX(tblData_Region[РЕГИОН],MATCH(ROWS($K$2:tblData_Region[[#This Row],[Индекс]]),tblData_Region[Индекс],0)),"")</calculatedColumnFormula>
    </tableColumn>
  </tableColumns>
  <tableStyleInfo name="TableStyleMedium14"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7.xml"/><Relationship Id="rId18" Type="http://schemas.openxmlformats.org/officeDocument/2006/relationships/control" Target="../activeX/activeX12.xml"/><Relationship Id="rId26" Type="http://schemas.openxmlformats.org/officeDocument/2006/relationships/control" Target="../activeX/activeX20.xml"/><Relationship Id="rId39" Type="http://schemas.openxmlformats.org/officeDocument/2006/relationships/control" Target="../activeX/activeX31.xml"/><Relationship Id="rId21" Type="http://schemas.openxmlformats.org/officeDocument/2006/relationships/control" Target="../activeX/activeX15.xml"/><Relationship Id="rId34" Type="http://schemas.openxmlformats.org/officeDocument/2006/relationships/control" Target="../activeX/activeX26.xml"/><Relationship Id="rId42" Type="http://schemas.openxmlformats.org/officeDocument/2006/relationships/control" Target="../activeX/activeX34.xml"/><Relationship Id="rId47" Type="http://schemas.openxmlformats.org/officeDocument/2006/relationships/ctrlProp" Target="../ctrlProps/ctrlProp4.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10.xml"/><Relationship Id="rId29" Type="http://schemas.openxmlformats.org/officeDocument/2006/relationships/control" Target="../activeX/activeX23.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control" Target="../activeX/activeX5.xml"/><Relationship Id="rId24" Type="http://schemas.openxmlformats.org/officeDocument/2006/relationships/control" Target="../activeX/activeX18.xml"/><Relationship Id="rId32" Type="http://schemas.openxmlformats.org/officeDocument/2006/relationships/image" Target="../media/image5.emf"/><Relationship Id="rId37" Type="http://schemas.openxmlformats.org/officeDocument/2006/relationships/control" Target="../activeX/activeX29.xml"/><Relationship Id="rId40" Type="http://schemas.openxmlformats.org/officeDocument/2006/relationships/control" Target="../activeX/activeX32.xml"/><Relationship Id="rId45"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ontrol" Target="../activeX/activeX9.xml"/><Relationship Id="rId23" Type="http://schemas.openxmlformats.org/officeDocument/2006/relationships/control" Target="../activeX/activeX17.xml"/><Relationship Id="rId28" Type="http://schemas.openxmlformats.org/officeDocument/2006/relationships/control" Target="../activeX/activeX22.xml"/><Relationship Id="rId36" Type="http://schemas.openxmlformats.org/officeDocument/2006/relationships/control" Target="../activeX/activeX28.xml"/><Relationship Id="rId10" Type="http://schemas.openxmlformats.org/officeDocument/2006/relationships/control" Target="../activeX/activeX4.xml"/><Relationship Id="rId19" Type="http://schemas.openxmlformats.org/officeDocument/2006/relationships/control" Target="../activeX/activeX13.xml"/><Relationship Id="rId31" Type="http://schemas.openxmlformats.org/officeDocument/2006/relationships/control" Target="../activeX/activeX24.xml"/><Relationship Id="rId44"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8.xml"/><Relationship Id="rId22" Type="http://schemas.openxmlformats.org/officeDocument/2006/relationships/control" Target="../activeX/activeX16.xml"/><Relationship Id="rId27" Type="http://schemas.openxmlformats.org/officeDocument/2006/relationships/control" Target="../activeX/activeX21.xml"/><Relationship Id="rId30" Type="http://schemas.openxmlformats.org/officeDocument/2006/relationships/image" Target="../media/image4.emf"/><Relationship Id="rId35" Type="http://schemas.openxmlformats.org/officeDocument/2006/relationships/control" Target="../activeX/activeX27.xml"/><Relationship Id="rId43" Type="http://schemas.openxmlformats.org/officeDocument/2006/relationships/image" Target="../media/image6.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6.xml"/><Relationship Id="rId17" Type="http://schemas.openxmlformats.org/officeDocument/2006/relationships/control" Target="../activeX/activeX11.xml"/><Relationship Id="rId25" Type="http://schemas.openxmlformats.org/officeDocument/2006/relationships/control" Target="../activeX/activeX19.xml"/><Relationship Id="rId33" Type="http://schemas.openxmlformats.org/officeDocument/2006/relationships/control" Target="../activeX/activeX25.xml"/><Relationship Id="rId38" Type="http://schemas.openxmlformats.org/officeDocument/2006/relationships/control" Target="../activeX/activeX30.xml"/><Relationship Id="rId46" Type="http://schemas.openxmlformats.org/officeDocument/2006/relationships/ctrlProp" Target="../ctrlProps/ctrlProp3.xml"/><Relationship Id="rId20" Type="http://schemas.openxmlformats.org/officeDocument/2006/relationships/control" Target="../activeX/activeX14.xml"/><Relationship Id="rId41" Type="http://schemas.openxmlformats.org/officeDocument/2006/relationships/control" Target="../activeX/activeX33.xml"/></Relationships>
</file>

<file path=xl/worksheets/_rels/sheet7.xml.rels><?xml version="1.0" encoding="UTF-8" standalone="yes"?>
<Relationships xmlns="http://schemas.openxmlformats.org/package/2006/relationships"><Relationship Id="rId1827" Type="http://schemas.openxmlformats.org/officeDocument/2006/relationships/hyperlink" Target="2020_05/13.05.2020/40148" TargetMode="External"/><Relationship Id="rId170" Type="http://schemas.openxmlformats.org/officeDocument/2006/relationships/hyperlink" Target="2019_10\15.10.2019\35425" TargetMode="External"/><Relationship Id="rId987" Type="http://schemas.openxmlformats.org/officeDocument/2006/relationships/hyperlink" Target="2020_01/27.01.2020/81820" TargetMode="External"/><Relationship Id="rId2668" Type="http://schemas.openxmlformats.org/officeDocument/2006/relationships/hyperlink" Target="2020_06\30.06.2020\72190" TargetMode="External"/><Relationship Id="rId847" Type="http://schemas.openxmlformats.org/officeDocument/2006/relationships/hyperlink" Target="2020_01/15.01.2020/83760" TargetMode="External"/><Relationship Id="rId1477" Type="http://schemas.openxmlformats.org/officeDocument/2006/relationships/hyperlink" Target="2020_03\10.03.2020\23012" TargetMode="External"/><Relationship Id="rId1684" Type="http://schemas.openxmlformats.org/officeDocument/2006/relationships/hyperlink" Target="2020_03\26.03.2020\24350" TargetMode="External"/><Relationship Id="rId1891" Type="http://schemas.openxmlformats.org/officeDocument/2006/relationships/hyperlink" Target="2020_05\18.05.2020\33385" TargetMode="External"/><Relationship Id="rId2528" Type="http://schemas.openxmlformats.org/officeDocument/2006/relationships/hyperlink" Target="2020_06/19.06.2020/74811" TargetMode="External"/><Relationship Id="rId707" Type="http://schemas.openxmlformats.org/officeDocument/2006/relationships/hyperlink" Target="2019_12/27.12.2019/78076" TargetMode="External"/><Relationship Id="rId914" Type="http://schemas.openxmlformats.org/officeDocument/2006/relationships/hyperlink" Target="2020_01/21.01.2020/79053" TargetMode="External"/><Relationship Id="rId1337" Type="http://schemas.openxmlformats.org/officeDocument/2006/relationships/hyperlink" Target="2020_02\26.02.2020\-7254" TargetMode="External"/><Relationship Id="rId1544" Type="http://schemas.openxmlformats.org/officeDocument/2006/relationships/hyperlink" Target="2020_03\16.03.2020\17935" TargetMode="External"/><Relationship Id="rId1751" Type="http://schemas.openxmlformats.org/officeDocument/2006/relationships/hyperlink" Target="2020_04\07.04.2020\27691" TargetMode="External"/><Relationship Id="rId43" Type="http://schemas.openxmlformats.org/officeDocument/2006/relationships/hyperlink" Target="https://smp.sfurf.office/sd/operator/" TargetMode="External"/><Relationship Id="rId1404" Type="http://schemas.openxmlformats.org/officeDocument/2006/relationships/hyperlink" Target="2020_03\03.03.2020\-9924" TargetMode="External"/><Relationship Id="rId1611" Type="http://schemas.openxmlformats.org/officeDocument/2006/relationships/hyperlink" Target="2020_03\20.03.2020\30217" TargetMode="External"/><Relationship Id="rId497" Type="http://schemas.openxmlformats.org/officeDocument/2006/relationships/hyperlink" Target="2019_12\12.12.2019\60362" TargetMode="External"/><Relationship Id="rId2178" Type="http://schemas.openxmlformats.org/officeDocument/2006/relationships/hyperlink" Target="2020_06\15.06.2020\48985" TargetMode="External"/><Relationship Id="rId2385" Type="http://schemas.openxmlformats.org/officeDocument/2006/relationships/hyperlink" Target="2020_06/16.06.2020/56627" TargetMode="External"/><Relationship Id="rId357" Type="http://schemas.openxmlformats.org/officeDocument/2006/relationships/hyperlink" Target="2019_11\21.11.2019\55899" TargetMode="External"/><Relationship Id="rId1194" Type="http://schemas.openxmlformats.org/officeDocument/2006/relationships/hyperlink" Target="2020_02/11.02.2020/90336" TargetMode="External"/><Relationship Id="rId2038" Type="http://schemas.openxmlformats.org/officeDocument/2006/relationships/hyperlink" Target="2020_05/27.05.2020/52960" TargetMode="External"/><Relationship Id="rId2592" Type="http://schemas.openxmlformats.org/officeDocument/2006/relationships/hyperlink" Target="2020_06/23.06.2020/76049" TargetMode="External"/><Relationship Id="rId217" Type="http://schemas.openxmlformats.org/officeDocument/2006/relationships/hyperlink" Target="2019_11\15.11.2019\44588" TargetMode="External"/><Relationship Id="rId564" Type="http://schemas.openxmlformats.org/officeDocument/2006/relationships/hyperlink" Target="2019_12\18.12.2019\64278" TargetMode="External"/><Relationship Id="rId771" Type="http://schemas.openxmlformats.org/officeDocument/2006/relationships/hyperlink" Target="2020_01\09.01.2020\81222" TargetMode="External"/><Relationship Id="rId2245" Type="http://schemas.openxmlformats.org/officeDocument/2006/relationships/hyperlink" Target="2020_06/02.06.2020/65747" TargetMode="External"/><Relationship Id="rId2452" Type="http://schemas.openxmlformats.org/officeDocument/2006/relationships/hyperlink" Target="2020_06/16.06.2020/63339" TargetMode="External"/><Relationship Id="rId424" Type="http://schemas.openxmlformats.org/officeDocument/2006/relationships/hyperlink" Target="2019_12\04.12.2019\64022" TargetMode="External"/><Relationship Id="rId631" Type="http://schemas.openxmlformats.org/officeDocument/2006/relationships/hyperlink" Target="2019_12/24.12.2019/75140" TargetMode="External"/><Relationship Id="rId1054" Type="http://schemas.openxmlformats.org/officeDocument/2006/relationships/hyperlink" Target="2020_01\31.01.2020\0-957" TargetMode="External"/><Relationship Id="rId1261" Type="http://schemas.openxmlformats.org/officeDocument/2006/relationships/hyperlink" Target="2020_02/19.02.2020/-3084" TargetMode="External"/><Relationship Id="rId2105" Type="http://schemas.openxmlformats.org/officeDocument/2006/relationships/hyperlink" Target="2020_06/08.06.2020/44691" TargetMode="External"/><Relationship Id="rId2312" Type="http://schemas.openxmlformats.org/officeDocument/2006/relationships/hyperlink" Target="2020_06/16.06.2020/54008" TargetMode="External"/><Relationship Id="rId1121" Type="http://schemas.openxmlformats.org/officeDocument/2006/relationships/hyperlink" Target="2020_02\05.02.2020\87764" TargetMode="External"/><Relationship Id="rId1938" Type="http://schemas.openxmlformats.org/officeDocument/2006/relationships/hyperlink" Target="2020_05/20.05.2020/34547" TargetMode="External"/><Relationship Id="rId281" Type="http://schemas.openxmlformats.org/officeDocument/2006/relationships/hyperlink" Target="https://smp.sfurf.office/sd/operator/" TargetMode="External"/><Relationship Id="rId141" Type="http://schemas.openxmlformats.org/officeDocument/2006/relationships/hyperlink" Target="../Users/shilyaevan/AppData/Roaming/Microsoft/Excel/2019_10/22.10.2019/39586" TargetMode="External"/><Relationship Id="rId7" Type="http://schemas.openxmlformats.org/officeDocument/2006/relationships/hyperlink" Target="https://smp.sfurf.office/sd/operator/index.jsp;jsessionid=4B56FDB405CD332F2E4AE6AEC0BFEE05" TargetMode="External"/><Relationship Id="rId958" Type="http://schemas.openxmlformats.org/officeDocument/2006/relationships/hyperlink" Target="2020_01\23.01.2020\88992" TargetMode="External"/><Relationship Id="rId1588" Type="http://schemas.openxmlformats.org/officeDocument/2006/relationships/hyperlink" Target="2020_03\19.03.2020\21060" TargetMode="External"/><Relationship Id="rId1795" Type="http://schemas.openxmlformats.org/officeDocument/2006/relationships/hyperlink" Target="2020_04/07.04.2020/36920" TargetMode="External"/><Relationship Id="rId2639" Type="http://schemas.openxmlformats.org/officeDocument/2006/relationships/hyperlink" Target="2020_06/25.06.2020/69324" TargetMode="External"/><Relationship Id="rId87" Type="http://schemas.openxmlformats.org/officeDocument/2006/relationships/hyperlink" Target="2019_10\16.10.2019\22662" TargetMode="External"/><Relationship Id="rId818" Type="http://schemas.openxmlformats.org/officeDocument/2006/relationships/hyperlink" Target="2020_01\14.01.2020\74580" TargetMode="External"/><Relationship Id="rId1448" Type="http://schemas.openxmlformats.org/officeDocument/2006/relationships/hyperlink" Target="2020_03\05.03.2020\20711" TargetMode="External"/><Relationship Id="rId1655" Type="http://schemas.openxmlformats.org/officeDocument/2006/relationships/hyperlink" Target="2020_03\24.03.2020\31856" TargetMode="External"/><Relationship Id="rId1308" Type="http://schemas.openxmlformats.org/officeDocument/2006/relationships/hyperlink" Target="2020_02/25.02.2020/14441" TargetMode="External"/><Relationship Id="rId1862" Type="http://schemas.openxmlformats.org/officeDocument/2006/relationships/hyperlink" Target="2020_05/13.05.2020/21482" TargetMode="External"/><Relationship Id="rId1515" Type="http://schemas.openxmlformats.org/officeDocument/2006/relationships/hyperlink" Target="2020_03/11.03.2020/24526" TargetMode="External"/><Relationship Id="rId1722" Type="http://schemas.openxmlformats.org/officeDocument/2006/relationships/hyperlink" Target="2020_04\06.04.2020\36629" TargetMode="External"/><Relationship Id="rId14" Type="http://schemas.openxmlformats.org/officeDocument/2006/relationships/hyperlink" Target="https://smp.sfurf.office/sd/operator/index.jsp;jsessionid=4B56FDB405CD332F2E4AE6AEC0BFEE05" TargetMode="External"/><Relationship Id="rId2289" Type="http://schemas.openxmlformats.org/officeDocument/2006/relationships/hyperlink" Target="2020_06/16.06.2020/50780" TargetMode="External"/><Relationship Id="rId2496" Type="http://schemas.openxmlformats.org/officeDocument/2006/relationships/hyperlink" Target="2020_06/17.06.2020/66188" TargetMode="External"/><Relationship Id="rId468" Type="http://schemas.openxmlformats.org/officeDocument/2006/relationships/hyperlink" Target="2019_12\09.12.2019\58281" TargetMode="External"/><Relationship Id="rId675" Type="http://schemas.openxmlformats.org/officeDocument/2006/relationships/hyperlink" Target="2019_12/26.12.2019/77094" TargetMode="External"/><Relationship Id="rId882" Type="http://schemas.openxmlformats.org/officeDocument/2006/relationships/hyperlink" Target="2020_01/17.01.2020/78121" TargetMode="External"/><Relationship Id="rId1098" Type="http://schemas.openxmlformats.org/officeDocument/2006/relationships/hyperlink" Target="2020_02\05.02.2020\-3092" TargetMode="External"/><Relationship Id="rId2149" Type="http://schemas.openxmlformats.org/officeDocument/2006/relationships/hyperlink" Target="2020_06\01.06.2020\61567" TargetMode="External"/><Relationship Id="rId2356" Type="http://schemas.openxmlformats.org/officeDocument/2006/relationships/hyperlink" Target="2020_06/16.06.2020/59660" TargetMode="External"/><Relationship Id="rId2563" Type="http://schemas.openxmlformats.org/officeDocument/2006/relationships/hyperlink" Target="2020_06/23.06.2020/55183" TargetMode="External"/><Relationship Id="rId328" Type="http://schemas.openxmlformats.org/officeDocument/2006/relationships/hyperlink" Target="2019_11\20.11.2019\55617" TargetMode="External"/><Relationship Id="rId535" Type="http://schemas.openxmlformats.org/officeDocument/2006/relationships/hyperlink" Target="2019_12\17.12.2019\62786" TargetMode="External"/><Relationship Id="rId742" Type="http://schemas.openxmlformats.org/officeDocument/2006/relationships/hyperlink" Target="2019_12/31.12.2019/71132" TargetMode="External"/><Relationship Id="rId1165" Type="http://schemas.openxmlformats.org/officeDocument/2006/relationships/hyperlink" Target="2020_02\07.02.2020\89491" TargetMode="External"/><Relationship Id="rId1372" Type="http://schemas.openxmlformats.org/officeDocument/2006/relationships/hyperlink" Target="2020_02\28.02.2020\-9181" TargetMode="External"/><Relationship Id="rId2009" Type="http://schemas.openxmlformats.org/officeDocument/2006/relationships/hyperlink" Target="2020_05/22.05.2020/36382" TargetMode="External"/><Relationship Id="rId2216" Type="http://schemas.openxmlformats.org/officeDocument/2006/relationships/hyperlink" Target="2020_06/09.06.2020/46237" TargetMode="External"/><Relationship Id="rId2423" Type="http://schemas.openxmlformats.org/officeDocument/2006/relationships/hyperlink" Target="2020_06/16.06.2020/51528" TargetMode="External"/><Relationship Id="rId2630" Type="http://schemas.openxmlformats.org/officeDocument/2006/relationships/hyperlink" Target="2020_06/25.06.2020/77789" TargetMode="External"/><Relationship Id="rId602" Type="http://schemas.openxmlformats.org/officeDocument/2006/relationships/hyperlink" Target="2019_12\23.12.2019\66351" TargetMode="External"/><Relationship Id="rId1025" Type="http://schemas.openxmlformats.org/officeDocument/2006/relationships/hyperlink" Target="2020_01\29.01.2020\83302" TargetMode="External"/><Relationship Id="rId1232" Type="http://schemas.openxmlformats.org/officeDocument/2006/relationships/hyperlink" Target="2020_02/12.02.2020/-8689" TargetMode="External"/><Relationship Id="rId185" Type="http://schemas.openxmlformats.org/officeDocument/2006/relationships/hyperlink" Target="https://smp.sfurf.office/sd/operator/index.jsp;jsessionid=4B56FDB405CD332F2E4AE6AEC0BFEE05" TargetMode="External"/><Relationship Id="rId1909" Type="http://schemas.openxmlformats.org/officeDocument/2006/relationships/hyperlink" Target="2020_05\18.05.2020\32838" TargetMode="External"/><Relationship Id="rId392" Type="http://schemas.openxmlformats.org/officeDocument/2006/relationships/hyperlink" Target="2019_11\28.11.2019\60331" TargetMode="External"/><Relationship Id="rId2073" Type="http://schemas.openxmlformats.org/officeDocument/2006/relationships/hyperlink" Target="2020_06\01.06.2020\59655" TargetMode="External"/><Relationship Id="rId2280" Type="http://schemas.openxmlformats.org/officeDocument/2006/relationships/hyperlink" Target="2020_06/16.06.2020/52431" TargetMode="External"/><Relationship Id="rId252" Type="http://schemas.openxmlformats.org/officeDocument/2006/relationships/hyperlink" Target="2019_11\18.11.2019\44895" TargetMode="External"/><Relationship Id="rId2140" Type="http://schemas.openxmlformats.org/officeDocument/2006/relationships/hyperlink" Target="2020_06/10.06.2020/47413" TargetMode="External"/><Relationship Id="rId112" Type="http://schemas.openxmlformats.org/officeDocument/2006/relationships/hyperlink" Target="https://smp.sfurf.office/sd/operator/index.jsp;jsessionid=4B56FDB405CD332F2E4AE6AEC0BFEE05" TargetMode="External"/><Relationship Id="rId1699" Type="http://schemas.openxmlformats.org/officeDocument/2006/relationships/hyperlink" Target="2020_03/26.03.2020/35080" TargetMode="External"/><Relationship Id="rId2000" Type="http://schemas.openxmlformats.org/officeDocument/2006/relationships/hyperlink" Target="2020_05/27.05.2020/49482" TargetMode="External"/><Relationship Id="rId929" Type="http://schemas.openxmlformats.org/officeDocument/2006/relationships/hyperlink" Target="2020_01/22.01.2020/79294" TargetMode="External"/><Relationship Id="rId1559" Type="http://schemas.openxmlformats.org/officeDocument/2006/relationships/hyperlink" Target="2020_03\17.03.2020\27300" TargetMode="External"/><Relationship Id="rId1766" Type="http://schemas.openxmlformats.org/officeDocument/2006/relationships/hyperlink" Target="2020_04\08.04.2020\37550" TargetMode="External"/><Relationship Id="rId1973" Type="http://schemas.openxmlformats.org/officeDocument/2006/relationships/hyperlink" Target="2020_05\22.05.2020\37561" TargetMode="External"/><Relationship Id="rId58" Type="http://schemas.openxmlformats.org/officeDocument/2006/relationships/hyperlink" Target="https://smp.sfurf.office/sd/operator/" TargetMode="External"/><Relationship Id="rId1419" Type="http://schemas.openxmlformats.org/officeDocument/2006/relationships/hyperlink" Target="2020_03\03.03.2020\19212" TargetMode="External"/><Relationship Id="rId1626" Type="http://schemas.openxmlformats.org/officeDocument/2006/relationships/hyperlink" Target="2020_03/23.03.2020/22982" TargetMode="External"/><Relationship Id="rId1833" Type="http://schemas.openxmlformats.org/officeDocument/2006/relationships/hyperlink" Target="2020_05\13.05.2020\30289" TargetMode="External"/><Relationship Id="rId1900" Type="http://schemas.openxmlformats.org/officeDocument/2006/relationships/hyperlink" Target="2020_05/20.05.2020/35426" TargetMode="External"/><Relationship Id="rId579" Type="http://schemas.openxmlformats.org/officeDocument/2006/relationships/hyperlink" Target="2019_12\19.12.2019\73379" TargetMode="External"/><Relationship Id="rId786" Type="http://schemas.openxmlformats.org/officeDocument/2006/relationships/hyperlink" Target="2020_01\09.01.2020\80675" TargetMode="External"/><Relationship Id="rId993" Type="http://schemas.openxmlformats.org/officeDocument/2006/relationships/hyperlink" Target="2020_01\27.01.2020\82354" TargetMode="External"/><Relationship Id="rId2467" Type="http://schemas.openxmlformats.org/officeDocument/2006/relationships/hyperlink" Target="2020_06/16.06.2020/55114" TargetMode="External"/><Relationship Id="rId2674" Type="http://schemas.openxmlformats.org/officeDocument/2006/relationships/hyperlink" Target="2020_07/02.07.2020/80386" TargetMode="External"/><Relationship Id="rId439" Type="http://schemas.openxmlformats.org/officeDocument/2006/relationships/hyperlink" Target="https://smp.sfurf.office/sd/operator/" TargetMode="External"/><Relationship Id="rId646" Type="http://schemas.openxmlformats.org/officeDocument/2006/relationships/hyperlink" Target="2019_12/25.12.2019/76597" TargetMode="External"/><Relationship Id="rId1069" Type="http://schemas.openxmlformats.org/officeDocument/2006/relationships/hyperlink" Target="2020_01\30.01.2020\0-497" TargetMode="External"/><Relationship Id="rId1276" Type="http://schemas.openxmlformats.org/officeDocument/2006/relationships/hyperlink" Target="2020_02/20.02.2020/-3964" TargetMode="External"/><Relationship Id="rId1483" Type="http://schemas.openxmlformats.org/officeDocument/2006/relationships/hyperlink" Target="2020_03\10.03.2020\13856" TargetMode="External"/><Relationship Id="rId2327" Type="http://schemas.openxmlformats.org/officeDocument/2006/relationships/hyperlink" Target="2020_06/16.06.2020/59600" TargetMode="External"/><Relationship Id="rId506" Type="http://schemas.openxmlformats.org/officeDocument/2006/relationships/hyperlink" Target="2019_12\13.12.2019\52402" TargetMode="External"/><Relationship Id="rId853" Type="http://schemas.openxmlformats.org/officeDocument/2006/relationships/hyperlink" Target="2020_01\15.01.2020\75649" TargetMode="External"/><Relationship Id="rId1136" Type="http://schemas.openxmlformats.org/officeDocument/2006/relationships/hyperlink" Target="2020_02/06.02.2020/80715" TargetMode="External"/><Relationship Id="rId1690" Type="http://schemas.openxmlformats.org/officeDocument/2006/relationships/hyperlink" Target="2020_03/25.03.2020/33097" TargetMode="External"/><Relationship Id="rId2534" Type="http://schemas.openxmlformats.org/officeDocument/2006/relationships/hyperlink" Target="2020_06\18.06.2020\67139" TargetMode="External"/><Relationship Id="rId713" Type="http://schemas.openxmlformats.org/officeDocument/2006/relationships/hyperlink" Target="2019_12/30.12.2019/71263" TargetMode="External"/><Relationship Id="rId920" Type="http://schemas.openxmlformats.org/officeDocument/2006/relationships/hyperlink" Target="2020_01\21.01.2020\71720" TargetMode="External"/><Relationship Id="rId1343" Type="http://schemas.openxmlformats.org/officeDocument/2006/relationships/hyperlink" Target="2020_02\27.02.2020\-8273" TargetMode="External"/><Relationship Id="rId1550" Type="http://schemas.openxmlformats.org/officeDocument/2006/relationships/hyperlink" Target="2020_03\16.03.2020\26756" TargetMode="External"/><Relationship Id="rId2601" Type="http://schemas.openxmlformats.org/officeDocument/2006/relationships/hyperlink" Target="2020_06/25.06.2020/69774" TargetMode="External"/><Relationship Id="rId1203" Type="http://schemas.openxmlformats.org/officeDocument/2006/relationships/hyperlink" Target="2020_02\10.02.2020\90151" TargetMode="External"/><Relationship Id="rId1410" Type="http://schemas.openxmlformats.org/officeDocument/2006/relationships/hyperlink" Target="2020_03/03.03.2020/19557" TargetMode="External"/><Relationship Id="rId296" Type="http://schemas.openxmlformats.org/officeDocument/2006/relationships/hyperlink" Target="2019_11\14.11.2019\43499" TargetMode="External"/><Relationship Id="rId2184" Type="http://schemas.openxmlformats.org/officeDocument/2006/relationships/hyperlink" Target="2020_05/25.05.2020/44788" TargetMode="External"/><Relationship Id="rId2391" Type="http://schemas.openxmlformats.org/officeDocument/2006/relationships/hyperlink" Target="2020_06/16.06.2020/53048" TargetMode="External"/><Relationship Id="rId156" Type="http://schemas.openxmlformats.org/officeDocument/2006/relationships/hyperlink" Target="2019_10\24.10.2019\40770" TargetMode="External"/><Relationship Id="rId363" Type="http://schemas.openxmlformats.org/officeDocument/2006/relationships/hyperlink" Target="https://smp.sfurf.office/sd/operator/" TargetMode="External"/><Relationship Id="rId570" Type="http://schemas.openxmlformats.org/officeDocument/2006/relationships/hyperlink" Target="2019_12/18.12.2019/71922" TargetMode="External"/><Relationship Id="rId2044" Type="http://schemas.openxmlformats.org/officeDocument/2006/relationships/hyperlink" Target="2020_05/13.05.2020/39265" TargetMode="External"/><Relationship Id="rId2251" Type="http://schemas.openxmlformats.org/officeDocument/2006/relationships/hyperlink" Target="2020_06/01.06.2020/63638" TargetMode="External"/><Relationship Id="rId223" Type="http://schemas.openxmlformats.org/officeDocument/2006/relationships/hyperlink" Target="https://smp.sfurf.office/sd/operator/index.jsp;jsessionid=4B56FDB405CD332F2E4AE6AEC0BFEE05" TargetMode="External"/><Relationship Id="rId430" Type="http://schemas.openxmlformats.org/officeDocument/2006/relationships/hyperlink" Target="https://smp.sfurf.office/sd/operator/" TargetMode="External"/><Relationship Id="rId1060" Type="http://schemas.openxmlformats.org/officeDocument/2006/relationships/hyperlink" Target="2020_01\31.01.2020\0-598" TargetMode="External"/><Relationship Id="rId2111" Type="http://schemas.openxmlformats.org/officeDocument/2006/relationships/hyperlink" Target="2020_06\01.06.2020\61571" TargetMode="External"/><Relationship Id="rId1877" Type="http://schemas.openxmlformats.org/officeDocument/2006/relationships/hyperlink" Target="2020_05/15.05.2020/32092" TargetMode="External"/><Relationship Id="rId1737" Type="http://schemas.openxmlformats.org/officeDocument/2006/relationships/hyperlink" Target="2020_04/06.04.2020/36589" TargetMode="External"/><Relationship Id="rId1944" Type="http://schemas.openxmlformats.org/officeDocument/2006/relationships/hyperlink" Target="2020_05/20.05.2020/34702" TargetMode="External"/><Relationship Id="rId29" Type="http://schemas.openxmlformats.org/officeDocument/2006/relationships/hyperlink" Target="https://smp.sfurf.office/sd/operator/" TargetMode="External"/><Relationship Id="rId1804" Type="http://schemas.openxmlformats.org/officeDocument/2006/relationships/hyperlink" Target="2020_05\08.05.2020\37454" TargetMode="External"/><Relationship Id="rId897" Type="http://schemas.openxmlformats.org/officeDocument/2006/relationships/hyperlink" Target="2020_01\20.01.2020\85898" TargetMode="External"/><Relationship Id="rId2578" Type="http://schemas.openxmlformats.org/officeDocument/2006/relationships/hyperlink" Target="2020_06/22.06.2020/67985" TargetMode="External"/><Relationship Id="rId757" Type="http://schemas.openxmlformats.org/officeDocument/2006/relationships/hyperlink" Target="2019_12\31.12.2019\79793" TargetMode="External"/><Relationship Id="rId964" Type="http://schemas.openxmlformats.org/officeDocument/2006/relationships/hyperlink" Target="2020_01/23.01.2020/80815" TargetMode="External"/><Relationship Id="rId1387" Type="http://schemas.openxmlformats.org/officeDocument/2006/relationships/hyperlink" Target="2020_03\02.03.2020\10090" TargetMode="External"/><Relationship Id="rId1594" Type="http://schemas.openxmlformats.org/officeDocument/2006/relationships/hyperlink" Target="2020_03\19.03.2020\21388" TargetMode="External"/><Relationship Id="rId2438" Type="http://schemas.openxmlformats.org/officeDocument/2006/relationships/hyperlink" Target="2020_06/15.06.2020/72042" TargetMode="External"/><Relationship Id="rId2645" Type="http://schemas.openxmlformats.org/officeDocument/2006/relationships/hyperlink" Target="2020_06\29.06.2020\71681" TargetMode="External"/><Relationship Id="rId93" Type="http://schemas.openxmlformats.org/officeDocument/2006/relationships/hyperlink" Target="../Users/shilyaevan/AppData/Roaming/Microsoft/Excel/2019_10/17.10.2019/37194" TargetMode="External"/><Relationship Id="rId617" Type="http://schemas.openxmlformats.org/officeDocument/2006/relationships/hyperlink" Target="2019_12/24.12.2019/67243" TargetMode="External"/><Relationship Id="rId824" Type="http://schemas.openxmlformats.org/officeDocument/2006/relationships/hyperlink" Target="2020_01\14.01.2020\82484" TargetMode="External"/><Relationship Id="rId1247" Type="http://schemas.openxmlformats.org/officeDocument/2006/relationships/hyperlink" Target="2020_02/18.02.2020/-2638" TargetMode="External"/><Relationship Id="rId1454" Type="http://schemas.openxmlformats.org/officeDocument/2006/relationships/hyperlink" Target="2020_03\05.03.2020\21504" TargetMode="External"/><Relationship Id="rId1661" Type="http://schemas.openxmlformats.org/officeDocument/2006/relationships/hyperlink" Target="2020_03\24.03.2020\31445" TargetMode="External"/><Relationship Id="rId2505" Type="http://schemas.openxmlformats.org/officeDocument/2006/relationships/hyperlink" Target="2020_06/17.06.2020/66475" TargetMode="External"/><Relationship Id="rId1107" Type="http://schemas.openxmlformats.org/officeDocument/2006/relationships/hyperlink" Target="2020_02/03.02.2020/-1137" TargetMode="External"/><Relationship Id="rId1314" Type="http://schemas.openxmlformats.org/officeDocument/2006/relationships/hyperlink" Target="2020_02/25.02.2020/-6178" TargetMode="External"/><Relationship Id="rId1521" Type="http://schemas.openxmlformats.org/officeDocument/2006/relationships/hyperlink" Target="2020_03/13.03.2020/16526" TargetMode="External"/><Relationship Id="rId20" Type="http://schemas.openxmlformats.org/officeDocument/2006/relationships/hyperlink" Target="https://smp.sfurf.office/sd/operator/index.jsp;jsessionid=4B56FDB405CD332F2E4AE6AEC0BFEE05" TargetMode="External"/><Relationship Id="rId2088" Type="http://schemas.openxmlformats.org/officeDocument/2006/relationships/hyperlink" Target="2020_06/04.06.2020/42226" TargetMode="External"/><Relationship Id="rId2295" Type="http://schemas.openxmlformats.org/officeDocument/2006/relationships/hyperlink" Target="2020_06\15.06.2020\48885" TargetMode="External"/><Relationship Id="rId267" Type="http://schemas.openxmlformats.org/officeDocument/2006/relationships/hyperlink" Target="2019_11\21.11.2019\47521" TargetMode="External"/><Relationship Id="rId474" Type="http://schemas.openxmlformats.org/officeDocument/2006/relationships/hyperlink" Target="2019_12\10.12.2019\57782" TargetMode="External"/><Relationship Id="rId2155" Type="http://schemas.openxmlformats.org/officeDocument/2006/relationships/hyperlink" Target="2020_06/01.06.2020/63248" TargetMode="External"/><Relationship Id="rId127" Type="http://schemas.openxmlformats.org/officeDocument/2006/relationships/hyperlink" Target="2019_11\05.11.2019\38759" TargetMode="External"/><Relationship Id="rId681" Type="http://schemas.openxmlformats.org/officeDocument/2006/relationships/hyperlink" Target="2019_12/26.12.2019/77058" TargetMode="External"/><Relationship Id="rId2362" Type="http://schemas.openxmlformats.org/officeDocument/2006/relationships/hyperlink" Target="2020_06/16.06.2020/61347" TargetMode="External"/><Relationship Id="rId334" Type="http://schemas.openxmlformats.org/officeDocument/2006/relationships/hyperlink" Target="2019_11\22.11.2019\56281" TargetMode="External"/><Relationship Id="rId541" Type="http://schemas.openxmlformats.org/officeDocument/2006/relationships/hyperlink" Target="2019_12\17.12.2019\71201" TargetMode="External"/><Relationship Id="rId1171" Type="http://schemas.openxmlformats.org/officeDocument/2006/relationships/hyperlink" Target="2020_02\11.02.2020\87798" TargetMode="External"/><Relationship Id="rId2015" Type="http://schemas.openxmlformats.org/officeDocument/2006/relationships/hyperlink" Target="2020_05\26.05.2020\38285" TargetMode="External"/><Relationship Id="rId2222" Type="http://schemas.openxmlformats.org/officeDocument/2006/relationships/hyperlink" Target="2020_06/11.06.2020/48433" TargetMode="External"/><Relationship Id="rId401" Type="http://schemas.openxmlformats.org/officeDocument/2006/relationships/hyperlink" Target="https://smp.sfurf.office/sd/operator/index.jsp;jsessionid=4B56FDB405CD332F2E4AE6AEC0BFEE05" TargetMode="External"/><Relationship Id="rId1031" Type="http://schemas.openxmlformats.org/officeDocument/2006/relationships/hyperlink" Target="2020_01\29.01.2020\75840" TargetMode="External"/><Relationship Id="rId1988" Type="http://schemas.openxmlformats.org/officeDocument/2006/relationships/hyperlink" Target="2020_05/22.05.2020/36950" TargetMode="External"/><Relationship Id="rId1848" Type="http://schemas.openxmlformats.org/officeDocument/2006/relationships/hyperlink" Target="2020_05/15.05.2020/41611" TargetMode="External"/><Relationship Id="rId191" Type="http://schemas.openxmlformats.org/officeDocument/2006/relationships/hyperlink" Target="2019_11\27.11.2019\42961" TargetMode="External"/><Relationship Id="rId1708" Type="http://schemas.openxmlformats.org/officeDocument/2006/relationships/hyperlink" Target="2020_03\27.03.2020\25467" TargetMode="External"/><Relationship Id="rId1915" Type="http://schemas.openxmlformats.org/officeDocument/2006/relationships/hyperlink" Target="2020_05/21.05.2020/35958" TargetMode="External"/><Relationship Id="rId868" Type="http://schemas.openxmlformats.org/officeDocument/2006/relationships/hyperlink" Target="2020_01\16.01.2020\76460" TargetMode="External"/><Relationship Id="rId1498" Type="http://schemas.openxmlformats.org/officeDocument/2006/relationships/hyperlink" Target="2020_03\11.03.2020\14971" TargetMode="External"/><Relationship Id="rId2549" Type="http://schemas.openxmlformats.org/officeDocument/2006/relationships/hyperlink" Target="2020_06/22.06.2020/48169" TargetMode="External"/><Relationship Id="rId728" Type="http://schemas.openxmlformats.org/officeDocument/2006/relationships/hyperlink" Target="2019_12\30.12.2019\70436" TargetMode="External"/><Relationship Id="rId935" Type="http://schemas.openxmlformats.org/officeDocument/2006/relationships/hyperlink" Target="2020_01\21.01.2020\86974" TargetMode="External"/><Relationship Id="rId1358" Type="http://schemas.openxmlformats.org/officeDocument/2006/relationships/hyperlink" Target="2020_02\27.02.2020\-8343" TargetMode="External"/><Relationship Id="rId1565" Type="http://schemas.openxmlformats.org/officeDocument/2006/relationships/hyperlink" Target="2020_03/16.03.2020/26545" TargetMode="External"/><Relationship Id="rId1772" Type="http://schemas.openxmlformats.org/officeDocument/2006/relationships/hyperlink" Target="2020_04/08.04.2020/37879" TargetMode="External"/><Relationship Id="rId2409" Type="http://schemas.openxmlformats.org/officeDocument/2006/relationships/hyperlink" Target="2020_06\04.06.2020\67611" TargetMode="External"/><Relationship Id="rId2616" Type="http://schemas.openxmlformats.org/officeDocument/2006/relationships/hyperlink" Target="2020_06/25.06.2020/77232" TargetMode="External"/><Relationship Id="rId64" Type="http://schemas.openxmlformats.org/officeDocument/2006/relationships/hyperlink" Target="https://smp.sfurf.office/sd/operator/" TargetMode="External"/><Relationship Id="rId1218" Type="http://schemas.openxmlformats.org/officeDocument/2006/relationships/hyperlink" Target="2020_02\12.02.2020\-8166" TargetMode="External"/><Relationship Id="rId1425" Type="http://schemas.openxmlformats.org/officeDocument/2006/relationships/hyperlink" Target="2020_03/04.03.2020/10692" TargetMode="External"/><Relationship Id="rId1632" Type="http://schemas.openxmlformats.org/officeDocument/2006/relationships/hyperlink" Target="2020_03\23.03.2020\30659" TargetMode="External"/><Relationship Id="rId2199" Type="http://schemas.openxmlformats.org/officeDocument/2006/relationships/hyperlink" Target="2020_06/16.06.2020/49381" TargetMode="External"/><Relationship Id="rId378" Type="http://schemas.openxmlformats.org/officeDocument/2006/relationships/hyperlink" Target="2019_11\26.11.2019\57809" TargetMode="External"/><Relationship Id="rId585" Type="http://schemas.openxmlformats.org/officeDocument/2006/relationships/hyperlink" Target="2019_12\19.12.2019\73301" TargetMode="External"/><Relationship Id="rId792" Type="http://schemas.openxmlformats.org/officeDocument/2006/relationships/hyperlink" Target="2020_01/10.01.2020/73367" TargetMode="External"/><Relationship Id="rId2059" Type="http://schemas.openxmlformats.org/officeDocument/2006/relationships/hyperlink" Target="2020_05/27.05.2020/39696" TargetMode="External"/><Relationship Id="rId2266" Type="http://schemas.openxmlformats.org/officeDocument/2006/relationships/hyperlink" Target="2020_06\16.06.2020\61569" TargetMode="External"/><Relationship Id="rId2473" Type="http://schemas.openxmlformats.org/officeDocument/2006/relationships/hyperlink" Target="2020_06/16.06.2020/64969" TargetMode="External"/><Relationship Id="rId238" Type="http://schemas.openxmlformats.org/officeDocument/2006/relationships/hyperlink" Target="https://smp.sfurf.office/sd/operator/" TargetMode="External"/><Relationship Id="rId445" Type="http://schemas.openxmlformats.org/officeDocument/2006/relationships/hyperlink" Target="https://smp.sfurf.office/sd/operator/" TargetMode="External"/><Relationship Id="rId652" Type="http://schemas.openxmlformats.org/officeDocument/2006/relationships/hyperlink" Target="2019_12/25.12.2019/68372" TargetMode="External"/><Relationship Id="rId1075" Type="http://schemas.openxmlformats.org/officeDocument/2006/relationships/hyperlink" Target="2020_02\03.02.2020\-1852" TargetMode="External"/><Relationship Id="rId1282" Type="http://schemas.openxmlformats.org/officeDocument/2006/relationships/hyperlink" Target="2020_02/20.02.2020/13081" TargetMode="External"/><Relationship Id="rId2126" Type="http://schemas.openxmlformats.org/officeDocument/2006/relationships/hyperlink" Target="2020_05/27.05.2020/45846" TargetMode="External"/><Relationship Id="rId2333" Type="http://schemas.openxmlformats.org/officeDocument/2006/relationships/hyperlink" Target="2020_06/02.06.2020/66747" TargetMode="External"/><Relationship Id="rId2540" Type="http://schemas.openxmlformats.org/officeDocument/2006/relationships/hyperlink" Target="2020_06/19.06.2020/67277" TargetMode="External"/><Relationship Id="rId305" Type="http://schemas.openxmlformats.org/officeDocument/2006/relationships/hyperlink" Target="https://smp.sfurf.office/sd/operator/index.jsp;jsessionid=4B56FDB405CD332F2E4AE6AEC0BFEE05" TargetMode="External"/><Relationship Id="rId512" Type="http://schemas.openxmlformats.org/officeDocument/2006/relationships/hyperlink" Target="2019_12\16.12.2019\70373" TargetMode="External"/><Relationship Id="rId1142" Type="http://schemas.openxmlformats.org/officeDocument/2006/relationships/hyperlink" Target="2020_02\06.02.2020\-4485" TargetMode="External"/><Relationship Id="rId2400" Type="http://schemas.openxmlformats.org/officeDocument/2006/relationships/hyperlink" Target="2020_06\16.06.2020\56585" TargetMode="External"/><Relationship Id="rId1002" Type="http://schemas.openxmlformats.org/officeDocument/2006/relationships/hyperlink" Target="2020_01/27.01.2020/89969" TargetMode="External"/><Relationship Id="rId1959" Type="http://schemas.openxmlformats.org/officeDocument/2006/relationships/hyperlink" Target="2020_05\19.05.2020\20182" TargetMode="External"/><Relationship Id="rId1819" Type="http://schemas.openxmlformats.org/officeDocument/2006/relationships/hyperlink" Target="2020_05/13.05.2020/29721" TargetMode="External"/><Relationship Id="rId2190" Type="http://schemas.openxmlformats.org/officeDocument/2006/relationships/hyperlink" Target="2020_06/09.06.2020/46767" TargetMode="External"/><Relationship Id="rId162" Type="http://schemas.openxmlformats.org/officeDocument/2006/relationships/hyperlink" Target="2019_10\25.10.2019\41541" TargetMode="External"/><Relationship Id="rId2050" Type="http://schemas.openxmlformats.org/officeDocument/2006/relationships/hyperlink" Target="2020_05\27.05.2020\52759" TargetMode="External"/><Relationship Id="rId979" Type="http://schemas.openxmlformats.org/officeDocument/2006/relationships/hyperlink" Target="2020_01/24.01.2020/81079" TargetMode="External"/><Relationship Id="rId839" Type="http://schemas.openxmlformats.org/officeDocument/2006/relationships/hyperlink" Target="2020_01\15.01.2020\84475" TargetMode="External"/><Relationship Id="rId1469" Type="http://schemas.openxmlformats.org/officeDocument/2006/relationships/hyperlink" Target="2020_03\06.03.2020\22578" TargetMode="External"/><Relationship Id="rId1676" Type="http://schemas.openxmlformats.org/officeDocument/2006/relationships/hyperlink" Target="2020_03/25.03.2020/32917" TargetMode="External"/><Relationship Id="rId1883" Type="http://schemas.openxmlformats.org/officeDocument/2006/relationships/hyperlink" Target="2020_05/15.05.2020/41793" TargetMode="External"/><Relationship Id="rId906" Type="http://schemas.openxmlformats.org/officeDocument/2006/relationships/hyperlink" Target="2020_01/20.01.2020/78162" TargetMode="External"/><Relationship Id="rId1329" Type="http://schemas.openxmlformats.org/officeDocument/2006/relationships/hyperlink" Target="2020_02\26.02.2020\-7516" TargetMode="External"/><Relationship Id="rId1536" Type="http://schemas.openxmlformats.org/officeDocument/2006/relationships/hyperlink" Target="2020_03\13.03.2020\25312" TargetMode="External"/><Relationship Id="rId1743" Type="http://schemas.openxmlformats.org/officeDocument/2006/relationships/hyperlink" Target="2020_04\07.04.2020\18736" TargetMode="External"/><Relationship Id="rId1950" Type="http://schemas.openxmlformats.org/officeDocument/2006/relationships/hyperlink" Target="2020_05/20.05.2020/34438" TargetMode="External"/><Relationship Id="rId35" Type="http://schemas.openxmlformats.org/officeDocument/2006/relationships/hyperlink" Target="https://smp.sfurf.office/sd/operator/" TargetMode="External"/><Relationship Id="rId1603" Type="http://schemas.openxmlformats.org/officeDocument/2006/relationships/hyperlink" Target="2020_03/19.03.2020/20049" TargetMode="External"/><Relationship Id="rId1810" Type="http://schemas.openxmlformats.org/officeDocument/2006/relationships/hyperlink" Target="2020_05\06.05.2020\36005" TargetMode="External"/><Relationship Id="rId489" Type="http://schemas.openxmlformats.org/officeDocument/2006/relationships/hyperlink" Target="2019_12/12.12.2019/69444" TargetMode="External"/><Relationship Id="rId696" Type="http://schemas.openxmlformats.org/officeDocument/2006/relationships/hyperlink" Target="2019_12/27.12.2019/77901" TargetMode="External"/><Relationship Id="rId2377" Type="http://schemas.openxmlformats.org/officeDocument/2006/relationships/hyperlink" Target="2020_06/08.06.2020/68699" TargetMode="External"/><Relationship Id="rId2584" Type="http://schemas.openxmlformats.org/officeDocument/2006/relationships/hyperlink" Target="2020_06\23.06.2020\76204" TargetMode="External"/><Relationship Id="rId349" Type="http://schemas.openxmlformats.org/officeDocument/2006/relationships/hyperlink" Target="https://smp.sfurf.office/sd/operator/" TargetMode="External"/><Relationship Id="rId556" Type="http://schemas.openxmlformats.org/officeDocument/2006/relationships/hyperlink" Target="2019_12\18.12.2019\63463" TargetMode="External"/><Relationship Id="rId763" Type="http://schemas.openxmlformats.org/officeDocument/2006/relationships/hyperlink" Target="2020_01/09.01.2020/80247" TargetMode="External"/><Relationship Id="rId1186" Type="http://schemas.openxmlformats.org/officeDocument/2006/relationships/hyperlink" Target="2020_02\10.02.2020\-7037" TargetMode="External"/><Relationship Id="rId1393" Type="http://schemas.openxmlformats.org/officeDocument/2006/relationships/hyperlink" Target="2020_03\02.03.2020\19059" TargetMode="External"/><Relationship Id="rId2237" Type="http://schemas.openxmlformats.org/officeDocument/2006/relationships/hyperlink" Target="2020_06\01.06.2020\64624" TargetMode="External"/><Relationship Id="rId2444" Type="http://schemas.openxmlformats.org/officeDocument/2006/relationships/hyperlink" Target="2020_06/16.06.2020/64165" TargetMode="External"/><Relationship Id="rId209" Type="http://schemas.openxmlformats.org/officeDocument/2006/relationships/hyperlink" Target="https://smp.sfurf.office/sd/operator/" TargetMode="External"/><Relationship Id="rId416" Type="http://schemas.openxmlformats.org/officeDocument/2006/relationships/hyperlink" Target="2019_12\02.12.2019\61417" TargetMode="External"/><Relationship Id="rId970" Type="http://schemas.openxmlformats.org/officeDocument/2006/relationships/hyperlink" Target="2020_01/23.01.2020/80927" TargetMode="External"/><Relationship Id="rId1046" Type="http://schemas.openxmlformats.org/officeDocument/2006/relationships/hyperlink" Target="2020_01\30.01.2020\84764" TargetMode="External"/><Relationship Id="rId1253" Type="http://schemas.openxmlformats.org/officeDocument/2006/relationships/hyperlink" Target="2020_02/19.02.2020/-3749" TargetMode="External"/><Relationship Id="rId2651" Type="http://schemas.openxmlformats.org/officeDocument/2006/relationships/hyperlink" Target="2020_06\26.06.2020\78631" TargetMode="External"/><Relationship Id="rId623" Type="http://schemas.openxmlformats.org/officeDocument/2006/relationships/hyperlink" Target="2019_12\24.12.2019\75139" TargetMode="External"/><Relationship Id="rId830" Type="http://schemas.openxmlformats.org/officeDocument/2006/relationships/hyperlink" Target="2020_01/15.01.2020/75449" TargetMode="External"/><Relationship Id="rId1460" Type="http://schemas.openxmlformats.org/officeDocument/2006/relationships/hyperlink" Target="2020_03\06.03.2020\22453" TargetMode="External"/><Relationship Id="rId2304" Type="http://schemas.openxmlformats.org/officeDocument/2006/relationships/hyperlink" Target="2020_06/16.06.2020/57133" TargetMode="External"/><Relationship Id="rId2511" Type="http://schemas.openxmlformats.org/officeDocument/2006/relationships/hyperlink" Target="2020_06\16.06.2020\64680" TargetMode="External"/><Relationship Id="rId1113" Type="http://schemas.openxmlformats.org/officeDocument/2006/relationships/hyperlink" Target="2020_02/04.02.2020/-2082" TargetMode="External"/><Relationship Id="rId1320" Type="http://schemas.openxmlformats.org/officeDocument/2006/relationships/hyperlink" Target="2020_02/26.02.2020/-7584" TargetMode="External"/><Relationship Id="rId2094" Type="http://schemas.openxmlformats.org/officeDocument/2006/relationships/hyperlink" Target="2020_06/01.06.2020/60838" TargetMode="External"/><Relationship Id="rId273" Type="http://schemas.openxmlformats.org/officeDocument/2006/relationships/hyperlink" Target="https://smp.sfurf.office/sd/operator/" TargetMode="External"/><Relationship Id="rId480" Type="http://schemas.openxmlformats.org/officeDocument/2006/relationships/hyperlink" Target="2019_12\11.12.2019\59837" TargetMode="External"/><Relationship Id="rId2161" Type="http://schemas.openxmlformats.org/officeDocument/2006/relationships/hyperlink" Target="2020_06/04.06.2020/42833" TargetMode="External"/><Relationship Id="rId133" Type="http://schemas.openxmlformats.org/officeDocument/2006/relationships/hyperlink" Target="2019_10\22.10.2019\18885" TargetMode="External"/><Relationship Id="rId340" Type="http://schemas.openxmlformats.org/officeDocument/2006/relationships/hyperlink" Target="https://smp.sfurf.office/sd/operator/" TargetMode="External"/><Relationship Id="rId2021" Type="http://schemas.openxmlformats.org/officeDocument/2006/relationships/hyperlink" Target="2020_05/27.05.2020/52566" TargetMode="External"/><Relationship Id="rId200" Type="http://schemas.openxmlformats.org/officeDocument/2006/relationships/hyperlink" Target="2019_10\14.10.2019\27968" TargetMode="External"/><Relationship Id="rId1787" Type="http://schemas.openxmlformats.org/officeDocument/2006/relationships/hyperlink" Target="2020_04\09.04.2020\29487" TargetMode="External"/><Relationship Id="rId1994" Type="http://schemas.openxmlformats.org/officeDocument/2006/relationships/hyperlink" Target="2020_05/27.05.2020/39052" TargetMode="External"/><Relationship Id="rId79" Type="http://schemas.openxmlformats.org/officeDocument/2006/relationships/hyperlink" Target="2019_10\16.10.2019\36144" TargetMode="External"/><Relationship Id="rId1647" Type="http://schemas.openxmlformats.org/officeDocument/2006/relationships/hyperlink" Target="2020_03\25.03.2020\33242" TargetMode="External"/><Relationship Id="rId1854" Type="http://schemas.openxmlformats.org/officeDocument/2006/relationships/hyperlink" Target="2020_05/13.05.2020/40768" TargetMode="External"/><Relationship Id="rId1507" Type="http://schemas.openxmlformats.org/officeDocument/2006/relationships/hyperlink" Target="2020_03\11.03.2020\14540" TargetMode="External"/><Relationship Id="rId1714" Type="http://schemas.openxmlformats.org/officeDocument/2006/relationships/hyperlink" Target="2020_03/27.03.2020/34639" TargetMode="External"/><Relationship Id="rId1921" Type="http://schemas.openxmlformats.org/officeDocument/2006/relationships/hyperlink" Target="2020_05/21.05.2020/45184" TargetMode="External"/><Relationship Id="rId2488" Type="http://schemas.openxmlformats.org/officeDocument/2006/relationships/hyperlink" Target="2020_06/10.06.2020/71117" TargetMode="External"/><Relationship Id="rId1297" Type="http://schemas.openxmlformats.org/officeDocument/2006/relationships/hyperlink" Target="2020_02/21.02.2020/-4869" TargetMode="External"/><Relationship Id="rId667" Type="http://schemas.openxmlformats.org/officeDocument/2006/relationships/hyperlink" Target="2019_12\26.12.2019\77649" TargetMode="External"/><Relationship Id="rId874" Type="http://schemas.openxmlformats.org/officeDocument/2006/relationships/hyperlink" Target="2020_01\16.01.2020\76196" TargetMode="External"/><Relationship Id="rId2348" Type="http://schemas.openxmlformats.org/officeDocument/2006/relationships/hyperlink" Target="2020_06/10.06.2020/71207" TargetMode="External"/><Relationship Id="rId2555" Type="http://schemas.openxmlformats.org/officeDocument/2006/relationships/hyperlink" Target="2020_06/22.06.2020/67989" TargetMode="External"/><Relationship Id="rId527" Type="http://schemas.openxmlformats.org/officeDocument/2006/relationships/hyperlink" Target="2019_12\16.12.2019\61387" TargetMode="External"/><Relationship Id="rId734" Type="http://schemas.openxmlformats.org/officeDocument/2006/relationships/hyperlink" Target="2019_12/31.12.2019/79909" TargetMode="External"/><Relationship Id="rId941" Type="http://schemas.openxmlformats.org/officeDocument/2006/relationships/hyperlink" Target="2020_01/22.01.2020/79805" TargetMode="External"/><Relationship Id="rId1157" Type="http://schemas.openxmlformats.org/officeDocument/2006/relationships/hyperlink" Target="2020_02\06.02.2020\89370" TargetMode="External"/><Relationship Id="rId1364" Type="http://schemas.openxmlformats.org/officeDocument/2006/relationships/hyperlink" Target="2020_02/27.02.2020/17274" TargetMode="External"/><Relationship Id="rId1571" Type="http://schemas.openxmlformats.org/officeDocument/2006/relationships/hyperlink" Target="2020_03\18.03.2020\19551" TargetMode="External"/><Relationship Id="rId2208" Type="http://schemas.openxmlformats.org/officeDocument/2006/relationships/hyperlink" Target="2020_06\10.06.2020\46679" TargetMode="External"/><Relationship Id="rId2415" Type="http://schemas.openxmlformats.org/officeDocument/2006/relationships/hyperlink" Target="2020_06/09.06.2020/69265" TargetMode="External"/><Relationship Id="rId2622" Type="http://schemas.openxmlformats.org/officeDocument/2006/relationships/hyperlink" Target="2020_06/25.06.2020/78002" TargetMode="External"/><Relationship Id="rId70" Type="http://schemas.openxmlformats.org/officeDocument/2006/relationships/hyperlink" Target="https://smp.sfurf.office/sd/operator/index.jsp;jsessionid=4B56FDB405CD332F2E4AE6AEC0BFEE05" TargetMode="External"/><Relationship Id="rId801" Type="http://schemas.openxmlformats.org/officeDocument/2006/relationships/hyperlink" Target="2020_01/13.01.2020/65867" TargetMode="External"/><Relationship Id="rId1017" Type="http://schemas.openxmlformats.org/officeDocument/2006/relationships/hyperlink" Target="2020_01\28.01.2020\90732" TargetMode="External"/><Relationship Id="rId1224" Type="http://schemas.openxmlformats.org/officeDocument/2006/relationships/hyperlink" Target="2020_02\12.02.2020\91849" TargetMode="External"/><Relationship Id="rId1431" Type="http://schemas.openxmlformats.org/officeDocument/2006/relationships/hyperlink" Target="2020_03/04.03.2020/11415" TargetMode="External"/><Relationship Id="rId177" Type="http://schemas.openxmlformats.org/officeDocument/2006/relationships/hyperlink" Target="2019_10\28.10.2019\34694" TargetMode="External"/><Relationship Id="rId384" Type="http://schemas.openxmlformats.org/officeDocument/2006/relationships/hyperlink" Target="2019_11\27.11.2019\59824" TargetMode="External"/><Relationship Id="rId591" Type="http://schemas.openxmlformats.org/officeDocument/2006/relationships/hyperlink" Target="2019_12\20.12.2019\65903" TargetMode="External"/><Relationship Id="rId2065" Type="http://schemas.openxmlformats.org/officeDocument/2006/relationships/hyperlink" Target="2020_05\27.05.2020\53878" TargetMode="External"/><Relationship Id="rId2272" Type="http://schemas.openxmlformats.org/officeDocument/2006/relationships/hyperlink" Target="2020_06/16.06.2020/61579" TargetMode="External"/><Relationship Id="rId244" Type="http://schemas.openxmlformats.org/officeDocument/2006/relationships/hyperlink" Target="https://smp.sfurf.office/sd/operator/" TargetMode="External"/><Relationship Id="rId1081" Type="http://schemas.openxmlformats.org/officeDocument/2006/relationships/hyperlink" Target="2020_02\03.02.2020\86052" TargetMode="External"/><Relationship Id="rId451" Type="http://schemas.openxmlformats.org/officeDocument/2006/relationships/hyperlink" Target="https://smp.sfurf.office/sd/operator/" TargetMode="External"/><Relationship Id="rId2132" Type="http://schemas.openxmlformats.org/officeDocument/2006/relationships/hyperlink" Target="2020_06/01.06.2020/61016" TargetMode="External"/><Relationship Id="rId104" Type="http://schemas.openxmlformats.org/officeDocument/2006/relationships/hyperlink" Target="2019_11\01.11.2019\37854" TargetMode="External"/><Relationship Id="rId311" Type="http://schemas.openxmlformats.org/officeDocument/2006/relationships/hyperlink" Target="https://smp.sfurf.office/sd/operator/index.jsp;jsessionid=4B56FDB405CD332F2E4AE6AEC0BFEE05" TargetMode="External"/><Relationship Id="rId1898" Type="http://schemas.openxmlformats.org/officeDocument/2006/relationships/hyperlink" Target="2020_05\20.05.2020\34600" TargetMode="External"/><Relationship Id="rId1758" Type="http://schemas.openxmlformats.org/officeDocument/2006/relationships/hyperlink" Target="2020_04/07.04.2020/37022" TargetMode="External"/><Relationship Id="rId1965" Type="http://schemas.openxmlformats.org/officeDocument/2006/relationships/hyperlink" Target="2020_05\20.05.2020\35197" TargetMode="External"/><Relationship Id="rId1618" Type="http://schemas.openxmlformats.org/officeDocument/2006/relationships/hyperlink" Target="2020_03/23.03.2020/21817" TargetMode="External"/><Relationship Id="rId1825" Type="http://schemas.openxmlformats.org/officeDocument/2006/relationships/hyperlink" Target="2020_05\13.05.2020\39980" TargetMode="External"/><Relationship Id="rId2599" Type="http://schemas.openxmlformats.org/officeDocument/2006/relationships/hyperlink" Target="2020_06/23.06.2020/76976" TargetMode="External"/><Relationship Id="rId778" Type="http://schemas.openxmlformats.org/officeDocument/2006/relationships/hyperlink" Target="2020_01/09.01.2020/73194" TargetMode="External"/><Relationship Id="rId985" Type="http://schemas.openxmlformats.org/officeDocument/2006/relationships/hyperlink" Target="2020_01/24.01.2020/89334" TargetMode="External"/><Relationship Id="rId2459" Type="http://schemas.openxmlformats.org/officeDocument/2006/relationships/hyperlink" Target="2020_06/17.06.2020/66732" TargetMode="External"/><Relationship Id="rId2666" Type="http://schemas.openxmlformats.org/officeDocument/2006/relationships/hyperlink" Target="2020_07/02.07.2020/72476" TargetMode="External"/><Relationship Id="rId638" Type="http://schemas.openxmlformats.org/officeDocument/2006/relationships/hyperlink" Target="2019_12/24.12.2019/66937" TargetMode="External"/><Relationship Id="rId845" Type="http://schemas.openxmlformats.org/officeDocument/2006/relationships/hyperlink" Target="2020_01\15.01.2020\83401" TargetMode="External"/><Relationship Id="rId1268" Type="http://schemas.openxmlformats.org/officeDocument/2006/relationships/hyperlink" Target="2020_02/20.02.2020/-4213" TargetMode="External"/><Relationship Id="rId1475" Type="http://schemas.openxmlformats.org/officeDocument/2006/relationships/hyperlink" Target="2020_03/10.03.2020/13611" TargetMode="External"/><Relationship Id="rId1682" Type="http://schemas.openxmlformats.org/officeDocument/2006/relationships/hyperlink" Target="2020_03/26.03.2020/24850" TargetMode="External"/><Relationship Id="rId2319" Type="http://schemas.openxmlformats.org/officeDocument/2006/relationships/hyperlink" Target="2020_06/16.06.2020/53377" TargetMode="External"/><Relationship Id="rId2526" Type="http://schemas.openxmlformats.org/officeDocument/2006/relationships/hyperlink" Target="2020_06/18.06.2020/67063" TargetMode="External"/><Relationship Id="rId705" Type="http://schemas.openxmlformats.org/officeDocument/2006/relationships/hyperlink" Target="2019_12/27.12.2019/77898" TargetMode="External"/><Relationship Id="rId1128" Type="http://schemas.openxmlformats.org/officeDocument/2006/relationships/hyperlink" Target="2020_02\05.02.2020\-3736" TargetMode="External"/><Relationship Id="rId1335" Type="http://schemas.openxmlformats.org/officeDocument/2006/relationships/hyperlink" Target="2020_02\26.02.2020\15823" TargetMode="External"/><Relationship Id="rId1542" Type="http://schemas.openxmlformats.org/officeDocument/2006/relationships/hyperlink" Target="2020_03\16.03.2020\17574" TargetMode="External"/><Relationship Id="rId912" Type="http://schemas.openxmlformats.org/officeDocument/2006/relationships/hyperlink" Target="2020_01/20.01.2020/78309" TargetMode="External"/><Relationship Id="rId41" Type="http://schemas.openxmlformats.org/officeDocument/2006/relationships/hyperlink" Target="https://smp.sfurf.office/sd/operator/" TargetMode="External"/><Relationship Id="rId1402" Type="http://schemas.openxmlformats.org/officeDocument/2006/relationships/hyperlink" Target="2020_03\03.03.2020\10979" TargetMode="External"/><Relationship Id="rId288" Type="http://schemas.openxmlformats.org/officeDocument/2006/relationships/hyperlink" Target="2019_11\11.11.2019\49687" TargetMode="External"/><Relationship Id="rId495" Type="http://schemas.openxmlformats.org/officeDocument/2006/relationships/hyperlink" Target="2019_12\12.12.2019\60328" TargetMode="External"/><Relationship Id="rId2176" Type="http://schemas.openxmlformats.org/officeDocument/2006/relationships/hyperlink" Target="2020_06/08.06.2020/44071" TargetMode="External"/><Relationship Id="rId2383" Type="http://schemas.openxmlformats.org/officeDocument/2006/relationships/hyperlink" Target="2020_06/16.06.2020/56662" TargetMode="External"/><Relationship Id="rId2590" Type="http://schemas.openxmlformats.org/officeDocument/2006/relationships/hyperlink" Target="2020_06/23.06.2020/64292" TargetMode="External"/><Relationship Id="rId148" Type="http://schemas.openxmlformats.org/officeDocument/2006/relationships/hyperlink" Target="2019_11\07.11.2019\39991" TargetMode="External"/><Relationship Id="rId355" Type="http://schemas.openxmlformats.org/officeDocument/2006/relationships/hyperlink" Target="https://smp.sfurf.office/sd/operator/" TargetMode="External"/><Relationship Id="rId562" Type="http://schemas.openxmlformats.org/officeDocument/2006/relationships/hyperlink" Target="2019_12/18.12.2019/64041" TargetMode="External"/><Relationship Id="rId1192" Type="http://schemas.openxmlformats.org/officeDocument/2006/relationships/hyperlink" Target="2020_02\11.02.2020\90733" TargetMode="External"/><Relationship Id="rId2036" Type="http://schemas.openxmlformats.org/officeDocument/2006/relationships/hyperlink" Target="2020_05\26.05.2020\49005" TargetMode="External"/><Relationship Id="rId2243" Type="http://schemas.openxmlformats.org/officeDocument/2006/relationships/hyperlink" Target="2020_06/01.06.2020/65263" TargetMode="External"/><Relationship Id="rId2450" Type="http://schemas.openxmlformats.org/officeDocument/2006/relationships/hyperlink" Target="2020_06/16.06.2020/65281" TargetMode="External"/><Relationship Id="rId215" Type="http://schemas.openxmlformats.org/officeDocument/2006/relationships/hyperlink" Target="2019_11\14.11.2019\43857" TargetMode="External"/><Relationship Id="rId422" Type="http://schemas.openxmlformats.org/officeDocument/2006/relationships/hyperlink" Target="2019_12\04.12.2019\64002" TargetMode="External"/><Relationship Id="rId1052" Type="http://schemas.openxmlformats.org/officeDocument/2006/relationships/hyperlink" Target="2020_01\30.01.2020\84558" TargetMode="External"/><Relationship Id="rId2103" Type="http://schemas.openxmlformats.org/officeDocument/2006/relationships/hyperlink" Target="2020_06/01.06.2020/60452" TargetMode="External"/><Relationship Id="rId2310" Type="http://schemas.openxmlformats.org/officeDocument/2006/relationships/hyperlink" Target="2020_06/01.06.2020/62327" TargetMode="External"/><Relationship Id="rId1869" Type="http://schemas.openxmlformats.org/officeDocument/2006/relationships/hyperlink" Target="2020_05/08.05.2020/28226" TargetMode="External"/><Relationship Id="rId1729" Type="http://schemas.openxmlformats.org/officeDocument/2006/relationships/hyperlink" Target="2020_04\06.04.2020\26970" TargetMode="External"/><Relationship Id="rId1936" Type="http://schemas.openxmlformats.org/officeDocument/2006/relationships/hyperlink" Target="2020_05/19.05.2020/33626" TargetMode="External"/><Relationship Id="rId5" Type="http://schemas.openxmlformats.org/officeDocument/2006/relationships/hyperlink" Target="https://smp.sfurf.office/sd/operator/index.jsp;jsessionid=4B56FDB405CD332F2E4AE6AEC0BFEE05" TargetMode="External"/><Relationship Id="rId889" Type="http://schemas.openxmlformats.org/officeDocument/2006/relationships/hyperlink" Target="2020_01\17.01.2020\76827" TargetMode="External"/><Relationship Id="rId749" Type="http://schemas.openxmlformats.org/officeDocument/2006/relationships/hyperlink" Target="2019_12/31.12.2019/71378" TargetMode="External"/><Relationship Id="rId1379" Type="http://schemas.openxmlformats.org/officeDocument/2006/relationships/hyperlink" Target="2020_02\28.02.2020\-9746" TargetMode="External"/><Relationship Id="rId1586" Type="http://schemas.openxmlformats.org/officeDocument/2006/relationships/hyperlink" Target="2020_03\18.03.2020\28399" TargetMode="External"/><Relationship Id="rId609" Type="http://schemas.openxmlformats.org/officeDocument/2006/relationships/hyperlink" Target="2019_12/23.12.2019/67308" TargetMode="External"/><Relationship Id="rId956" Type="http://schemas.openxmlformats.org/officeDocument/2006/relationships/hyperlink" Target="2020_01/22.01.2020/88638" TargetMode="External"/><Relationship Id="rId1239" Type="http://schemas.openxmlformats.org/officeDocument/2006/relationships/hyperlink" Target="2020_02/18.02.2020/11637" TargetMode="External"/><Relationship Id="rId1793" Type="http://schemas.openxmlformats.org/officeDocument/2006/relationships/hyperlink" Target="2020_04\09.04.2020\38492" TargetMode="External"/><Relationship Id="rId2637" Type="http://schemas.openxmlformats.org/officeDocument/2006/relationships/hyperlink" Target="2020_06/25.06.2020/70132" TargetMode="External"/><Relationship Id="rId85" Type="http://schemas.openxmlformats.org/officeDocument/2006/relationships/hyperlink" Target="https://smp.sfurf.office/sd/operator/" TargetMode="External"/><Relationship Id="rId816" Type="http://schemas.openxmlformats.org/officeDocument/2006/relationships/hyperlink" Target="2020_01\13.01.2020\74799" TargetMode="External"/><Relationship Id="rId1446" Type="http://schemas.openxmlformats.org/officeDocument/2006/relationships/hyperlink" Target="2020_03\05.03.2020\12654" TargetMode="External"/><Relationship Id="rId1653" Type="http://schemas.openxmlformats.org/officeDocument/2006/relationships/hyperlink" Target="2020_03\24.03.2020\32068" TargetMode="External"/><Relationship Id="rId1860" Type="http://schemas.openxmlformats.org/officeDocument/2006/relationships/hyperlink" Target="2020_05/13.05.2020/39870" TargetMode="External"/><Relationship Id="rId1306" Type="http://schemas.openxmlformats.org/officeDocument/2006/relationships/hyperlink" Target="2020_02/25.02.2020/-6891" TargetMode="External"/><Relationship Id="rId1513" Type="http://schemas.openxmlformats.org/officeDocument/2006/relationships/hyperlink" Target="2020_03\12.03.2020\-2409" TargetMode="External"/><Relationship Id="rId1720" Type="http://schemas.openxmlformats.org/officeDocument/2006/relationships/hyperlink" Target="2020_04\06.04.2020\35388" TargetMode="External"/><Relationship Id="rId12" Type="http://schemas.openxmlformats.org/officeDocument/2006/relationships/hyperlink" Target="https://smp.sfurf.office/sd/operator/index.jsp;jsessionid=4B56FDB405CD332F2E4AE6AEC0BFEE05" TargetMode="External"/><Relationship Id="rId399" Type="http://schemas.openxmlformats.org/officeDocument/2006/relationships/hyperlink" Target="https://smp.sfurf.office/sd/operator/" TargetMode="External"/><Relationship Id="rId2287" Type="http://schemas.openxmlformats.org/officeDocument/2006/relationships/hyperlink" Target="2020_06/16.06.2020/50930" TargetMode="External"/><Relationship Id="rId2494" Type="http://schemas.openxmlformats.org/officeDocument/2006/relationships/hyperlink" Target="2020_06/17.06.2020/65970" TargetMode="External"/><Relationship Id="rId259" Type="http://schemas.openxmlformats.org/officeDocument/2006/relationships/hyperlink" Target="2019_11\19.11.2019\47209" TargetMode="External"/><Relationship Id="rId466" Type="http://schemas.openxmlformats.org/officeDocument/2006/relationships/hyperlink" Target="2019_12\09.12.2019\53076" TargetMode="External"/><Relationship Id="rId673" Type="http://schemas.openxmlformats.org/officeDocument/2006/relationships/hyperlink" Target="2019_12/26.12.2019/69707" TargetMode="External"/><Relationship Id="rId880" Type="http://schemas.openxmlformats.org/officeDocument/2006/relationships/hyperlink" Target="2020_01/17.01.2020/85190" TargetMode="External"/><Relationship Id="rId1096" Type="http://schemas.openxmlformats.org/officeDocument/2006/relationships/hyperlink" Target="2020_02\05.02.2020\80050" TargetMode="External"/><Relationship Id="rId2147" Type="http://schemas.openxmlformats.org/officeDocument/2006/relationships/hyperlink" Target="2020_06\08.06.2020\44403" TargetMode="External"/><Relationship Id="rId2354" Type="http://schemas.openxmlformats.org/officeDocument/2006/relationships/hyperlink" Target="2020_06/16.06.2020/60873" TargetMode="External"/><Relationship Id="rId2561" Type="http://schemas.openxmlformats.org/officeDocument/2006/relationships/hyperlink" Target="2020_06\23.06.2020\77636" TargetMode="External"/><Relationship Id="rId119" Type="http://schemas.openxmlformats.org/officeDocument/2006/relationships/hyperlink" Target="https://smp.sfurf.office/sd/operator/index.jsp;jsessionid=4B56FDB405CD332F2E4AE6AEC0BFEE05" TargetMode="External"/><Relationship Id="rId326" Type="http://schemas.openxmlformats.org/officeDocument/2006/relationships/hyperlink" Target="2019_11\20.11.2019\55576" TargetMode="External"/><Relationship Id="rId533" Type="http://schemas.openxmlformats.org/officeDocument/2006/relationships/hyperlink" Target="2019_12\17.12.2019\70843" TargetMode="External"/><Relationship Id="rId1163" Type="http://schemas.openxmlformats.org/officeDocument/2006/relationships/hyperlink" Target="2020_02\10.02.2020\89955" TargetMode="External"/><Relationship Id="rId1370" Type="http://schemas.openxmlformats.org/officeDocument/2006/relationships/hyperlink" Target="2020_02/28.02.2020/17577" TargetMode="External"/><Relationship Id="rId2007" Type="http://schemas.openxmlformats.org/officeDocument/2006/relationships/hyperlink" Target="2020_05/22.05.2020/45776" TargetMode="External"/><Relationship Id="rId2214" Type="http://schemas.openxmlformats.org/officeDocument/2006/relationships/hyperlink" Target="2020_06/11.06.2020/47788" TargetMode="External"/><Relationship Id="rId740" Type="http://schemas.openxmlformats.org/officeDocument/2006/relationships/hyperlink" Target="2019_12/31.12.2019/79602" TargetMode="External"/><Relationship Id="rId1023" Type="http://schemas.openxmlformats.org/officeDocument/2006/relationships/hyperlink" Target="2020_01\29.01.2020\83264" TargetMode="External"/><Relationship Id="rId2421" Type="http://schemas.openxmlformats.org/officeDocument/2006/relationships/hyperlink" Target="2020_06/15.06.2020/72146" TargetMode="External"/><Relationship Id="rId600" Type="http://schemas.openxmlformats.org/officeDocument/2006/relationships/hyperlink" Target="2019_12\20.12.2019\73578" TargetMode="External"/><Relationship Id="rId1230" Type="http://schemas.openxmlformats.org/officeDocument/2006/relationships/hyperlink" Target="2020_02\12.02.2020\-8294" TargetMode="External"/><Relationship Id="rId183" Type="http://schemas.openxmlformats.org/officeDocument/2006/relationships/hyperlink" Target="https://smp.sfurf.office/sd/operator/index.jsp;jsessionid=4B56FDB405CD332F2E4AE6AEC0BFEE05" TargetMode="External"/><Relationship Id="rId390" Type="http://schemas.openxmlformats.org/officeDocument/2006/relationships/hyperlink" Target="2019_11\28.11.2019\60237" TargetMode="External"/><Relationship Id="rId1907" Type="http://schemas.openxmlformats.org/officeDocument/2006/relationships/hyperlink" Target="2020_05\18.05.2020\32922" TargetMode="External"/><Relationship Id="rId2071" Type="http://schemas.openxmlformats.org/officeDocument/2006/relationships/hyperlink" Target="2020_06\01.06.2020\54406" TargetMode="External"/><Relationship Id="rId250" Type="http://schemas.openxmlformats.org/officeDocument/2006/relationships/hyperlink" Target="2019_11\18.11.2019\44887" TargetMode="External"/><Relationship Id="rId110" Type="http://schemas.openxmlformats.org/officeDocument/2006/relationships/hyperlink" Target="https://smp.sfurf.office/sd/operator/" TargetMode="External"/><Relationship Id="rId1697" Type="http://schemas.openxmlformats.org/officeDocument/2006/relationships/hyperlink" Target="2020_03\26.03.2020\24258" TargetMode="External"/><Relationship Id="rId927" Type="http://schemas.openxmlformats.org/officeDocument/2006/relationships/hyperlink" Target="2020_01\22.01.2020\88647" TargetMode="External"/><Relationship Id="rId1557" Type="http://schemas.openxmlformats.org/officeDocument/2006/relationships/hyperlink" Target="2020_03/17.03.2020/19160" TargetMode="External"/><Relationship Id="rId1764" Type="http://schemas.openxmlformats.org/officeDocument/2006/relationships/hyperlink" Target="2020_04/08.04.2020/28072" TargetMode="External"/><Relationship Id="rId1971" Type="http://schemas.openxmlformats.org/officeDocument/2006/relationships/hyperlink" Target="2020_05/27.05.2020/49489" TargetMode="External"/><Relationship Id="rId2608" Type="http://schemas.openxmlformats.org/officeDocument/2006/relationships/hyperlink" Target="2020_06/25.06.2020/69252" TargetMode="External"/><Relationship Id="rId56" Type="http://schemas.openxmlformats.org/officeDocument/2006/relationships/hyperlink" Target="https://smp.sfurf.office/sd/operator/" TargetMode="External"/><Relationship Id="rId1417" Type="http://schemas.openxmlformats.org/officeDocument/2006/relationships/hyperlink" Target="2020_03/03.03.2020/10420" TargetMode="External"/><Relationship Id="rId1624" Type="http://schemas.openxmlformats.org/officeDocument/2006/relationships/hyperlink" Target="2020_03\23.03.2020\22110" TargetMode="External"/><Relationship Id="rId1831" Type="http://schemas.openxmlformats.org/officeDocument/2006/relationships/hyperlink" Target="2020_05\12.05.2020\38692" TargetMode="External"/><Relationship Id="rId2398" Type="http://schemas.openxmlformats.org/officeDocument/2006/relationships/hyperlink" Target="2020_06/16.06.2020/54809" TargetMode="External"/><Relationship Id="rId577" Type="http://schemas.openxmlformats.org/officeDocument/2006/relationships/hyperlink" Target="2019_12\19.12.2019\72868" TargetMode="External"/><Relationship Id="rId2258" Type="http://schemas.openxmlformats.org/officeDocument/2006/relationships/hyperlink" Target="2020_06/16.06.2020/51011" TargetMode="External"/><Relationship Id="rId784" Type="http://schemas.openxmlformats.org/officeDocument/2006/relationships/hyperlink" Target="2020_01/09.01.2020/80444" TargetMode="External"/><Relationship Id="rId991" Type="http://schemas.openxmlformats.org/officeDocument/2006/relationships/hyperlink" Target="2020_01/27.01.2020/82317" TargetMode="External"/><Relationship Id="rId1067" Type="http://schemas.openxmlformats.org/officeDocument/2006/relationships/hyperlink" Target="2020_01\31.01.2020\0-202" TargetMode="External"/><Relationship Id="rId2465" Type="http://schemas.openxmlformats.org/officeDocument/2006/relationships/hyperlink" Target="2020_06/16.06.2020/54896" TargetMode="External"/><Relationship Id="rId2672" Type="http://schemas.openxmlformats.org/officeDocument/2006/relationships/hyperlink" Target="2020_07\02.07.2020\73020" TargetMode="External"/><Relationship Id="rId437" Type="http://schemas.openxmlformats.org/officeDocument/2006/relationships/hyperlink" Target="https://smp.sfurf.office/sd/operator/" TargetMode="External"/><Relationship Id="rId644" Type="http://schemas.openxmlformats.org/officeDocument/2006/relationships/hyperlink" Target="2019_12/25.12.2019/68633" TargetMode="External"/><Relationship Id="rId851" Type="http://schemas.openxmlformats.org/officeDocument/2006/relationships/hyperlink" Target="2020_01/15.01.2020/66379" TargetMode="External"/><Relationship Id="rId1274" Type="http://schemas.openxmlformats.org/officeDocument/2006/relationships/hyperlink" Target="2020_02\20.02.2020\13374" TargetMode="External"/><Relationship Id="rId1481" Type="http://schemas.openxmlformats.org/officeDocument/2006/relationships/hyperlink" Target="2020_03\10.03.2020\23255" TargetMode="External"/><Relationship Id="rId2118" Type="http://schemas.openxmlformats.org/officeDocument/2006/relationships/hyperlink" Target="2020_06/01.06.2020/60872" TargetMode="External"/><Relationship Id="rId2325" Type="http://schemas.openxmlformats.org/officeDocument/2006/relationships/hyperlink" Target="2020_06\16.06.2020\59649" TargetMode="External"/><Relationship Id="rId2532" Type="http://schemas.openxmlformats.org/officeDocument/2006/relationships/hyperlink" Target="2020_06/16.06.2020/53898" TargetMode="External"/><Relationship Id="rId504" Type="http://schemas.openxmlformats.org/officeDocument/2006/relationships/hyperlink" Target="2019_12\13.12.2019\69922" TargetMode="External"/><Relationship Id="rId711" Type="http://schemas.openxmlformats.org/officeDocument/2006/relationships/hyperlink" Target="2019_12/30.12.2019/70186" TargetMode="External"/><Relationship Id="rId1134" Type="http://schemas.openxmlformats.org/officeDocument/2006/relationships/hyperlink" Target="2020_02\05.02.2020\-3529" TargetMode="External"/><Relationship Id="rId1341" Type="http://schemas.openxmlformats.org/officeDocument/2006/relationships/hyperlink" Target="2020_02/27.02.2020/-8271" TargetMode="External"/><Relationship Id="rId78" Type="http://schemas.openxmlformats.org/officeDocument/2006/relationships/hyperlink" Target="https://smp.sfurf.office/sd/operator/index.jsp;jsessionid=4B56FDB405CD332F2E4AE6AEC0BFEE05" TargetMode="External"/><Relationship Id="rId809" Type="http://schemas.openxmlformats.org/officeDocument/2006/relationships/hyperlink" Target="2020_01/13.01.2020/74317" TargetMode="External"/><Relationship Id="rId1201" Type="http://schemas.openxmlformats.org/officeDocument/2006/relationships/hyperlink" Target="2020_02/11.02.2020/-7596" TargetMode="External"/><Relationship Id="rId1439" Type="http://schemas.openxmlformats.org/officeDocument/2006/relationships/hyperlink" Target="2020_03\05.03.2020\12493" TargetMode="External"/><Relationship Id="rId1646" Type="http://schemas.openxmlformats.org/officeDocument/2006/relationships/hyperlink" Target="2020_03\25.03.2020\24410" TargetMode="External"/><Relationship Id="rId1853" Type="http://schemas.openxmlformats.org/officeDocument/2006/relationships/hyperlink" Target="2020_05/13.05.2020/29981" TargetMode="External"/><Relationship Id="rId1506" Type="http://schemas.openxmlformats.org/officeDocument/2006/relationships/hyperlink" Target="2020_03\11.03.2020\23928" TargetMode="External"/><Relationship Id="rId1713" Type="http://schemas.openxmlformats.org/officeDocument/2006/relationships/hyperlink" Target="2020_03/27.03.2020/25686" TargetMode="External"/><Relationship Id="rId1920" Type="http://schemas.openxmlformats.org/officeDocument/2006/relationships/hyperlink" Target="2020_05/21.05.2020/45853" TargetMode="External"/><Relationship Id="rId294" Type="http://schemas.openxmlformats.org/officeDocument/2006/relationships/hyperlink" Target="2019_10\11.10.2019\34367" TargetMode="External"/><Relationship Id="rId2182" Type="http://schemas.openxmlformats.org/officeDocument/2006/relationships/hyperlink" Target="2020_06/09.06.2020/45478" TargetMode="External"/><Relationship Id="rId154" Type="http://schemas.openxmlformats.org/officeDocument/2006/relationships/hyperlink" Target="../Users/shilyaevan/AppData/Roaming/Microsoft/Excel/2019_10/24.10.2019/40775" TargetMode="External"/><Relationship Id="rId361" Type="http://schemas.openxmlformats.org/officeDocument/2006/relationships/hyperlink" Target="2019_11\22.11.2019\48863" TargetMode="External"/><Relationship Id="rId599" Type="http://schemas.openxmlformats.org/officeDocument/2006/relationships/hyperlink" Target="2019_12\20.12.2019\65795" TargetMode="External"/><Relationship Id="rId2042" Type="http://schemas.openxmlformats.org/officeDocument/2006/relationships/hyperlink" Target="2020_05/25.05.2020/38345" TargetMode="External"/><Relationship Id="rId2487" Type="http://schemas.openxmlformats.org/officeDocument/2006/relationships/hyperlink" Target="2020_06/16.06.2020/72874" TargetMode="External"/><Relationship Id="rId459" Type="http://schemas.openxmlformats.org/officeDocument/2006/relationships/hyperlink" Target="2019_12\09.12.2019\58319" TargetMode="External"/><Relationship Id="rId666" Type="http://schemas.openxmlformats.org/officeDocument/2006/relationships/hyperlink" Target="2019_12\25.12.2019\58619" TargetMode="External"/><Relationship Id="rId873" Type="http://schemas.openxmlformats.org/officeDocument/2006/relationships/hyperlink" Target="2020_01\16.01.2020\84922" TargetMode="External"/><Relationship Id="rId1089" Type="http://schemas.openxmlformats.org/officeDocument/2006/relationships/hyperlink" Target="2020_02\03.02.2020\85896" TargetMode="External"/><Relationship Id="rId1296" Type="http://schemas.openxmlformats.org/officeDocument/2006/relationships/hyperlink" Target="2020_02/21.02.2020/13985" TargetMode="External"/><Relationship Id="rId2347" Type="http://schemas.openxmlformats.org/officeDocument/2006/relationships/hyperlink" Target="2020_06/16.06.2020/51502" TargetMode="External"/><Relationship Id="rId2554" Type="http://schemas.openxmlformats.org/officeDocument/2006/relationships/hyperlink" Target="2020_06/22.06.2020/75715" TargetMode="External"/><Relationship Id="rId221" Type="http://schemas.openxmlformats.org/officeDocument/2006/relationships/hyperlink" Target="https://smp.sfurf.office/sd/operator/" TargetMode="External"/><Relationship Id="rId319" Type="http://schemas.openxmlformats.org/officeDocument/2006/relationships/hyperlink" Target="2019_11\19.11.2019\54139" TargetMode="External"/><Relationship Id="rId526" Type="http://schemas.openxmlformats.org/officeDocument/2006/relationships/hyperlink" Target="2019_12\16.12.2019\70198" TargetMode="External"/><Relationship Id="rId1156" Type="http://schemas.openxmlformats.org/officeDocument/2006/relationships/hyperlink" Target="2020_02\07.02.2020\-4996" TargetMode="External"/><Relationship Id="rId1363" Type="http://schemas.openxmlformats.org/officeDocument/2006/relationships/hyperlink" Target="2020_02/27.02.2020/16934" TargetMode="External"/><Relationship Id="rId2207" Type="http://schemas.openxmlformats.org/officeDocument/2006/relationships/hyperlink" Target="2020_06/10.06.2020/46632" TargetMode="External"/><Relationship Id="rId733" Type="http://schemas.openxmlformats.org/officeDocument/2006/relationships/hyperlink" Target="2019_12/31.12.2019/79902" TargetMode="External"/><Relationship Id="rId940" Type="http://schemas.openxmlformats.org/officeDocument/2006/relationships/hyperlink" Target="2020_01/21.01.2020/86917" TargetMode="External"/><Relationship Id="rId1016" Type="http://schemas.openxmlformats.org/officeDocument/2006/relationships/hyperlink" Target="2020_01\28.01.2020\83721" TargetMode="External"/><Relationship Id="rId1570" Type="http://schemas.openxmlformats.org/officeDocument/2006/relationships/hyperlink" Target="2020_03\18.03.2020\18829" TargetMode="External"/><Relationship Id="rId1668" Type="http://schemas.openxmlformats.org/officeDocument/2006/relationships/hyperlink" Target="2020_03\25.03.2020\24006" TargetMode="External"/><Relationship Id="rId1875" Type="http://schemas.openxmlformats.org/officeDocument/2006/relationships/hyperlink" Target="2020_05\12.05.2020\39325" TargetMode="External"/><Relationship Id="rId2414" Type="http://schemas.openxmlformats.org/officeDocument/2006/relationships/hyperlink" Target="2020_06/09.06.2020/69860" TargetMode="External"/><Relationship Id="rId2621" Type="http://schemas.openxmlformats.org/officeDocument/2006/relationships/hyperlink" Target="2020_06/23.06.2020/68902" TargetMode="External"/><Relationship Id="rId800" Type="http://schemas.openxmlformats.org/officeDocument/2006/relationships/hyperlink" Target="2020_01/10.01.2020/81556" TargetMode="External"/><Relationship Id="rId1223" Type="http://schemas.openxmlformats.org/officeDocument/2006/relationships/hyperlink" Target="2020_02\12.02.2020\91133" TargetMode="External"/><Relationship Id="rId1430" Type="http://schemas.openxmlformats.org/officeDocument/2006/relationships/hyperlink" Target="2020_03\04.03.2020\11095" TargetMode="External"/><Relationship Id="rId1528" Type="http://schemas.openxmlformats.org/officeDocument/2006/relationships/hyperlink" Target="2020_03\13.03.2020\25984" TargetMode="External"/><Relationship Id="rId1735" Type="http://schemas.openxmlformats.org/officeDocument/2006/relationships/hyperlink" Target="2020_04\06.04.2020\26357" TargetMode="External"/><Relationship Id="rId1942" Type="http://schemas.openxmlformats.org/officeDocument/2006/relationships/hyperlink" Target="2020_05\20.05.2020\44247" TargetMode="External"/><Relationship Id="rId27" Type="http://schemas.openxmlformats.org/officeDocument/2006/relationships/hyperlink" Target="https://smp.sfurf.office/sd/operator/index.jsp;jsessionid=4B56FDB405CD332F2E4AE6AEC0BFEE05" TargetMode="External"/><Relationship Id="rId1802" Type="http://schemas.openxmlformats.org/officeDocument/2006/relationships/hyperlink" Target="2020_05/08.05.2020/37251" TargetMode="External"/><Relationship Id="rId176" Type="http://schemas.openxmlformats.org/officeDocument/2006/relationships/hyperlink" Target="https://smp.sfurf.office/sd/operator/index.jsp;jsessionid=4B56FDB405CD332F2E4AE6AEC0BFEE05" TargetMode="External"/><Relationship Id="rId383" Type="http://schemas.openxmlformats.org/officeDocument/2006/relationships/hyperlink" Target="2019_11\27.11.2019\59810" TargetMode="External"/><Relationship Id="rId590" Type="http://schemas.openxmlformats.org/officeDocument/2006/relationships/hyperlink" Target="2019_12\19.12.2019\72908" TargetMode="External"/><Relationship Id="rId2064" Type="http://schemas.openxmlformats.org/officeDocument/2006/relationships/hyperlink" Target="2020_05/27.05.2020/53695" TargetMode="External"/><Relationship Id="rId2271" Type="http://schemas.openxmlformats.org/officeDocument/2006/relationships/hyperlink" Target="2020_06/16.06.2020/50466" TargetMode="External"/><Relationship Id="rId243" Type="http://schemas.openxmlformats.org/officeDocument/2006/relationships/hyperlink" Target="https://smp.sfurf.office/sd/operator/" TargetMode="External"/><Relationship Id="rId450" Type="http://schemas.openxmlformats.org/officeDocument/2006/relationships/hyperlink" Target="https://smp.sfurf.office/sd/operator/" TargetMode="External"/><Relationship Id="rId688" Type="http://schemas.openxmlformats.org/officeDocument/2006/relationships/hyperlink" Target="2019_12\27.12.2019\70779" TargetMode="External"/><Relationship Id="rId895" Type="http://schemas.openxmlformats.org/officeDocument/2006/relationships/hyperlink" Target="2020_01/17.01.2020/77355" TargetMode="External"/><Relationship Id="rId1080" Type="http://schemas.openxmlformats.org/officeDocument/2006/relationships/hyperlink" Target="2020_02/03.02.2020/-2083" TargetMode="External"/><Relationship Id="rId2131" Type="http://schemas.openxmlformats.org/officeDocument/2006/relationships/hyperlink" Target="2020_06/01.06.2020/64117" TargetMode="External"/><Relationship Id="rId2369" Type="http://schemas.openxmlformats.org/officeDocument/2006/relationships/hyperlink" Target="2020_06\10.06.2020\70757" TargetMode="External"/><Relationship Id="rId2576" Type="http://schemas.openxmlformats.org/officeDocument/2006/relationships/hyperlink" Target="2020_06\19.06.2020\74864" TargetMode="External"/><Relationship Id="rId103" Type="http://schemas.openxmlformats.org/officeDocument/2006/relationships/hyperlink" Target="../Users/shilyaevan/AppData/Roaming/Microsoft/Excel/2019_10/18.10.2019/37856" TargetMode="External"/><Relationship Id="rId310" Type="http://schemas.openxmlformats.org/officeDocument/2006/relationships/hyperlink" Target="https://smp.sfurf.office/sd/operator/index.jsp;jsessionid=4B56FDB405CD332F2E4AE6AEC0BFEE05" TargetMode="External"/><Relationship Id="rId548" Type="http://schemas.openxmlformats.org/officeDocument/2006/relationships/hyperlink" Target="2019_12/17.12.2019/71393" TargetMode="External"/><Relationship Id="rId755" Type="http://schemas.openxmlformats.org/officeDocument/2006/relationships/hyperlink" Target="2019_12\31.12.2019\79789" TargetMode="External"/><Relationship Id="rId962" Type="http://schemas.openxmlformats.org/officeDocument/2006/relationships/hyperlink" Target="2020_01\23.01.2020\80931" TargetMode="External"/><Relationship Id="rId1178" Type="http://schemas.openxmlformats.org/officeDocument/2006/relationships/hyperlink" Target="2020_02\10.02.2020\-7122" TargetMode="External"/><Relationship Id="rId1385" Type="http://schemas.openxmlformats.org/officeDocument/2006/relationships/hyperlink" Target="2020_03/02.03.2020/18550" TargetMode="External"/><Relationship Id="rId1592" Type="http://schemas.openxmlformats.org/officeDocument/2006/relationships/hyperlink" Target="2020_03/19.03.2020/29315" TargetMode="External"/><Relationship Id="rId2229" Type="http://schemas.openxmlformats.org/officeDocument/2006/relationships/hyperlink" Target="2020_06/11.06.2020/47999" TargetMode="External"/><Relationship Id="rId2436" Type="http://schemas.openxmlformats.org/officeDocument/2006/relationships/hyperlink" Target="2020_06/18.06.2020/74018" TargetMode="External"/><Relationship Id="rId2643" Type="http://schemas.openxmlformats.org/officeDocument/2006/relationships/hyperlink" Target="2020_06/26.06.2020/66220" TargetMode="External"/><Relationship Id="rId91" Type="http://schemas.openxmlformats.org/officeDocument/2006/relationships/hyperlink" Target="2019_10\31.10.2019\37196" TargetMode="External"/><Relationship Id="rId408" Type="http://schemas.openxmlformats.org/officeDocument/2006/relationships/hyperlink" Target="2019_11/28.11.2019/60329" TargetMode="External"/><Relationship Id="rId615" Type="http://schemas.openxmlformats.org/officeDocument/2006/relationships/hyperlink" Target="2019_12/24.12.2019/67166" TargetMode="External"/><Relationship Id="rId822" Type="http://schemas.openxmlformats.org/officeDocument/2006/relationships/hyperlink" Target="2020_01/14.01.2020/74822" TargetMode="External"/><Relationship Id="rId1038" Type="http://schemas.openxmlformats.org/officeDocument/2006/relationships/hyperlink" Target="2020_01\29.01.2020\83273" TargetMode="External"/><Relationship Id="rId1245" Type="http://schemas.openxmlformats.org/officeDocument/2006/relationships/hyperlink" Target="2020_02\18.02.2020\90349" TargetMode="External"/><Relationship Id="rId1452" Type="http://schemas.openxmlformats.org/officeDocument/2006/relationships/hyperlink" Target="2020_03\05.03.2020\21608" TargetMode="External"/><Relationship Id="rId1897" Type="http://schemas.openxmlformats.org/officeDocument/2006/relationships/hyperlink" Target="2020_05/18.05.2020/33541" TargetMode="External"/><Relationship Id="rId2503" Type="http://schemas.openxmlformats.org/officeDocument/2006/relationships/hyperlink" Target="2020_06\16.06.2020\61568" TargetMode="External"/><Relationship Id="rId1105" Type="http://schemas.openxmlformats.org/officeDocument/2006/relationships/hyperlink" Target="2020_02\04.02.2020\86581" TargetMode="External"/><Relationship Id="rId1312" Type="http://schemas.openxmlformats.org/officeDocument/2006/relationships/hyperlink" Target="2020_02\25.02.2020\-6262" TargetMode="External"/><Relationship Id="rId1757" Type="http://schemas.openxmlformats.org/officeDocument/2006/relationships/hyperlink" Target="2020_04\07.04.2020\37884" TargetMode="External"/><Relationship Id="rId1964" Type="http://schemas.openxmlformats.org/officeDocument/2006/relationships/hyperlink" Target="2020_05\18.05.2020\42372" TargetMode="External"/><Relationship Id="rId49" Type="http://schemas.openxmlformats.org/officeDocument/2006/relationships/hyperlink" Target="https://smp.sfurf.office/sd/operator/" TargetMode="External"/><Relationship Id="rId1617" Type="http://schemas.openxmlformats.org/officeDocument/2006/relationships/hyperlink" Target="2020_03\20.03.2020\21498" TargetMode="External"/><Relationship Id="rId1824" Type="http://schemas.openxmlformats.org/officeDocument/2006/relationships/hyperlink" Target="2020_05/12.05.2020/29222" TargetMode="External"/><Relationship Id="rId198" Type="http://schemas.openxmlformats.org/officeDocument/2006/relationships/hyperlink" Target="2019_10\29.10.2019\35778" TargetMode="External"/><Relationship Id="rId2086" Type="http://schemas.openxmlformats.org/officeDocument/2006/relationships/hyperlink" Target="2020_06/01.06.2020/54288" TargetMode="External"/><Relationship Id="rId2293" Type="http://schemas.openxmlformats.org/officeDocument/2006/relationships/hyperlink" Target="2020_06/16.06.2020/54636" TargetMode="External"/><Relationship Id="rId2598" Type="http://schemas.openxmlformats.org/officeDocument/2006/relationships/hyperlink" Target="2020_06/23.06.2020/76312" TargetMode="External"/><Relationship Id="rId265" Type="http://schemas.openxmlformats.org/officeDocument/2006/relationships/hyperlink" Target="2019_11\07.11.2019\47513" TargetMode="External"/><Relationship Id="rId472" Type="http://schemas.openxmlformats.org/officeDocument/2006/relationships/hyperlink" Target="2019_12\10.12.2019\67143" TargetMode="External"/><Relationship Id="rId2153" Type="http://schemas.openxmlformats.org/officeDocument/2006/relationships/hyperlink" Target="2020_06\04.06.2020\42737" TargetMode="External"/><Relationship Id="rId2360" Type="http://schemas.openxmlformats.org/officeDocument/2006/relationships/hyperlink" Target="2020_06\16.06.2020\52845" TargetMode="External"/><Relationship Id="rId125" Type="http://schemas.openxmlformats.org/officeDocument/2006/relationships/hyperlink" Target="https://smp.sfurf.office/sd/operator/index.jsp;jsessionid=4B56FDB405CD332F2E4AE6AEC0BFEE05" TargetMode="External"/><Relationship Id="rId332" Type="http://schemas.openxmlformats.org/officeDocument/2006/relationships/hyperlink" Target="2019_12\05.12.2019\56271" TargetMode="External"/><Relationship Id="rId777" Type="http://schemas.openxmlformats.org/officeDocument/2006/relationships/hyperlink" Target="2020_01/09.01.2020/73041" TargetMode="External"/><Relationship Id="rId984" Type="http://schemas.openxmlformats.org/officeDocument/2006/relationships/hyperlink" Target="2020_01/24.01.2020/89186" TargetMode="External"/><Relationship Id="rId2013" Type="http://schemas.openxmlformats.org/officeDocument/2006/relationships/hyperlink" Target="2020_05/25.05.2020/47150" TargetMode="External"/><Relationship Id="rId2220" Type="http://schemas.openxmlformats.org/officeDocument/2006/relationships/hyperlink" Target="2020_06/11.06.2020/48368" TargetMode="External"/><Relationship Id="rId2458" Type="http://schemas.openxmlformats.org/officeDocument/2006/relationships/hyperlink" Target="2020_06/16.06.2020/63652" TargetMode="External"/><Relationship Id="rId2665" Type="http://schemas.openxmlformats.org/officeDocument/2006/relationships/hyperlink" Target="2020_06/30.06.2020/72053" TargetMode="External"/><Relationship Id="rId637" Type="http://schemas.openxmlformats.org/officeDocument/2006/relationships/hyperlink" Target="2019_12\24.12.2019\75555" TargetMode="External"/><Relationship Id="rId844" Type="http://schemas.openxmlformats.org/officeDocument/2006/relationships/hyperlink" Target="2020_01\15.01.2020\83390" TargetMode="External"/><Relationship Id="rId1267" Type="http://schemas.openxmlformats.org/officeDocument/2006/relationships/hyperlink" Target="2020_02/20.02.2020/-4212" TargetMode="External"/><Relationship Id="rId1474" Type="http://schemas.openxmlformats.org/officeDocument/2006/relationships/hyperlink" Target="2020_03\06.03.2020\22965" TargetMode="External"/><Relationship Id="rId1681" Type="http://schemas.openxmlformats.org/officeDocument/2006/relationships/hyperlink" Target="2020_03\26.03.2020\24259" TargetMode="External"/><Relationship Id="rId2318" Type="http://schemas.openxmlformats.org/officeDocument/2006/relationships/hyperlink" Target="2020_06/16.06.2020/53573" TargetMode="External"/><Relationship Id="rId2525" Type="http://schemas.openxmlformats.org/officeDocument/2006/relationships/hyperlink" Target="2020_06\19.06.2020\67692" TargetMode="External"/><Relationship Id="rId704" Type="http://schemas.openxmlformats.org/officeDocument/2006/relationships/hyperlink" Target="2019_12/27.12.2019/78175" TargetMode="External"/><Relationship Id="rId911" Type="http://schemas.openxmlformats.org/officeDocument/2006/relationships/hyperlink" Target="2020_01\20.01.2020\86074" TargetMode="External"/><Relationship Id="rId1127" Type="http://schemas.openxmlformats.org/officeDocument/2006/relationships/hyperlink" Target="2020_02\05.02.2020\-3743" TargetMode="External"/><Relationship Id="rId1334" Type="http://schemas.openxmlformats.org/officeDocument/2006/relationships/hyperlink" Target="2020_02\26.02.2020\15507" TargetMode="External"/><Relationship Id="rId1541" Type="http://schemas.openxmlformats.org/officeDocument/2006/relationships/hyperlink" Target="2020_03\16.03.2020\26932" TargetMode="External"/><Relationship Id="rId1779" Type="http://schemas.openxmlformats.org/officeDocument/2006/relationships/hyperlink" Target="2020_04\08.04.2020\19208" TargetMode="External"/><Relationship Id="rId1986" Type="http://schemas.openxmlformats.org/officeDocument/2006/relationships/hyperlink" Target="2020_05/21.05.2020/36529" TargetMode="External"/><Relationship Id="rId40" Type="http://schemas.openxmlformats.org/officeDocument/2006/relationships/hyperlink" Target="https://smp.sfurf.office/sd/operator/" TargetMode="External"/><Relationship Id="rId1401" Type="http://schemas.openxmlformats.org/officeDocument/2006/relationships/hyperlink" Target="2020_03\03.03.2020\10778" TargetMode="External"/><Relationship Id="rId1639" Type="http://schemas.openxmlformats.org/officeDocument/2006/relationships/hyperlink" Target="2020_03\23.03.2020\22476" TargetMode="External"/><Relationship Id="rId1846" Type="http://schemas.openxmlformats.org/officeDocument/2006/relationships/hyperlink" Target="2020_05\14.05.2020\31379" TargetMode="External"/><Relationship Id="rId1706" Type="http://schemas.openxmlformats.org/officeDocument/2006/relationships/hyperlink" Target="2020_03/26.03.2020/24861" TargetMode="External"/><Relationship Id="rId1913" Type="http://schemas.openxmlformats.org/officeDocument/2006/relationships/hyperlink" Target="2020_05/20.05.2020/29724" TargetMode="External"/><Relationship Id="rId287" Type="http://schemas.openxmlformats.org/officeDocument/2006/relationships/hyperlink" Target="2019_11\25.11.2019\49686" TargetMode="External"/><Relationship Id="rId494" Type="http://schemas.openxmlformats.org/officeDocument/2006/relationships/hyperlink" Target="2019_12\12.12.2019\69728" TargetMode="External"/><Relationship Id="rId2175" Type="http://schemas.openxmlformats.org/officeDocument/2006/relationships/hyperlink" Target="2020_06/08.06.2020/44217" TargetMode="External"/><Relationship Id="rId2382" Type="http://schemas.openxmlformats.org/officeDocument/2006/relationships/hyperlink" Target="2020_06/16.06.2020/56754" TargetMode="External"/><Relationship Id="rId147" Type="http://schemas.openxmlformats.org/officeDocument/2006/relationships/hyperlink" Target="2019_11\07.11.2019\39993" TargetMode="External"/><Relationship Id="rId354" Type="http://schemas.openxmlformats.org/officeDocument/2006/relationships/hyperlink" Target="https://smp.sfurf.office/sd/operator/" TargetMode="External"/><Relationship Id="rId799" Type="http://schemas.openxmlformats.org/officeDocument/2006/relationships/hyperlink" Target="2020_01/10.01.2020/81347" TargetMode="External"/><Relationship Id="rId1191" Type="http://schemas.openxmlformats.org/officeDocument/2006/relationships/hyperlink" Target="2020_02/11.02.2020/90703" TargetMode="External"/><Relationship Id="rId2035" Type="http://schemas.openxmlformats.org/officeDocument/2006/relationships/hyperlink" Target="2020_05/26.05.2020/39826" TargetMode="External"/><Relationship Id="rId561" Type="http://schemas.openxmlformats.org/officeDocument/2006/relationships/hyperlink" Target="2019_12/18.12.2019/63734" TargetMode="External"/><Relationship Id="rId659" Type="http://schemas.openxmlformats.org/officeDocument/2006/relationships/hyperlink" Target="2019_12\25.12.2019\69187" TargetMode="External"/><Relationship Id="rId866" Type="http://schemas.openxmlformats.org/officeDocument/2006/relationships/hyperlink" Target="2020_01\16.01.2020\85029" TargetMode="External"/><Relationship Id="rId1289" Type="http://schemas.openxmlformats.org/officeDocument/2006/relationships/hyperlink" Target="2020_02\21.02.2020\14049" TargetMode="External"/><Relationship Id="rId1496" Type="http://schemas.openxmlformats.org/officeDocument/2006/relationships/hyperlink" Target="2020_03/10.03.2020/-5754" TargetMode="External"/><Relationship Id="rId2242" Type="http://schemas.openxmlformats.org/officeDocument/2006/relationships/hyperlink" Target="2020_06/03.06.2020/66985" TargetMode="External"/><Relationship Id="rId2547" Type="http://schemas.openxmlformats.org/officeDocument/2006/relationships/hyperlink" Target="2020_06/23.06.2020/68443" TargetMode="External"/><Relationship Id="rId214" Type="http://schemas.openxmlformats.org/officeDocument/2006/relationships/hyperlink" Target="2019_10\30.10.2019\43852" TargetMode="External"/><Relationship Id="rId421" Type="http://schemas.openxmlformats.org/officeDocument/2006/relationships/hyperlink" Target="2019_12\04.12.2019\64001" TargetMode="External"/><Relationship Id="rId519" Type="http://schemas.openxmlformats.org/officeDocument/2006/relationships/hyperlink" Target="2019_12\16.12.2019\61930" TargetMode="External"/><Relationship Id="rId1051" Type="http://schemas.openxmlformats.org/officeDocument/2006/relationships/hyperlink" Target="2020_01\30.01.2020\84409" TargetMode="External"/><Relationship Id="rId1149" Type="http://schemas.openxmlformats.org/officeDocument/2006/relationships/hyperlink" Target="2020_02\07.02.2020\89489" TargetMode="External"/><Relationship Id="rId1356" Type="http://schemas.openxmlformats.org/officeDocument/2006/relationships/hyperlink" Target="2020_02\27.02.2020\-8337" TargetMode="External"/><Relationship Id="rId2102" Type="http://schemas.openxmlformats.org/officeDocument/2006/relationships/hyperlink" Target="2020_06/01.06.2020/60876" TargetMode="External"/><Relationship Id="rId726" Type="http://schemas.openxmlformats.org/officeDocument/2006/relationships/hyperlink" Target="2019_12\30.12.2019\79851" TargetMode="External"/><Relationship Id="rId933" Type="http://schemas.openxmlformats.org/officeDocument/2006/relationships/hyperlink" Target="2020_01/22.01.2020/88641" TargetMode="External"/><Relationship Id="rId1009" Type="http://schemas.openxmlformats.org/officeDocument/2006/relationships/hyperlink" Target="2020_01\28.01.2020\82560" TargetMode="External"/><Relationship Id="rId1563" Type="http://schemas.openxmlformats.org/officeDocument/2006/relationships/hyperlink" Target="2020_03\17.03.2020\18209" TargetMode="External"/><Relationship Id="rId1770" Type="http://schemas.openxmlformats.org/officeDocument/2006/relationships/hyperlink" Target="2020_04\08.04.2020\37625" TargetMode="External"/><Relationship Id="rId1868" Type="http://schemas.openxmlformats.org/officeDocument/2006/relationships/hyperlink" Target="2020_05/14.05.2020/42114" TargetMode="External"/><Relationship Id="rId2407" Type="http://schemas.openxmlformats.org/officeDocument/2006/relationships/hyperlink" Target="2020_06/16.06.2020/54058" TargetMode="External"/><Relationship Id="rId2614" Type="http://schemas.openxmlformats.org/officeDocument/2006/relationships/hyperlink" Target="2020_06/29.06.2020/71530" TargetMode="External"/><Relationship Id="rId62" Type="http://schemas.openxmlformats.org/officeDocument/2006/relationships/hyperlink" Target="https://smp.sfurf.office/sd/operator/" TargetMode="External"/><Relationship Id="rId1216" Type="http://schemas.openxmlformats.org/officeDocument/2006/relationships/hyperlink" Target="2020_02\12.02.2020\-8117" TargetMode="External"/><Relationship Id="rId1423" Type="http://schemas.openxmlformats.org/officeDocument/2006/relationships/hyperlink" Target="2020_03/04.03.2020/11386" TargetMode="External"/><Relationship Id="rId1630" Type="http://schemas.openxmlformats.org/officeDocument/2006/relationships/hyperlink" Target="2020_03\23.03.2020\22321" TargetMode="External"/><Relationship Id="rId1728" Type="http://schemas.openxmlformats.org/officeDocument/2006/relationships/hyperlink" Target="2020_04\06.04.2020\26440" TargetMode="External"/><Relationship Id="rId1935" Type="http://schemas.openxmlformats.org/officeDocument/2006/relationships/hyperlink" Target="2020_05/19.05.2020/43951" TargetMode="External"/><Relationship Id="rId2197" Type="http://schemas.openxmlformats.org/officeDocument/2006/relationships/hyperlink" Target="2020_05/28.05.2020/47045" TargetMode="External"/><Relationship Id="rId169" Type="http://schemas.openxmlformats.org/officeDocument/2006/relationships/hyperlink" Target="2019_10\25.10.2019\42282" TargetMode="External"/><Relationship Id="rId376" Type="http://schemas.openxmlformats.org/officeDocument/2006/relationships/hyperlink" Target="https://smp.sfurf.office/sd/operator/" TargetMode="External"/><Relationship Id="rId583" Type="http://schemas.openxmlformats.org/officeDocument/2006/relationships/hyperlink" Target="2019_12\19.12.2019\64814" TargetMode="External"/><Relationship Id="rId790" Type="http://schemas.openxmlformats.org/officeDocument/2006/relationships/hyperlink" Target="2020_01/10.01.2020/73388" TargetMode="External"/><Relationship Id="rId2057" Type="http://schemas.openxmlformats.org/officeDocument/2006/relationships/hyperlink" Target="2020_05/27.05.2020/50566" TargetMode="External"/><Relationship Id="rId2264" Type="http://schemas.openxmlformats.org/officeDocument/2006/relationships/hyperlink" Target="2020_06/16.06.2020/54449" TargetMode="External"/><Relationship Id="rId2471" Type="http://schemas.openxmlformats.org/officeDocument/2006/relationships/hyperlink" Target="2020_06/16.06.2020/64132" TargetMode="External"/><Relationship Id="rId4" Type="http://schemas.openxmlformats.org/officeDocument/2006/relationships/hyperlink" Target="https://smp.sfurf.office/sd/operator/index.jsp;jsessionid=4B56FDB405CD332F2E4AE6AEC0BFEE05" TargetMode="External"/><Relationship Id="rId236" Type="http://schemas.openxmlformats.org/officeDocument/2006/relationships/hyperlink" Target="https://smp.sfurf.office/sd/operator/" TargetMode="External"/><Relationship Id="rId443" Type="http://schemas.openxmlformats.org/officeDocument/2006/relationships/hyperlink" Target="2019_12\10.12.2019\66660" TargetMode="External"/><Relationship Id="rId650" Type="http://schemas.openxmlformats.org/officeDocument/2006/relationships/hyperlink" Target="2019_12\25.12.2019\68575" TargetMode="External"/><Relationship Id="rId888" Type="http://schemas.openxmlformats.org/officeDocument/2006/relationships/hyperlink" Target="2020_01/17.01.2020/85789" TargetMode="External"/><Relationship Id="rId1073" Type="http://schemas.openxmlformats.org/officeDocument/2006/relationships/hyperlink" Target="2020_02\03.02.2020\86154" TargetMode="External"/><Relationship Id="rId1280" Type="http://schemas.openxmlformats.org/officeDocument/2006/relationships/hyperlink" Target="2020_02\20.02.2020\-4129" TargetMode="External"/><Relationship Id="rId2124" Type="http://schemas.openxmlformats.org/officeDocument/2006/relationships/hyperlink" Target="2020_06\01.06.2020\62315" TargetMode="External"/><Relationship Id="rId2331" Type="http://schemas.openxmlformats.org/officeDocument/2006/relationships/hyperlink" Target="2020_06/16.06.2020/51761" TargetMode="External"/><Relationship Id="rId2569" Type="http://schemas.openxmlformats.org/officeDocument/2006/relationships/hyperlink" Target="2020_06/17.06.2020/66416" TargetMode="External"/><Relationship Id="rId303" Type="http://schemas.openxmlformats.org/officeDocument/2006/relationships/hyperlink" Target="https://smp.sfurf.office/sd/operator/index.jsp;jsessionid=4B56FDB405CD332F2E4AE6AEC0BFEE05" TargetMode="External"/><Relationship Id="rId748" Type="http://schemas.openxmlformats.org/officeDocument/2006/relationships/hyperlink" Target="2019_12/31.12.2019/71356" TargetMode="External"/><Relationship Id="rId955" Type="http://schemas.openxmlformats.org/officeDocument/2006/relationships/hyperlink" Target="2020_01\23.01.2020\89372" TargetMode="External"/><Relationship Id="rId1140" Type="http://schemas.openxmlformats.org/officeDocument/2006/relationships/hyperlink" Target="2020_02\06.02.2020\88579" TargetMode="External"/><Relationship Id="rId1378" Type="http://schemas.openxmlformats.org/officeDocument/2006/relationships/hyperlink" Target="2020_02/28.02.2020/18010" TargetMode="External"/><Relationship Id="rId1585" Type="http://schemas.openxmlformats.org/officeDocument/2006/relationships/hyperlink" Target="2020_03\18.03.2020\20448" TargetMode="External"/><Relationship Id="rId1792" Type="http://schemas.openxmlformats.org/officeDocument/2006/relationships/hyperlink" Target="2020_04\09.04.2020\28814" TargetMode="External"/><Relationship Id="rId2429" Type="http://schemas.openxmlformats.org/officeDocument/2006/relationships/hyperlink" Target="2020_06/16.06.2020/63120" TargetMode="External"/><Relationship Id="rId2636" Type="http://schemas.openxmlformats.org/officeDocument/2006/relationships/hyperlink" Target="2020_06\25.06.2020\69727" TargetMode="External"/><Relationship Id="rId84" Type="http://schemas.openxmlformats.org/officeDocument/2006/relationships/hyperlink" Target="2019_10\30.10.2019\28979" TargetMode="External"/><Relationship Id="rId510" Type="http://schemas.openxmlformats.org/officeDocument/2006/relationships/hyperlink" Target="2019_12\13.12.2019\70802" TargetMode="External"/><Relationship Id="rId608" Type="http://schemas.openxmlformats.org/officeDocument/2006/relationships/hyperlink" Target="2019_12/23.12.2019/66340" TargetMode="External"/><Relationship Id="rId815" Type="http://schemas.openxmlformats.org/officeDocument/2006/relationships/hyperlink" Target="2020_01/13.01.2020/73977" TargetMode="External"/><Relationship Id="rId1238" Type="http://schemas.openxmlformats.org/officeDocument/2006/relationships/hyperlink" Target="2020_02/18.02.2020/11402" TargetMode="External"/><Relationship Id="rId1445" Type="http://schemas.openxmlformats.org/officeDocument/2006/relationships/hyperlink" Target="2020_03\05.03.2020\12316" TargetMode="External"/><Relationship Id="rId1652" Type="http://schemas.openxmlformats.org/officeDocument/2006/relationships/hyperlink" Target="2020_03\24.03.2020\32000" TargetMode="External"/><Relationship Id="rId1000" Type="http://schemas.openxmlformats.org/officeDocument/2006/relationships/hyperlink" Target="2020_01\28.01.2020\90484" TargetMode="External"/><Relationship Id="rId1305" Type="http://schemas.openxmlformats.org/officeDocument/2006/relationships/hyperlink" Target="2020_02/25.02.2020/-6318" TargetMode="External"/><Relationship Id="rId1957" Type="http://schemas.openxmlformats.org/officeDocument/2006/relationships/hyperlink" Target="2020_05/21.05.2020/35405" TargetMode="External"/><Relationship Id="rId1512" Type="http://schemas.openxmlformats.org/officeDocument/2006/relationships/hyperlink" Target="2020_03\12.03.2020\16077" TargetMode="External"/><Relationship Id="rId1817" Type="http://schemas.openxmlformats.org/officeDocument/2006/relationships/hyperlink" Target="2020_05\12.05.2020\38119" TargetMode="External"/><Relationship Id="rId11" Type="http://schemas.openxmlformats.org/officeDocument/2006/relationships/hyperlink" Target="https://smp.sfurf.office/sd/operator/index.jsp;jsessionid=4B56FDB405CD332F2E4AE6AEC0BFEE05" TargetMode="External"/><Relationship Id="rId398" Type="http://schemas.openxmlformats.org/officeDocument/2006/relationships/hyperlink" Target="https://smp.sfurf.office/sd/operator/" TargetMode="External"/><Relationship Id="rId2079" Type="http://schemas.openxmlformats.org/officeDocument/2006/relationships/hyperlink" Target="2020_06\01.06.2020\62319" TargetMode="External"/><Relationship Id="rId160" Type="http://schemas.openxmlformats.org/officeDocument/2006/relationships/hyperlink" Target="2019_11\11.11.2019\34369" TargetMode="External"/><Relationship Id="rId2286" Type="http://schemas.openxmlformats.org/officeDocument/2006/relationships/hyperlink" Target="2020_06/16.06.2020/51066" TargetMode="External"/><Relationship Id="rId2493" Type="http://schemas.openxmlformats.org/officeDocument/2006/relationships/hyperlink" Target="2020_06/16.06.2020/56948" TargetMode="External"/><Relationship Id="rId258" Type="http://schemas.openxmlformats.org/officeDocument/2006/relationships/hyperlink" Target="2019_11\05.11.2019\47206" TargetMode="External"/><Relationship Id="rId465" Type="http://schemas.openxmlformats.org/officeDocument/2006/relationships/hyperlink" Target="2019_12\09.12.2019\53072" TargetMode="External"/><Relationship Id="rId672" Type="http://schemas.openxmlformats.org/officeDocument/2006/relationships/hyperlink" Target="2019_12/26.12.2019/55919" TargetMode="External"/><Relationship Id="rId1095" Type="http://schemas.openxmlformats.org/officeDocument/2006/relationships/hyperlink" Target="2020_02\04.02.2020\-3112" TargetMode="External"/><Relationship Id="rId2146" Type="http://schemas.openxmlformats.org/officeDocument/2006/relationships/hyperlink" Target="2020_06\01.06.2020\62314" TargetMode="External"/><Relationship Id="rId2353" Type="http://schemas.openxmlformats.org/officeDocument/2006/relationships/hyperlink" Target="2020_06/16.06.2020/51610" TargetMode="External"/><Relationship Id="rId2560" Type="http://schemas.openxmlformats.org/officeDocument/2006/relationships/hyperlink" Target="2020_06/23.06.2020/77731" TargetMode="External"/><Relationship Id="rId118" Type="http://schemas.openxmlformats.org/officeDocument/2006/relationships/hyperlink" Target="https://smp.sfurf.office/sd/operator/index.jsp;jsessionid=4B56FDB405CD332F2E4AE6AEC0BFEE05" TargetMode="External"/><Relationship Id="rId325" Type="http://schemas.openxmlformats.org/officeDocument/2006/relationships/hyperlink" Target="2019_11\19.11.2019\54338" TargetMode="External"/><Relationship Id="rId532" Type="http://schemas.openxmlformats.org/officeDocument/2006/relationships/hyperlink" Target="2019_12\17.12.2019\70844" TargetMode="External"/><Relationship Id="rId977" Type="http://schemas.openxmlformats.org/officeDocument/2006/relationships/hyperlink" Target="2020_01/24.01.2020/81423" TargetMode="External"/><Relationship Id="rId1162" Type="http://schemas.openxmlformats.org/officeDocument/2006/relationships/hyperlink" Target="2020_02\10.02.2020\-6122" TargetMode="External"/><Relationship Id="rId2006" Type="http://schemas.openxmlformats.org/officeDocument/2006/relationships/hyperlink" Target="2020_05/22.05.2020/36986" TargetMode="External"/><Relationship Id="rId2213" Type="http://schemas.openxmlformats.org/officeDocument/2006/relationships/hyperlink" Target="2020_06/10.06.2020/46023" TargetMode="External"/><Relationship Id="rId2420" Type="http://schemas.openxmlformats.org/officeDocument/2006/relationships/hyperlink" Target="2020_06/15.06.2020/72249" TargetMode="External"/><Relationship Id="rId2658" Type="http://schemas.openxmlformats.org/officeDocument/2006/relationships/hyperlink" Target="2020_06/26.06.2020/78205" TargetMode="External"/><Relationship Id="rId837" Type="http://schemas.openxmlformats.org/officeDocument/2006/relationships/hyperlink" Target="2020_01/15.01.2020/76234" TargetMode="External"/><Relationship Id="rId1022" Type="http://schemas.openxmlformats.org/officeDocument/2006/relationships/hyperlink" Target="2020_01\28.01.2020\91032" TargetMode="External"/><Relationship Id="rId1467" Type="http://schemas.openxmlformats.org/officeDocument/2006/relationships/hyperlink" Target="2020_03\06.03.2020\13546" TargetMode="External"/><Relationship Id="rId1674" Type="http://schemas.openxmlformats.org/officeDocument/2006/relationships/hyperlink" Target="2020_03/25.03.2020/23643" TargetMode="External"/><Relationship Id="rId1881" Type="http://schemas.openxmlformats.org/officeDocument/2006/relationships/hyperlink" Target="2020_05/14.05.2020/42042" TargetMode="External"/><Relationship Id="rId2518" Type="http://schemas.openxmlformats.org/officeDocument/2006/relationships/hyperlink" Target="2020_06/18.06.2020/67103" TargetMode="External"/><Relationship Id="rId904" Type="http://schemas.openxmlformats.org/officeDocument/2006/relationships/hyperlink" Target="2020_01\20.01.2020\78346" TargetMode="External"/><Relationship Id="rId1327" Type="http://schemas.openxmlformats.org/officeDocument/2006/relationships/hyperlink" Target="2020_02/25.02.2020/14407" TargetMode="External"/><Relationship Id="rId1534" Type="http://schemas.openxmlformats.org/officeDocument/2006/relationships/hyperlink" Target="2020_03\13.03.2020\16833" TargetMode="External"/><Relationship Id="rId1741" Type="http://schemas.openxmlformats.org/officeDocument/2006/relationships/hyperlink" Target="2020_04/06.04.2020/26233" TargetMode="External"/><Relationship Id="rId1979" Type="http://schemas.openxmlformats.org/officeDocument/2006/relationships/hyperlink" Target="2020_05\21.05.2020\44987" TargetMode="External"/><Relationship Id="rId33" Type="http://schemas.openxmlformats.org/officeDocument/2006/relationships/hyperlink" Target="https://smp.sfurf.office/sd/operator/" TargetMode="External"/><Relationship Id="rId1601" Type="http://schemas.openxmlformats.org/officeDocument/2006/relationships/hyperlink" Target="2020_03\19.03.2020\29019" TargetMode="External"/><Relationship Id="rId1839" Type="http://schemas.openxmlformats.org/officeDocument/2006/relationships/hyperlink" Target="2020_05\12.05.2020\29149" TargetMode="External"/><Relationship Id="rId182" Type="http://schemas.openxmlformats.org/officeDocument/2006/relationships/hyperlink" Target="https://smp.sfurf.office/sd/operator/index.jsp;jsessionid=4B56FDB405CD332F2E4AE6AEC0BFEE05" TargetMode="External"/><Relationship Id="rId1906" Type="http://schemas.openxmlformats.org/officeDocument/2006/relationships/hyperlink" Target="2020_05/18.05.2020/33374" TargetMode="External"/><Relationship Id="rId487" Type="http://schemas.openxmlformats.org/officeDocument/2006/relationships/hyperlink" Target="2019_12/11.12.2019/59875" TargetMode="External"/><Relationship Id="rId694" Type="http://schemas.openxmlformats.org/officeDocument/2006/relationships/hyperlink" Target="2019_12/26.12.2019/69700" TargetMode="External"/><Relationship Id="rId2070" Type="http://schemas.openxmlformats.org/officeDocument/2006/relationships/hyperlink" Target="2020_06/01.06.2020/57008" TargetMode="External"/><Relationship Id="rId2168" Type="http://schemas.openxmlformats.org/officeDocument/2006/relationships/hyperlink" Target="2020_06/01.06.2020/63387" TargetMode="External"/><Relationship Id="rId2375" Type="http://schemas.openxmlformats.org/officeDocument/2006/relationships/hyperlink" Target="2020_06/16.06.2020/48933" TargetMode="External"/><Relationship Id="rId347" Type="http://schemas.openxmlformats.org/officeDocument/2006/relationships/hyperlink" Target="https://smp.sfurf.office/sd/operator/" TargetMode="External"/><Relationship Id="rId999" Type="http://schemas.openxmlformats.org/officeDocument/2006/relationships/hyperlink" Target="2020_01\28.01.2020\83854" TargetMode="External"/><Relationship Id="rId1184" Type="http://schemas.openxmlformats.org/officeDocument/2006/relationships/hyperlink" Target="2020_02\10.02.2020\89680" TargetMode="External"/><Relationship Id="rId2028" Type="http://schemas.openxmlformats.org/officeDocument/2006/relationships/hyperlink" Target="2020_05/25.05.2020/47165" TargetMode="External"/><Relationship Id="rId2582" Type="http://schemas.openxmlformats.org/officeDocument/2006/relationships/hyperlink" Target="2020_06/23.06.2020/55266" TargetMode="External"/><Relationship Id="rId554" Type="http://schemas.openxmlformats.org/officeDocument/2006/relationships/hyperlink" Target="2019_12/17.12.2019/62654" TargetMode="External"/><Relationship Id="rId761" Type="http://schemas.openxmlformats.org/officeDocument/2006/relationships/hyperlink" Target="2019_12/31.12.2019/79907" TargetMode="External"/><Relationship Id="rId859" Type="http://schemas.openxmlformats.org/officeDocument/2006/relationships/hyperlink" Target="2020_01\16.01.2020\85426" TargetMode="External"/><Relationship Id="rId1391" Type="http://schemas.openxmlformats.org/officeDocument/2006/relationships/hyperlink" Target="2020_03\02.03.2020\18043" TargetMode="External"/><Relationship Id="rId1489" Type="http://schemas.openxmlformats.org/officeDocument/2006/relationships/hyperlink" Target="2020_03\12.03.2020\15491" TargetMode="External"/><Relationship Id="rId1696" Type="http://schemas.openxmlformats.org/officeDocument/2006/relationships/hyperlink" Target="2020_03\26.03.2020\24216" TargetMode="External"/><Relationship Id="rId2235" Type="http://schemas.openxmlformats.org/officeDocument/2006/relationships/hyperlink" Target="2020_06/02.06.2020/66343" TargetMode="External"/><Relationship Id="rId2442" Type="http://schemas.openxmlformats.org/officeDocument/2006/relationships/hyperlink" Target="2020_06/16.06.2020/73372" TargetMode="External"/><Relationship Id="rId207" Type="http://schemas.openxmlformats.org/officeDocument/2006/relationships/hyperlink" Target="https://smp.sfurf.office/sd/operator/" TargetMode="External"/><Relationship Id="rId414" Type="http://schemas.openxmlformats.org/officeDocument/2006/relationships/hyperlink" Target="https://smp.sfurf.office/sd/operator/" TargetMode="External"/><Relationship Id="rId621" Type="http://schemas.openxmlformats.org/officeDocument/2006/relationships/hyperlink" Target="2019_12\24.12.2019\75945" TargetMode="External"/><Relationship Id="rId1044" Type="http://schemas.openxmlformats.org/officeDocument/2006/relationships/hyperlink" Target="2020_01\30.01.2020\84788" TargetMode="External"/><Relationship Id="rId1251" Type="http://schemas.openxmlformats.org/officeDocument/2006/relationships/hyperlink" Target="2020_02\19.02.2020\-3657" TargetMode="External"/><Relationship Id="rId1349" Type="http://schemas.openxmlformats.org/officeDocument/2006/relationships/hyperlink" Target="2020_02/27.02.2020/16606" TargetMode="External"/><Relationship Id="rId2302" Type="http://schemas.openxmlformats.org/officeDocument/2006/relationships/hyperlink" Target="2020_06/16.06.2020/61587" TargetMode="External"/><Relationship Id="rId719" Type="http://schemas.openxmlformats.org/officeDocument/2006/relationships/hyperlink" Target="2019_12\30.12.2019\78936" TargetMode="External"/><Relationship Id="rId926" Type="http://schemas.openxmlformats.org/officeDocument/2006/relationships/hyperlink" Target="2020_01/22.01.2020/79420" TargetMode="External"/><Relationship Id="rId1111" Type="http://schemas.openxmlformats.org/officeDocument/2006/relationships/hyperlink" Target="2020_02\04.02.2020\79890" TargetMode="External"/><Relationship Id="rId1556" Type="http://schemas.openxmlformats.org/officeDocument/2006/relationships/hyperlink" Target="2020_03\17.03.2020\18131" TargetMode="External"/><Relationship Id="rId1763" Type="http://schemas.openxmlformats.org/officeDocument/2006/relationships/hyperlink" Target="2020_04\07.04.2020\36938" TargetMode="External"/><Relationship Id="rId1970" Type="http://schemas.openxmlformats.org/officeDocument/2006/relationships/hyperlink" Target="2020_05/21.05.2020/35897" TargetMode="External"/><Relationship Id="rId2607" Type="http://schemas.openxmlformats.org/officeDocument/2006/relationships/hyperlink" Target="2020_06/25.06.2020/70555" TargetMode="External"/><Relationship Id="rId55" Type="http://schemas.openxmlformats.org/officeDocument/2006/relationships/hyperlink" Target="https://smp.sfurf.office/sd/operator/" TargetMode="External"/><Relationship Id="rId1209" Type="http://schemas.openxmlformats.org/officeDocument/2006/relationships/hyperlink" Target="2020_02/11.02.2020/90972" TargetMode="External"/><Relationship Id="rId1416" Type="http://schemas.openxmlformats.org/officeDocument/2006/relationships/hyperlink" Target="2020_03/03.03.2020/10345" TargetMode="External"/><Relationship Id="rId1623" Type="http://schemas.openxmlformats.org/officeDocument/2006/relationships/hyperlink" Target="2020_03\23.03.2020\31140" TargetMode="External"/><Relationship Id="rId1830" Type="http://schemas.openxmlformats.org/officeDocument/2006/relationships/hyperlink" Target="2020_05\13.05.2020\39518" TargetMode="External"/><Relationship Id="rId1928" Type="http://schemas.openxmlformats.org/officeDocument/2006/relationships/hyperlink" Target="2020_05/19.05.2020/33910" TargetMode="External"/><Relationship Id="rId2092" Type="http://schemas.openxmlformats.org/officeDocument/2006/relationships/hyperlink" Target="2020_06\01.06.2020\61583" TargetMode="External"/><Relationship Id="rId271" Type="http://schemas.openxmlformats.org/officeDocument/2006/relationships/hyperlink" Target="https://smp.sfurf.office/sd/operator/" TargetMode="External"/><Relationship Id="rId2397" Type="http://schemas.openxmlformats.org/officeDocument/2006/relationships/hyperlink" Target="2020_06/16.06.2020/56566" TargetMode="External"/><Relationship Id="rId131" Type="http://schemas.openxmlformats.org/officeDocument/2006/relationships/hyperlink" Target="..\Users\shilyaevan\AppData\Roaming\Microsoft\Excel\2019_10\21.10.2019\31807" TargetMode="External"/><Relationship Id="rId369" Type="http://schemas.openxmlformats.org/officeDocument/2006/relationships/hyperlink" Target="2019_11\25.11.2019\58323" TargetMode="External"/><Relationship Id="rId576" Type="http://schemas.openxmlformats.org/officeDocument/2006/relationships/hyperlink" Target="2019_12\19.12.2019\65371" TargetMode="External"/><Relationship Id="rId783" Type="http://schemas.openxmlformats.org/officeDocument/2006/relationships/hyperlink" Target="2020_01/09.01.2020/73376" TargetMode="External"/><Relationship Id="rId990" Type="http://schemas.openxmlformats.org/officeDocument/2006/relationships/hyperlink" Target="2020_01\27.01.2020\89679" TargetMode="External"/><Relationship Id="rId2257" Type="http://schemas.openxmlformats.org/officeDocument/2006/relationships/hyperlink" Target="2020_06/16.06.2020/51286" TargetMode="External"/><Relationship Id="rId2464" Type="http://schemas.openxmlformats.org/officeDocument/2006/relationships/hyperlink" Target="2020_06/16.06.2020/53274" TargetMode="External"/><Relationship Id="rId2671" Type="http://schemas.openxmlformats.org/officeDocument/2006/relationships/hyperlink" Target="2020_06/30.06.2020/72665" TargetMode="External"/><Relationship Id="rId229" Type="http://schemas.openxmlformats.org/officeDocument/2006/relationships/hyperlink" Target="https://smp.sfurf.office/sd/operator/" TargetMode="External"/><Relationship Id="rId436" Type="http://schemas.openxmlformats.org/officeDocument/2006/relationships/hyperlink" Target="https://smp.sfurf.office/sd/operator/" TargetMode="External"/><Relationship Id="rId643" Type="http://schemas.openxmlformats.org/officeDocument/2006/relationships/hyperlink" Target="2019_12\24.12.2019\76214" TargetMode="External"/><Relationship Id="rId1066" Type="http://schemas.openxmlformats.org/officeDocument/2006/relationships/hyperlink" Target="2020_01\31.01.2020\77890" TargetMode="External"/><Relationship Id="rId1273" Type="http://schemas.openxmlformats.org/officeDocument/2006/relationships/hyperlink" Target="2020_02/20.02.2020/-4448" TargetMode="External"/><Relationship Id="rId1480" Type="http://schemas.openxmlformats.org/officeDocument/2006/relationships/hyperlink" Target="2020_03\10.03.2020\13639" TargetMode="External"/><Relationship Id="rId2117" Type="http://schemas.openxmlformats.org/officeDocument/2006/relationships/hyperlink" Target="2020_06/16.06.2020/50273" TargetMode="External"/><Relationship Id="rId2324" Type="http://schemas.openxmlformats.org/officeDocument/2006/relationships/hyperlink" Target="2020_06/16.06.2020/59641" TargetMode="External"/><Relationship Id="rId850" Type="http://schemas.openxmlformats.org/officeDocument/2006/relationships/hyperlink" Target="2020_01/15.01.2020/76175" TargetMode="External"/><Relationship Id="rId948" Type="http://schemas.openxmlformats.org/officeDocument/2006/relationships/hyperlink" Target="2020_01/22.01.2020/79856" TargetMode="External"/><Relationship Id="rId1133" Type="http://schemas.openxmlformats.org/officeDocument/2006/relationships/hyperlink" Target="2020_02\05.02.2020\-3527" TargetMode="External"/><Relationship Id="rId1578" Type="http://schemas.openxmlformats.org/officeDocument/2006/relationships/hyperlink" Target="2020_03\18.03.2020\-5660" TargetMode="External"/><Relationship Id="rId1785" Type="http://schemas.openxmlformats.org/officeDocument/2006/relationships/hyperlink" Target="2020_04\09.04.2020\28742" TargetMode="External"/><Relationship Id="rId1992" Type="http://schemas.openxmlformats.org/officeDocument/2006/relationships/hyperlink" Target="2020_05/26.05.2020/38233" TargetMode="External"/><Relationship Id="rId2531" Type="http://schemas.openxmlformats.org/officeDocument/2006/relationships/hyperlink" Target="2020_06\16.06.2020\54529" TargetMode="External"/><Relationship Id="rId2629" Type="http://schemas.openxmlformats.org/officeDocument/2006/relationships/hyperlink" Target="2020_06\25.06.2020\77210" TargetMode="External"/><Relationship Id="rId77" Type="http://schemas.openxmlformats.org/officeDocument/2006/relationships/hyperlink" Target="https://smp.sfurf.office/sd/operator/index.jsp;jsessionid=4B56FDB405CD332F2E4AE6AEC0BFEE05" TargetMode="External"/><Relationship Id="rId503" Type="http://schemas.openxmlformats.org/officeDocument/2006/relationships/hyperlink" Target="2019_12/13.12.2019/69430" TargetMode="External"/><Relationship Id="rId710" Type="http://schemas.openxmlformats.org/officeDocument/2006/relationships/hyperlink" Target="2019_12/27.12.2019/78077" TargetMode="External"/><Relationship Id="rId808" Type="http://schemas.openxmlformats.org/officeDocument/2006/relationships/hyperlink" Target="2020_01\13.01.2020\66025" TargetMode="External"/><Relationship Id="rId1340" Type="http://schemas.openxmlformats.org/officeDocument/2006/relationships/hyperlink" Target="2020_02\26.02.2020\15311" TargetMode="External"/><Relationship Id="rId1438" Type="http://schemas.openxmlformats.org/officeDocument/2006/relationships/hyperlink" Target="2020_03\05.03.2020\12427" TargetMode="External"/><Relationship Id="rId1645" Type="http://schemas.openxmlformats.org/officeDocument/2006/relationships/hyperlink" Target="2020_03\25.03.2020\23780" TargetMode="External"/><Relationship Id="rId1200" Type="http://schemas.openxmlformats.org/officeDocument/2006/relationships/hyperlink" Target="2020_02\11.02.2020\90949" TargetMode="External"/><Relationship Id="rId1852" Type="http://schemas.openxmlformats.org/officeDocument/2006/relationships/hyperlink" Target="2020_05\14.05.2020\41741" TargetMode="External"/><Relationship Id="rId1505" Type="http://schemas.openxmlformats.org/officeDocument/2006/relationships/hyperlink" Target="2020_03\11.03.2020\24069" TargetMode="External"/><Relationship Id="rId1712" Type="http://schemas.openxmlformats.org/officeDocument/2006/relationships/hyperlink" Target="2020_03/27.03.2020/25400" TargetMode="External"/><Relationship Id="rId293" Type="http://schemas.openxmlformats.org/officeDocument/2006/relationships/hyperlink" Target="2019_11\13.11.2019\50889" TargetMode="External"/><Relationship Id="rId2181" Type="http://schemas.openxmlformats.org/officeDocument/2006/relationships/hyperlink" Target="2020_06/10.06.2020/47093" TargetMode="External"/><Relationship Id="rId153" Type="http://schemas.openxmlformats.org/officeDocument/2006/relationships/hyperlink" Target="../Users/shilyaevan/AppData/Roaming/Microsoft/Excel/2019_10/24.10.2019/40776" TargetMode="External"/><Relationship Id="rId360" Type="http://schemas.openxmlformats.org/officeDocument/2006/relationships/hyperlink" Target="2019_11\22.11.2019\49082" TargetMode="External"/><Relationship Id="rId598" Type="http://schemas.openxmlformats.org/officeDocument/2006/relationships/hyperlink" Target="2019_12\20.12.2019\65782" TargetMode="External"/><Relationship Id="rId2041" Type="http://schemas.openxmlformats.org/officeDocument/2006/relationships/hyperlink" Target="2020_05/26.05.2020/38595" TargetMode="External"/><Relationship Id="rId2279" Type="http://schemas.openxmlformats.org/officeDocument/2006/relationships/hyperlink" Target="2020_06/16.06.2020/59637" TargetMode="External"/><Relationship Id="rId2486" Type="http://schemas.openxmlformats.org/officeDocument/2006/relationships/hyperlink" Target="2020_06/16.06.2020/63891" TargetMode="External"/><Relationship Id="rId220" Type="http://schemas.openxmlformats.org/officeDocument/2006/relationships/hyperlink" Target="2019_11\15.11.2019\44853" TargetMode="External"/><Relationship Id="rId458" Type="http://schemas.openxmlformats.org/officeDocument/2006/relationships/hyperlink" Target="2019_12\09.12.2019\53078" TargetMode="External"/><Relationship Id="rId665" Type="http://schemas.openxmlformats.org/officeDocument/2006/relationships/hyperlink" Target="2019_12/25.12.2019/68452" TargetMode="External"/><Relationship Id="rId872" Type="http://schemas.openxmlformats.org/officeDocument/2006/relationships/hyperlink" Target="2020_01/16.01.2020/84917" TargetMode="External"/><Relationship Id="rId1088" Type="http://schemas.openxmlformats.org/officeDocument/2006/relationships/hyperlink" Target="2020_01/31.01.2020/20-70" TargetMode="External"/><Relationship Id="rId1295" Type="http://schemas.openxmlformats.org/officeDocument/2006/relationships/hyperlink" Target="2020_02\21.02.2020\13844" TargetMode="External"/><Relationship Id="rId2139" Type="http://schemas.openxmlformats.org/officeDocument/2006/relationships/hyperlink" Target="2020_06/10.06.2020/45803" TargetMode="External"/><Relationship Id="rId2346" Type="http://schemas.openxmlformats.org/officeDocument/2006/relationships/hyperlink" Target="2020_06/16.06.2020/59646" TargetMode="External"/><Relationship Id="rId2553" Type="http://schemas.openxmlformats.org/officeDocument/2006/relationships/hyperlink" Target="2020_06/22.06.2020/67971" TargetMode="External"/><Relationship Id="rId318" Type="http://schemas.openxmlformats.org/officeDocument/2006/relationships/hyperlink" Target="2019_12\03.12.2019\54137" TargetMode="External"/><Relationship Id="rId525" Type="http://schemas.openxmlformats.org/officeDocument/2006/relationships/hyperlink" Target="2019_12\16.12.2019\71272" TargetMode="External"/><Relationship Id="rId732" Type="http://schemas.openxmlformats.org/officeDocument/2006/relationships/hyperlink" Target="2019_12/31.12.2019/72068" TargetMode="External"/><Relationship Id="rId1155" Type="http://schemas.openxmlformats.org/officeDocument/2006/relationships/hyperlink" Target="2020_02\06.02.2020\-4382" TargetMode="External"/><Relationship Id="rId1362" Type="http://schemas.openxmlformats.org/officeDocument/2006/relationships/hyperlink" Target="2020_02/27.02.2020/-8996" TargetMode="External"/><Relationship Id="rId2206" Type="http://schemas.openxmlformats.org/officeDocument/2006/relationships/hyperlink" Target="2020_06/09.06.2020/46486" TargetMode="External"/><Relationship Id="rId2413" Type="http://schemas.openxmlformats.org/officeDocument/2006/relationships/hyperlink" Target="2020_06\09.06.2020\69628" TargetMode="External"/><Relationship Id="rId2620" Type="http://schemas.openxmlformats.org/officeDocument/2006/relationships/hyperlink" Target="2020_06/29.06.2020/71344" TargetMode="External"/><Relationship Id="rId99" Type="http://schemas.openxmlformats.org/officeDocument/2006/relationships/hyperlink" Target="2019_11\01.11.2019\37850" TargetMode="External"/><Relationship Id="rId1015" Type="http://schemas.openxmlformats.org/officeDocument/2006/relationships/hyperlink" Target="2020_01\28.01.2020\83183" TargetMode="External"/><Relationship Id="rId1222" Type="http://schemas.openxmlformats.org/officeDocument/2006/relationships/hyperlink" Target="2020_02/12.02.2020/-8358" TargetMode="External"/><Relationship Id="rId1667" Type="http://schemas.openxmlformats.org/officeDocument/2006/relationships/hyperlink" Target="2020_03\25.03.2020\23946" TargetMode="External"/><Relationship Id="rId1874" Type="http://schemas.openxmlformats.org/officeDocument/2006/relationships/hyperlink" Target="2020_05/14.05.2020/30928" TargetMode="External"/><Relationship Id="rId1527" Type="http://schemas.openxmlformats.org/officeDocument/2006/relationships/hyperlink" Target="2020_03/13.03.2020/25408" TargetMode="External"/><Relationship Id="rId1734" Type="http://schemas.openxmlformats.org/officeDocument/2006/relationships/hyperlink" Target="2020_04\06.04.2020\26217" TargetMode="External"/><Relationship Id="rId1941" Type="http://schemas.openxmlformats.org/officeDocument/2006/relationships/hyperlink" Target="2020_05/20.05.2020/44054" TargetMode="External"/><Relationship Id="rId26" Type="http://schemas.openxmlformats.org/officeDocument/2006/relationships/hyperlink" Target="https://smp.sfurf.office/sd/operator/index.jsp;jsessionid=4B56FDB405CD332F2E4AE6AEC0BFEE05" TargetMode="External"/><Relationship Id="rId175" Type="http://schemas.openxmlformats.org/officeDocument/2006/relationships/hyperlink" Target="https://smp.sfurf.office/sd/operator/index.jsp;jsessionid=4B56FDB405CD332F2E4AE6AEC0BFEE05" TargetMode="External"/><Relationship Id="rId1801" Type="http://schemas.openxmlformats.org/officeDocument/2006/relationships/hyperlink" Target="2020_05\08.05.2020\28503" TargetMode="External"/><Relationship Id="rId382" Type="http://schemas.openxmlformats.org/officeDocument/2006/relationships/hyperlink" Target="2019_11\27.11.2019\59774" TargetMode="External"/><Relationship Id="rId687" Type="http://schemas.openxmlformats.org/officeDocument/2006/relationships/hyperlink" Target="2019_12/26.12.2019/69367" TargetMode="External"/><Relationship Id="rId2063" Type="http://schemas.openxmlformats.org/officeDocument/2006/relationships/hyperlink" Target="2020_05\27.05.2020\40437" TargetMode="External"/><Relationship Id="rId2270" Type="http://schemas.openxmlformats.org/officeDocument/2006/relationships/hyperlink" Target="2020_06/16.06.2020/50675" TargetMode="External"/><Relationship Id="rId2368" Type="http://schemas.openxmlformats.org/officeDocument/2006/relationships/hyperlink" Target="2020_06\10.06.2020\70635" TargetMode="External"/><Relationship Id="rId242" Type="http://schemas.openxmlformats.org/officeDocument/2006/relationships/hyperlink" Target="https://smp.sfurf.office/sd/operator/" TargetMode="External"/><Relationship Id="rId894" Type="http://schemas.openxmlformats.org/officeDocument/2006/relationships/hyperlink" Target="2020_01/17.01.2020/77344" TargetMode="External"/><Relationship Id="rId1177" Type="http://schemas.openxmlformats.org/officeDocument/2006/relationships/hyperlink" Target="2020_02\10.02.2020\90493" TargetMode="External"/><Relationship Id="rId2130" Type="http://schemas.openxmlformats.org/officeDocument/2006/relationships/hyperlink" Target="2020_06\01.06.2020\61574" TargetMode="External"/><Relationship Id="rId2575" Type="http://schemas.openxmlformats.org/officeDocument/2006/relationships/hyperlink" Target="2020_06/19.06.2020/37752" TargetMode="External"/><Relationship Id="rId102" Type="http://schemas.openxmlformats.org/officeDocument/2006/relationships/hyperlink" Target="2019_10\18.10.2019\37857" TargetMode="External"/><Relationship Id="rId547" Type="http://schemas.openxmlformats.org/officeDocument/2006/relationships/hyperlink" Target="2019_12\17.12.2019\71208" TargetMode="External"/><Relationship Id="rId754" Type="http://schemas.openxmlformats.org/officeDocument/2006/relationships/hyperlink" Target="2020_01\09.01.2020\80605" TargetMode="External"/><Relationship Id="rId961" Type="http://schemas.openxmlformats.org/officeDocument/2006/relationships/hyperlink" Target="2020_01/23.01.2020/81188" TargetMode="External"/><Relationship Id="rId1384" Type="http://schemas.openxmlformats.org/officeDocument/2006/relationships/hyperlink" Target="2020_03/02.03.2020/10574" TargetMode="External"/><Relationship Id="rId1591" Type="http://schemas.openxmlformats.org/officeDocument/2006/relationships/hyperlink" Target="2020_03/19.03.2020/28587" TargetMode="External"/><Relationship Id="rId1689" Type="http://schemas.openxmlformats.org/officeDocument/2006/relationships/hyperlink" Target="2020_03\26.03.2020\24869" TargetMode="External"/><Relationship Id="rId2228" Type="http://schemas.openxmlformats.org/officeDocument/2006/relationships/hyperlink" Target="2020_06/11.06.2020/48079" TargetMode="External"/><Relationship Id="rId2435" Type="http://schemas.openxmlformats.org/officeDocument/2006/relationships/hyperlink" Target="2020_06/16.06.2020/64111" TargetMode="External"/><Relationship Id="rId2642" Type="http://schemas.openxmlformats.org/officeDocument/2006/relationships/hyperlink" Target="2020_06/19.06.2020/75658" TargetMode="External"/><Relationship Id="rId90" Type="http://schemas.openxmlformats.org/officeDocument/2006/relationships/hyperlink" Target="2019_10\31.10.2019\37199" TargetMode="External"/><Relationship Id="rId407" Type="http://schemas.openxmlformats.org/officeDocument/2006/relationships/hyperlink" Target="https://smp.sfurf.office/sd/operator/" TargetMode="External"/><Relationship Id="rId614" Type="http://schemas.openxmlformats.org/officeDocument/2006/relationships/hyperlink" Target="2019_12\24.12.2019\67356" TargetMode="External"/><Relationship Id="rId821" Type="http://schemas.openxmlformats.org/officeDocument/2006/relationships/hyperlink" Target="2020_01/14.01.2020/83185" TargetMode="External"/><Relationship Id="rId1037" Type="http://schemas.openxmlformats.org/officeDocument/2006/relationships/hyperlink" Target="2020_01\29.01.2020\83266" TargetMode="External"/><Relationship Id="rId1244" Type="http://schemas.openxmlformats.org/officeDocument/2006/relationships/hyperlink" Target="2020_02\18.02.2020\11586" TargetMode="External"/><Relationship Id="rId1451" Type="http://schemas.openxmlformats.org/officeDocument/2006/relationships/hyperlink" Target="2020_03\05.03.2020\21863" TargetMode="External"/><Relationship Id="rId1896" Type="http://schemas.openxmlformats.org/officeDocument/2006/relationships/hyperlink" Target="2020_05\18.05.2020\42553" TargetMode="External"/><Relationship Id="rId2502" Type="http://schemas.openxmlformats.org/officeDocument/2006/relationships/hyperlink" Target="2020_06/16.06.2020/64052" TargetMode="External"/><Relationship Id="rId919" Type="http://schemas.openxmlformats.org/officeDocument/2006/relationships/hyperlink" Target="2020_01\21.01.2020\87979" TargetMode="External"/><Relationship Id="rId1104" Type="http://schemas.openxmlformats.org/officeDocument/2006/relationships/hyperlink" Target="2020_02\04.02.2020\86580" TargetMode="External"/><Relationship Id="rId1311" Type="http://schemas.openxmlformats.org/officeDocument/2006/relationships/hyperlink" Target="2020_02/25.02.2020/-7182" TargetMode="External"/><Relationship Id="rId1549" Type="http://schemas.openxmlformats.org/officeDocument/2006/relationships/hyperlink" Target="2020_03\16.03.2020\17712" TargetMode="External"/><Relationship Id="rId1756" Type="http://schemas.openxmlformats.org/officeDocument/2006/relationships/hyperlink" Target="2020_04\07.04.2020\36339" TargetMode="External"/><Relationship Id="rId1963" Type="http://schemas.openxmlformats.org/officeDocument/2006/relationships/hyperlink" Target="2020_05/22.05.2020/46724" TargetMode="External"/><Relationship Id="rId48" Type="http://schemas.openxmlformats.org/officeDocument/2006/relationships/hyperlink" Target="https://smp.sfurf.office/sd/operator/" TargetMode="External"/><Relationship Id="rId1409" Type="http://schemas.openxmlformats.org/officeDocument/2006/relationships/hyperlink" Target="2020_03\03.03.2020\-5785" TargetMode="External"/><Relationship Id="rId1616" Type="http://schemas.openxmlformats.org/officeDocument/2006/relationships/hyperlink" Target="2020_03\20.03.2020\21127" TargetMode="External"/><Relationship Id="rId1823" Type="http://schemas.openxmlformats.org/officeDocument/2006/relationships/hyperlink" Target="2020_05\13.05.2020\30413" TargetMode="External"/><Relationship Id="rId197" Type="http://schemas.openxmlformats.org/officeDocument/2006/relationships/hyperlink" Target="https://smp.sfurf.office/sd/operator/index.jsp;jsessionid=4B56FDB405CD332F2E4AE6AEC0BFEE05" TargetMode="External"/><Relationship Id="rId2085" Type="http://schemas.openxmlformats.org/officeDocument/2006/relationships/hyperlink" Target="2020_06/01.06.2020/58066" TargetMode="External"/><Relationship Id="rId2292" Type="http://schemas.openxmlformats.org/officeDocument/2006/relationships/hyperlink" Target="2020_06/16.06.2020/50640" TargetMode="External"/><Relationship Id="rId264" Type="http://schemas.openxmlformats.org/officeDocument/2006/relationships/hyperlink" Target="2019_11\07.11.2019\47502" TargetMode="External"/><Relationship Id="rId471" Type="http://schemas.openxmlformats.org/officeDocument/2006/relationships/hyperlink" Target="2019_12\10.12.2019\58469" TargetMode="External"/><Relationship Id="rId2152" Type="http://schemas.openxmlformats.org/officeDocument/2006/relationships/hyperlink" Target="2020_06/01.06.2020/63223" TargetMode="External"/><Relationship Id="rId2597" Type="http://schemas.openxmlformats.org/officeDocument/2006/relationships/hyperlink" Target="2020_06\23.06.2020\62652" TargetMode="External"/><Relationship Id="rId124" Type="http://schemas.openxmlformats.org/officeDocument/2006/relationships/hyperlink" Target="https://smp.sfurf.office/sd/operator/index.jsp;jsessionid=4B56FDB405CD332F2E4AE6AEC0BFEE05" TargetMode="External"/><Relationship Id="rId569" Type="http://schemas.openxmlformats.org/officeDocument/2006/relationships/hyperlink" Target="2019_12\18.12.2019\73215" TargetMode="External"/><Relationship Id="rId776" Type="http://schemas.openxmlformats.org/officeDocument/2006/relationships/hyperlink" Target="2020_01/09.01.2020/81467" TargetMode="External"/><Relationship Id="rId983" Type="http://schemas.openxmlformats.org/officeDocument/2006/relationships/hyperlink" Target="2020_01\27.01.2020\82977" TargetMode="External"/><Relationship Id="rId1199" Type="http://schemas.openxmlformats.org/officeDocument/2006/relationships/hyperlink" Target="2020_02\11.02.2020\-7253" TargetMode="External"/><Relationship Id="rId2457" Type="http://schemas.openxmlformats.org/officeDocument/2006/relationships/hyperlink" Target="2020_06\16.06.2020\63424" TargetMode="External"/><Relationship Id="rId2664" Type="http://schemas.openxmlformats.org/officeDocument/2006/relationships/hyperlink" Target="2020_06/30.06.2020/71710" TargetMode="External"/><Relationship Id="rId331" Type="http://schemas.openxmlformats.org/officeDocument/2006/relationships/hyperlink" Target="2019_12\05.12.2019\56220" TargetMode="External"/><Relationship Id="rId429" Type="http://schemas.openxmlformats.org/officeDocument/2006/relationships/hyperlink" Target="https://smp.sfurf.office/sd/operator/" TargetMode="External"/><Relationship Id="rId636" Type="http://schemas.openxmlformats.org/officeDocument/2006/relationships/hyperlink" Target="2019_12/24.12.2019/67690" TargetMode="External"/><Relationship Id="rId1059" Type="http://schemas.openxmlformats.org/officeDocument/2006/relationships/hyperlink" Target="2020_01\31.01.2020\85385" TargetMode="External"/><Relationship Id="rId1266" Type="http://schemas.openxmlformats.org/officeDocument/2006/relationships/hyperlink" Target="2020_02/20.02.2020/-4210" TargetMode="External"/><Relationship Id="rId1473" Type="http://schemas.openxmlformats.org/officeDocument/2006/relationships/hyperlink" Target="2020_03\06.03.2020\14148" TargetMode="External"/><Relationship Id="rId2012" Type="http://schemas.openxmlformats.org/officeDocument/2006/relationships/hyperlink" Target="2020_05\25.05.2020\47873" TargetMode="External"/><Relationship Id="rId2317" Type="http://schemas.openxmlformats.org/officeDocument/2006/relationships/hyperlink" Target="2020_06/16.06.2020/53596" TargetMode="External"/><Relationship Id="rId843" Type="http://schemas.openxmlformats.org/officeDocument/2006/relationships/hyperlink" Target="2020_01\15.01.2020\75143" TargetMode="External"/><Relationship Id="rId1126" Type="http://schemas.openxmlformats.org/officeDocument/2006/relationships/hyperlink" Target="2020_02/05.02.2020/-3652" TargetMode="External"/><Relationship Id="rId1680" Type="http://schemas.openxmlformats.org/officeDocument/2006/relationships/hyperlink" Target="2020_03/26.03.2020/24120" TargetMode="External"/><Relationship Id="rId1778" Type="http://schemas.openxmlformats.org/officeDocument/2006/relationships/hyperlink" Target="2020_04\08.04.2020\37546" TargetMode="External"/><Relationship Id="rId1985" Type="http://schemas.openxmlformats.org/officeDocument/2006/relationships/hyperlink" Target="2020_05/18.05.2020/42957" TargetMode="External"/><Relationship Id="rId2524" Type="http://schemas.openxmlformats.org/officeDocument/2006/relationships/hyperlink" Target="2020_06/18.06.2020/73868" TargetMode="External"/><Relationship Id="rId703" Type="http://schemas.openxmlformats.org/officeDocument/2006/relationships/hyperlink" Target="2019_12/27.12.2019/78031" TargetMode="External"/><Relationship Id="rId910" Type="http://schemas.openxmlformats.org/officeDocument/2006/relationships/hyperlink" Target="2020_01\20.01.2020\78380" TargetMode="External"/><Relationship Id="rId1333" Type="http://schemas.openxmlformats.org/officeDocument/2006/relationships/hyperlink" Target="2020_02\26.02.2020\15425" TargetMode="External"/><Relationship Id="rId1540" Type="http://schemas.openxmlformats.org/officeDocument/2006/relationships/hyperlink" Target="2020_03\16.03.2020\26133" TargetMode="External"/><Relationship Id="rId1638" Type="http://schemas.openxmlformats.org/officeDocument/2006/relationships/hyperlink" Target="2020_03\23.03.2020\21691" TargetMode="External"/><Relationship Id="rId1400" Type="http://schemas.openxmlformats.org/officeDocument/2006/relationships/hyperlink" Target="2020_03/03.03.2020/10089" TargetMode="External"/><Relationship Id="rId1845" Type="http://schemas.openxmlformats.org/officeDocument/2006/relationships/hyperlink" Target="2020_05/14.05.2020/40961" TargetMode="External"/><Relationship Id="rId1705" Type="http://schemas.openxmlformats.org/officeDocument/2006/relationships/hyperlink" Target="2020_03\27.03.2020\16971" TargetMode="External"/><Relationship Id="rId1912" Type="http://schemas.openxmlformats.org/officeDocument/2006/relationships/hyperlink" Target="2020_05/18.05.2020/32725" TargetMode="External"/><Relationship Id="rId286" Type="http://schemas.openxmlformats.org/officeDocument/2006/relationships/hyperlink" Target="2019_11\11.11.2019\49679" TargetMode="External"/><Relationship Id="rId493" Type="http://schemas.openxmlformats.org/officeDocument/2006/relationships/hyperlink" Target="2019_12\12.12.2019\69727" TargetMode="External"/><Relationship Id="rId2174" Type="http://schemas.openxmlformats.org/officeDocument/2006/relationships/hyperlink" Target="2020_06/08.06.2020/44519" TargetMode="External"/><Relationship Id="rId2381" Type="http://schemas.openxmlformats.org/officeDocument/2006/relationships/hyperlink" Target="2020_06/09.06.2020/70036" TargetMode="External"/><Relationship Id="rId146" Type="http://schemas.openxmlformats.org/officeDocument/2006/relationships/hyperlink" Target="2019_11\07.11.2019\39995" TargetMode="External"/><Relationship Id="rId353" Type="http://schemas.openxmlformats.org/officeDocument/2006/relationships/hyperlink" Target="https://smp.sfurf.office/sd/operator/" TargetMode="External"/><Relationship Id="rId560" Type="http://schemas.openxmlformats.org/officeDocument/2006/relationships/hyperlink" Target="2019_12\18.12.2019\72368" TargetMode="External"/><Relationship Id="rId798" Type="http://schemas.openxmlformats.org/officeDocument/2006/relationships/hyperlink" Target="2020_01\10.01.2020\81542" TargetMode="External"/><Relationship Id="rId1190" Type="http://schemas.openxmlformats.org/officeDocument/2006/relationships/hyperlink" Target="2020_02/11.02.2020/90630" TargetMode="External"/><Relationship Id="rId2034" Type="http://schemas.openxmlformats.org/officeDocument/2006/relationships/hyperlink" Target="2020_05/26.05.2020/39644" TargetMode="External"/><Relationship Id="rId2241" Type="http://schemas.openxmlformats.org/officeDocument/2006/relationships/hyperlink" Target="2020_06/01.06.2020/63081" TargetMode="External"/><Relationship Id="rId2479" Type="http://schemas.openxmlformats.org/officeDocument/2006/relationships/hyperlink" Target="2020_06/16.06.2020/52050" TargetMode="External"/><Relationship Id="rId213" Type="http://schemas.openxmlformats.org/officeDocument/2006/relationships/hyperlink" Target="..\..\2019_11\28.11.2019\43845" TargetMode="External"/><Relationship Id="rId420" Type="http://schemas.openxmlformats.org/officeDocument/2006/relationships/hyperlink" Target="2019_12\03.12.2019\63068" TargetMode="External"/><Relationship Id="rId658" Type="http://schemas.openxmlformats.org/officeDocument/2006/relationships/hyperlink" Target="2019_12/25.12.2019/76197" TargetMode="External"/><Relationship Id="rId865" Type="http://schemas.openxmlformats.org/officeDocument/2006/relationships/hyperlink" Target="2020_01/16.01.2020/77343" TargetMode="External"/><Relationship Id="rId1050" Type="http://schemas.openxmlformats.org/officeDocument/2006/relationships/hyperlink" Target="2020_01\30.01.2020\20-54" TargetMode="External"/><Relationship Id="rId1288" Type="http://schemas.openxmlformats.org/officeDocument/2006/relationships/hyperlink" Target="2020_02/21.02.2020/14514" TargetMode="External"/><Relationship Id="rId1495" Type="http://schemas.openxmlformats.org/officeDocument/2006/relationships/hyperlink" Target="2020_03/11.03.2020/14307" TargetMode="External"/><Relationship Id="rId2101" Type="http://schemas.openxmlformats.org/officeDocument/2006/relationships/hyperlink" Target="2020_06\01.06.2020\60885" TargetMode="External"/><Relationship Id="rId2339" Type="http://schemas.openxmlformats.org/officeDocument/2006/relationships/hyperlink" Target="2020_06/16.06.2020/56661" TargetMode="External"/><Relationship Id="rId2546" Type="http://schemas.openxmlformats.org/officeDocument/2006/relationships/hyperlink" Target="2020_06/23.06.2020/69016" TargetMode="External"/><Relationship Id="rId518" Type="http://schemas.openxmlformats.org/officeDocument/2006/relationships/hyperlink" Target="2019_12\16.12.2019\61675" TargetMode="External"/><Relationship Id="rId725" Type="http://schemas.openxmlformats.org/officeDocument/2006/relationships/hyperlink" Target="2019_12/30.12.2019/70638" TargetMode="External"/><Relationship Id="rId932" Type="http://schemas.openxmlformats.org/officeDocument/2006/relationships/hyperlink" Target="2020_01/21.01.2020/79110" TargetMode="External"/><Relationship Id="rId1148" Type="http://schemas.openxmlformats.org/officeDocument/2006/relationships/hyperlink" Target="2020_02/07.02.2020/89355" TargetMode="External"/><Relationship Id="rId1355" Type="http://schemas.openxmlformats.org/officeDocument/2006/relationships/hyperlink" Target="2020_02/27.02.2020/16668" TargetMode="External"/><Relationship Id="rId1562" Type="http://schemas.openxmlformats.org/officeDocument/2006/relationships/hyperlink" Target="2020_03\17.03.2020\18062" TargetMode="External"/><Relationship Id="rId2406" Type="http://schemas.openxmlformats.org/officeDocument/2006/relationships/hyperlink" Target="2020_06\08.06.2020\69868" TargetMode="External"/><Relationship Id="rId2613" Type="http://schemas.openxmlformats.org/officeDocument/2006/relationships/hyperlink" Target="2020_06/26.06.2020/70761" TargetMode="External"/><Relationship Id="rId1008" Type="http://schemas.openxmlformats.org/officeDocument/2006/relationships/hyperlink" Target="2020_01\28.01.2020\82558" TargetMode="External"/><Relationship Id="rId1215" Type="http://schemas.openxmlformats.org/officeDocument/2006/relationships/hyperlink" Target="2020_02\12.02.2020\91739" TargetMode="External"/><Relationship Id="rId1422" Type="http://schemas.openxmlformats.org/officeDocument/2006/relationships/hyperlink" Target="2020_03/04.03.2020/11303" TargetMode="External"/><Relationship Id="rId1867" Type="http://schemas.openxmlformats.org/officeDocument/2006/relationships/hyperlink" Target="2020_05/15.05.2020/31571" TargetMode="External"/><Relationship Id="rId61" Type="http://schemas.openxmlformats.org/officeDocument/2006/relationships/hyperlink" Target="https://smp.sfurf.office/sd/operator/" TargetMode="External"/><Relationship Id="rId1727" Type="http://schemas.openxmlformats.org/officeDocument/2006/relationships/hyperlink" Target="2020_05\06.05.2020\35934" TargetMode="External"/><Relationship Id="rId1934" Type="http://schemas.openxmlformats.org/officeDocument/2006/relationships/hyperlink" Target="2020_05/19.05.2020/44004" TargetMode="External"/><Relationship Id="rId19" Type="http://schemas.openxmlformats.org/officeDocument/2006/relationships/hyperlink" Target="https://smp.sfurf.office/sd/operator/index.jsp;jsessionid=4B56FDB405CD332F2E4AE6AEC0BFEE05" TargetMode="External"/><Relationship Id="rId2196" Type="http://schemas.openxmlformats.org/officeDocument/2006/relationships/hyperlink" Target="2020_06/04.06.2020/42939" TargetMode="External"/><Relationship Id="rId168" Type="http://schemas.openxmlformats.org/officeDocument/2006/relationships/hyperlink" Target="2019_10\08.10.2019\32608" TargetMode="External"/><Relationship Id="rId375" Type="http://schemas.openxmlformats.org/officeDocument/2006/relationships/hyperlink" Target="https://smp.sfurf.office/sd/operator/" TargetMode="External"/><Relationship Id="rId582" Type="http://schemas.openxmlformats.org/officeDocument/2006/relationships/hyperlink" Target="2019_12\19.12.2019\73186" TargetMode="External"/><Relationship Id="rId2056" Type="http://schemas.openxmlformats.org/officeDocument/2006/relationships/hyperlink" Target="2020_05/27.05.2020/50590" TargetMode="External"/><Relationship Id="rId2263" Type="http://schemas.openxmlformats.org/officeDocument/2006/relationships/hyperlink" Target="2020_06\01.06.2020\62323" TargetMode="External"/><Relationship Id="rId2470" Type="http://schemas.openxmlformats.org/officeDocument/2006/relationships/hyperlink" Target="2020_06/16.06.2020/60896" TargetMode="External"/><Relationship Id="rId3" Type="http://schemas.openxmlformats.org/officeDocument/2006/relationships/hyperlink" Target="https://smp.sfurf.office/sd/operator/index.jsp;jsessionid=4B56FDB405CD332F2E4AE6AEC0BFEE05" TargetMode="External"/><Relationship Id="rId235" Type="http://schemas.openxmlformats.org/officeDocument/2006/relationships/hyperlink" Target="https://smp.sfurf.office/sd/operator/" TargetMode="External"/><Relationship Id="rId442" Type="http://schemas.openxmlformats.org/officeDocument/2006/relationships/hyperlink" Target="2019_12\10.12.2019\66592" TargetMode="External"/><Relationship Id="rId887" Type="http://schemas.openxmlformats.org/officeDocument/2006/relationships/hyperlink" Target="2020_01/17.01.2020/77632" TargetMode="External"/><Relationship Id="rId1072" Type="http://schemas.openxmlformats.org/officeDocument/2006/relationships/hyperlink" Target="2020_02\03.02.2020\-1183" TargetMode="External"/><Relationship Id="rId2123" Type="http://schemas.openxmlformats.org/officeDocument/2006/relationships/hyperlink" Target="2020_06/01.06.2020/63279" TargetMode="External"/><Relationship Id="rId2330" Type="http://schemas.openxmlformats.org/officeDocument/2006/relationships/hyperlink" Target="2020_06/16.06.2020/61560" TargetMode="External"/><Relationship Id="rId2568" Type="http://schemas.openxmlformats.org/officeDocument/2006/relationships/hyperlink" Target="2020_06\23.06.2020\76852" TargetMode="External"/><Relationship Id="rId302" Type="http://schemas.openxmlformats.org/officeDocument/2006/relationships/hyperlink" Target="https://smp.sfurf.office/sd/operator/index.jsp;jsessionid=4B56FDB405CD332F2E4AE6AEC0BFEE05" TargetMode="External"/><Relationship Id="rId747" Type="http://schemas.openxmlformats.org/officeDocument/2006/relationships/hyperlink" Target="2019_12/31.12.2019/79306" TargetMode="External"/><Relationship Id="rId954" Type="http://schemas.openxmlformats.org/officeDocument/2006/relationships/hyperlink" Target="2020_01/23.01.2020/81252" TargetMode="External"/><Relationship Id="rId1377" Type="http://schemas.openxmlformats.org/officeDocument/2006/relationships/hyperlink" Target="2020_02/28.02.2020/17763" TargetMode="External"/><Relationship Id="rId1584" Type="http://schemas.openxmlformats.org/officeDocument/2006/relationships/hyperlink" Target="2020_03\18.03.2020\19464" TargetMode="External"/><Relationship Id="rId1791" Type="http://schemas.openxmlformats.org/officeDocument/2006/relationships/hyperlink" Target="2020_04\09.04.2020\28799" TargetMode="External"/><Relationship Id="rId2428" Type="http://schemas.openxmlformats.org/officeDocument/2006/relationships/hyperlink" Target="2020_06/16.06.2020/56899" TargetMode="External"/><Relationship Id="rId2635" Type="http://schemas.openxmlformats.org/officeDocument/2006/relationships/hyperlink" Target="2020_06\25.06.2020\76736" TargetMode="External"/><Relationship Id="rId83" Type="http://schemas.openxmlformats.org/officeDocument/2006/relationships/hyperlink" Target="../Users/shilyaevan/AppData/Roaming/Microsoft/Excel/2019_10/16.10.2019/36544" TargetMode="External"/><Relationship Id="rId607" Type="http://schemas.openxmlformats.org/officeDocument/2006/relationships/hyperlink" Target="2019_12/23.12.2019/74372" TargetMode="External"/><Relationship Id="rId814" Type="http://schemas.openxmlformats.org/officeDocument/2006/relationships/hyperlink" Target="2020_01\13.01.2020\82856" TargetMode="External"/><Relationship Id="rId1237" Type="http://schemas.openxmlformats.org/officeDocument/2006/relationships/hyperlink" Target="2020_02/18.02.2020/11365" TargetMode="External"/><Relationship Id="rId1444" Type="http://schemas.openxmlformats.org/officeDocument/2006/relationships/hyperlink" Target="2020_03/05.03.2020/11801" TargetMode="External"/><Relationship Id="rId1651" Type="http://schemas.openxmlformats.org/officeDocument/2006/relationships/hyperlink" Target="2020_03\24.03.2020\13421" TargetMode="External"/><Relationship Id="rId1889" Type="http://schemas.openxmlformats.org/officeDocument/2006/relationships/hyperlink" Target="2020_05\15.05.2020\31544" TargetMode="External"/><Relationship Id="rId1304" Type="http://schemas.openxmlformats.org/officeDocument/2006/relationships/hyperlink" Target="2020_02/25.02.2020/14427" TargetMode="External"/><Relationship Id="rId1511" Type="http://schemas.openxmlformats.org/officeDocument/2006/relationships/hyperlink" Target="2020_03/12.03.2020/24235" TargetMode="External"/><Relationship Id="rId1749" Type="http://schemas.openxmlformats.org/officeDocument/2006/relationships/hyperlink" Target="2020_04\07.04.2020\27673" TargetMode="External"/><Relationship Id="rId1956" Type="http://schemas.openxmlformats.org/officeDocument/2006/relationships/hyperlink" Target="2020_05/22.05.2020/36575" TargetMode="External"/><Relationship Id="rId1609" Type="http://schemas.openxmlformats.org/officeDocument/2006/relationships/hyperlink" Target="2020_03\20.03.2020\21190" TargetMode="External"/><Relationship Id="rId1816" Type="http://schemas.openxmlformats.org/officeDocument/2006/relationships/hyperlink" Target="2020_05/13.05.2020/29727" TargetMode="External"/><Relationship Id="rId10" Type="http://schemas.openxmlformats.org/officeDocument/2006/relationships/hyperlink" Target="https://smp.sfurf.office/sd/operator/index.jsp;jsessionid=4B56FDB405CD332F2E4AE6AEC0BFEE05" TargetMode="External"/><Relationship Id="rId397" Type="http://schemas.openxmlformats.org/officeDocument/2006/relationships/hyperlink" Target="https://smp.sfurf.office/sd/operator/" TargetMode="External"/><Relationship Id="rId2078" Type="http://schemas.openxmlformats.org/officeDocument/2006/relationships/hyperlink" Target="2020_05/20.05.2020/31967" TargetMode="External"/><Relationship Id="rId2285" Type="http://schemas.openxmlformats.org/officeDocument/2006/relationships/hyperlink" Target="2020_06/16.06.2020/51342" TargetMode="External"/><Relationship Id="rId2492" Type="http://schemas.openxmlformats.org/officeDocument/2006/relationships/hyperlink" Target="2020_06/16.06.2020/65337" TargetMode="External"/><Relationship Id="rId257" Type="http://schemas.openxmlformats.org/officeDocument/2006/relationships/hyperlink" Target="2019_11\05.11.2019\47166" TargetMode="External"/><Relationship Id="rId464" Type="http://schemas.openxmlformats.org/officeDocument/2006/relationships/hyperlink" Target="2019_12\09.12.2019\67460" TargetMode="External"/><Relationship Id="rId1094" Type="http://schemas.openxmlformats.org/officeDocument/2006/relationships/hyperlink" Target="2020_02\04.02.2020\87984" TargetMode="External"/><Relationship Id="rId2145" Type="http://schemas.openxmlformats.org/officeDocument/2006/relationships/hyperlink" Target="2020_06/08.06.2020/44137" TargetMode="External"/><Relationship Id="rId117" Type="http://schemas.openxmlformats.org/officeDocument/2006/relationships/hyperlink" Target="https://smp.sfurf.office/sd/operator/index.jsp;jsessionid=4B56FDB405CD332F2E4AE6AEC0BFEE05" TargetMode="External"/><Relationship Id="rId671" Type="http://schemas.openxmlformats.org/officeDocument/2006/relationships/hyperlink" Target="2019_12/26.12.2019/69945" TargetMode="External"/><Relationship Id="rId769" Type="http://schemas.openxmlformats.org/officeDocument/2006/relationships/hyperlink" Target="2020_01\09.01.2020\72940" TargetMode="External"/><Relationship Id="rId976" Type="http://schemas.openxmlformats.org/officeDocument/2006/relationships/hyperlink" Target="2020_01\24.01.2020\81417" TargetMode="External"/><Relationship Id="rId1399" Type="http://schemas.openxmlformats.org/officeDocument/2006/relationships/hyperlink" Target="2020_03\03.03.2020\19346" TargetMode="External"/><Relationship Id="rId2352" Type="http://schemas.openxmlformats.org/officeDocument/2006/relationships/hyperlink" Target="2020_06/16.06.2020/51857" TargetMode="External"/><Relationship Id="rId2657" Type="http://schemas.openxmlformats.org/officeDocument/2006/relationships/hyperlink" Target="2020_06/25.06.2020/76846" TargetMode="External"/><Relationship Id="rId324" Type="http://schemas.openxmlformats.org/officeDocument/2006/relationships/hyperlink" Target="2019_11\19.11.2019\54318" TargetMode="External"/><Relationship Id="rId531" Type="http://schemas.openxmlformats.org/officeDocument/2006/relationships/hyperlink" Target="2019_12\16.12.2019\70507" TargetMode="External"/><Relationship Id="rId629" Type="http://schemas.openxmlformats.org/officeDocument/2006/relationships/hyperlink" Target="2019_12\24.12.2019\66570" TargetMode="External"/><Relationship Id="rId1161" Type="http://schemas.openxmlformats.org/officeDocument/2006/relationships/hyperlink" Target="2020_02\10.02.2020\90567" TargetMode="External"/><Relationship Id="rId1259" Type="http://schemas.openxmlformats.org/officeDocument/2006/relationships/hyperlink" Target="2020_02/19.02.2020/-3901" TargetMode="External"/><Relationship Id="rId1466" Type="http://schemas.openxmlformats.org/officeDocument/2006/relationships/hyperlink" Target="2020_03\06.03.2020\13332" TargetMode="External"/><Relationship Id="rId2005" Type="http://schemas.openxmlformats.org/officeDocument/2006/relationships/hyperlink" Target="2020_05/22.05.2020/46417" TargetMode="External"/><Relationship Id="rId2212" Type="http://schemas.openxmlformats.org/officeDocument/2006/relationships/hyperlink" Target="2020_06/10.06.2020/46468" TargetMode="External"/><Relationship Id="rId836" Type="http://schemas.openxmlformats.org/officeDocument/2006/relationships/hyperlink" Target="2020_01\15.01.2020\76232" TargetMode="External"/><Relationship Id="rId1021" Type="http://schemas.openxmlformats.org/officeDocument/2006/relationships/hyperlink" Target="2020_01\28.01.2020\90981" TargetMode="External"/><Relationship Id="rId1119" Type="http://schemas.openxmlformats.org/officeDocument/2006/relationships/hyperlink" Target="2020_02\05.02.2020\87810" TargetMode="External"/><Relationship Id="rId1673" Type="http://schemas.openxmlformats.org/officeDocument/2006/relationships/hyperlink" Target="2020_03/25.03.2020/23444" TargetMode="External"/><Relationship Id="rId1880" Type="http://schemas.openxmlformats.org/officeDocument/2006/relationships/hyperlink" Target="2020_05/14.05.2020/40730" TargetMode="External"/><Relationship Id="rId1978" Type="http://schemas.openxmlformats.org/officeDocument/2006/relationships/hyperlink" Target="2020_05/22.05.2020/46758" TargetMode="External"/><Relationship Id="rId2517" Type="http://schemas.openxmlformats.org/officeDocument/2006/relationships/hyperlink" Target="2020_06/17.06.2020/73905" TargetMode="External"/><Relationship Id="rId903" Type="http://schemas.openxmlformats.org/officeDocument/2006/relationships/hyperlink" Target="2020_01\20.01.2020\86130" TargetMode="External"/><Relationship Id="rId1326" Type="http://schemas.openxmlformats.org/officeDocument/2006/relationships/hyperlink" Target="2020_02/26.02.2020/-7484" TargetMode="External"/><Relationship Id="rId1533" Type="http://schemas.openxmlformats.org/officeDocument/2006/relationships/hyperlink" Target="2020_03/12.03.2020/15862" TargetMode="External"/><Relationship Id="rId1740" Type="http://schemas.openxmlformats.org/officeDocument/2006/relationships/hyperlink" Target="2020_04\06.04.2020\35869" TargetMode="External"/><Relationship Id="rId32" Type="http://schemas.openxmlformats.org/officeDocument/2006/relationships/hyperlink" Target="https://smp.sfurf.office/sd/operator/" TargetMode="External"/><Relationship Id="rId1600" Type="http://schemas.openxmlformats.org/officeDocument/2006/relationships/hyperlink" Target="2020_03\19.03.2020\20372" TargetMode="External"/><Relationship Id="rId1838" Type="http://schemas.openxmlformats.org/officeDocument/2006/relationships/hyperlink" Target="2020_05\06.05.2020\35702" TargetMode="External"/><Relationship Id="rId181" Type="http://schemas.openxmlformats.org/officeDocument/2006/relationships/hyperlink" Target="2019_11\12.11.2019\42151" TargetMode="External"/><Relationship Id="rId1905" Type="http://schemas.openxmlformats.org/officeDocument/2006/relationships/hyperlink" Target="2020_05/18.05.2020/32496" TargetMode="External"/><Relationship Id="rId279" Type="http://schemas.openxmlformats.org/officeDocument/2006/relationships/hyperlink" Target="https://smp.sfurf.office/sd/operator/" TargetMode="External"/><Relationship Id="rId486" Type="http://schemas.openxmlformats.org/officeDocument/2006/relationships/hyperlink" Target="2019_12\11.12.2019\59761" TargetMode="External"/><Relationship Id="rId693" Type="http://schemas.openxmlformats.org/officeDocument/2006/relationships/hyperlink" Target="2019_12/26.12.2019/77035" TargetMode="External"/><Relationship Id="rId2167" Type="http://schemas.openxmlformats.org/officeDocument/2006/relationships/hyperlink" Target="2020_06/11.06.2020/48708" TargetMode="External"/><Relationship Id="rId2374" Type="http://schemas.openxmlformats.org/officeDocument/2006/relationships/hyperlink" Target="2020_06/04.06.2020/67448" TargetMode="External"/><Relationship Id="rId2581" Type="http://schemas.openxmlformats.org/officeDocument/2006/relationships/hyperlink" Target="2020_06/23.06.2020/55521" TargetMode="External"/><Relationship Id="rId139" Type="http://schemas.openxmlformats.org/officeDocument/2006/relationships/hyperlink" Target="../Users/shilyaevan/AppData/Roaming/Microsoft/Excel/2019_10/22.10.2019/39566" TargetMode="External"/><Relationship Id="rId346" Type="http://schemas.openxmlformats.org/officeDocument/2006/relationships/hyperlink" Target="https://smp.sfurf.office/sd/operator/index.jsp;jsessionid=4B56FDB405CD332F2E4AE6AEC0BFEE05" TargetMode="External"/><Relationship Id="rId553" Type="http://schemas.openxmlformats.org/officeDocument/2006/relationships/hyperlink" Target="2019_12\18.12.2019\71930" TargetMode="External"/><Relationship Id="rId760" Type="http://schemas.openxmlformats.org/officeDocument/2006/relationships/hyperlink" Target="2019_12/31.12.2019/80324" TargetMode="External"/><Relationship Id="rId998" Type="http://schemas.openxmlformats.org/officeDocument/2006/relationships/hyperlink" Target="2020_01/28.01.2020/78556" TargetMode="External"/><Relationship Id="rId1183" Type="http://schemas.openxmlformats.org/officeDocument/2006/relationships/hyperlink" Target="2020_02\10.02.2020\89678" TargetMode="External"/><Relationship Id="rId1390" Type="http://schemas.openxmlformats.org/officeDocument/2006/relationships/hyperlink" Target="2020_03\02.03.2020\-9825" TargetMode="External"/><Relationship Id="rId2027" Type="http://schemas.openxmlformats.org/officeDocument/2006/relationships/hyperlink" Target="2020_05\25.05.2020\38425" TargetMode="External"/><Relationship Id="rId2234" Type="http://schemas.openxmlformats.org/officeDocument/2006/relationships/hyperlink" Target="2020_06\03.06.2020\66295" TargetMode="External"/><Relationship Id="rId2441" Type="http://schemas.openxmlformats.org/officeDocument/2006/relationships/hyperlink" Target="2020_06/16.06.2020/73330" TargetMode="External"/><Relationship Id="rId206" Type="http://schemas.openxmlformats.org/officeDocument/2006/relationships/hyperlink" Target="https://smp.sfurf.office/sd/operator/" TargetMode="External"/><Relationship Id="rId413" Type="http://schemas.openxmlformats.org/officeDocument/2006/relationships/hyperlink" Target="2019_11\29.11.2019\61262" TargetMode="External"/><Relationship Id="rId858" Type="http://schemas.openxmlformats.org/officeDocument/2006/relationships/hyperlink" Target="2020_01/16.01.2020/85422" TargetMode="External"/><Relationship Id="rId1043" Type="http://schemas.openxmlformats.org/officeDocument/2006/relationships/hyperlink" Target="2020_01\30.01.2020\84787" TargetMode="External"/><Relationship Id="rId1488" Type="http://schemas.openxmlformats.org/officeDocument/2006/relationships/hyperlink" Target="2020_03\11.03.2020\24282" TargetMode="External"/><Relationship Id="rId1695" Type="http://schemas.openxmlformats.org/officeDocument/2006/relationships/hyperlink" Target="2020_03\26.03.2020\34416" TargetMode="External"/><Relationship Id="rId2539" Type="http://schemas.openxmlformats.org/officeDocument/2006/relationships/hyperlink" Target="2020_06/19.06.2020/67335" TargetMode="External"/><Relationship Id="rId620" Type="http://schemas.openxmlformats.org/officeDocument/2006/relationships/hyperlink" Target="2019_12\23.12.2019\66500" TargetMode="External"/><Relationship Id="rId718" Type="http://schemas.openxmlformats.org/officeDocument/2006/relationships/hyperlink" Target="2019_12/30.12.2019/78934" TargetMode="External"/><Relationship Id="rId925" Type="http://schemas.openxmlformats.org/officeDocument/2006/relationships/hyperlink" Target="2020_01/21.01.2020/87161" TargetMode="External"/><Relationship Id="rId1250" Type="http://schemas.openxmlformats.org/officeDocument/2006/relationships/hyperlink" Target="2020_02\19.02.2020\-3651" TargetMode="External"/><Relationship Id="rId1348" Type="http://schemas.openxmlformats.org/officeDocument/2006/relationships/hyperlink" Target="2020_02\27.02.2020\16240" TargetMode="External"/><Relationship Id="rId1555" Type="http://schemas.openxmlformats.org/officeDocument/2006/relationships/hyperlink" Target="2020_03\17.03.2020\18769" TargetMode="External"/><Relationship Id="rId1762" Type="http://schemas.openxmlformats.org/officeDocument/2006/relationships/hyperlink" Target="2020_04\07.04.2020\36975" TargetMode="External"/><Relationship Id="rId2301" Type="http://schemas.openxmlformats.org/officeDocument/2006/relationships/hyperlink" Target="2020_06/16.06.2020/61559" TargetMode="External"/><Relationship Id="rId2606" Type="http://schemas.openxmlformats.org/officeDocument/2006/relationships/hyperlink" Target="2020_06/25.06.2020/69601" TargetMode="External"/><Relationship Id="rId1110" Type="http://schemas.openxmlformats.org/officeDocument/2006/relationships/hyperlink" Target="2020_02/03.02.2020/86347" TargetMode="External"/><Relationship Id="rId1208" Type="http://schemas.openxmlformats.org/officeDocument/2006/relationships/hyperlink" Target="2020_02/11.02.2020/91056" TargetMode="External"/><Relationship Id="rId1415" Type="http://schemas.openxmlformats.org/officeDocument/2006/relationships/hyperlink" Target="2020_03\03.03.2020\11061" TargetMode="External"/><Relationship Id="rId54" Type="http://schemas.openxmlformats.org/officeDocument/2006/relationships/hyperlink" Target="https://smp.sfurf.office/sd/operator/" TargetMode="External"/><Relationship Id="rId1622" Type="http://schemas.openxmlformats.org/officeDocument/2006/relationships/hyperlink" Target="2020_03\23.03.2020\22729" TargetMode="External"/><Relationship Id="rId1927" Type="http://schemas.openxmlformats.org/officeDocument/2006/relationships/hyperlink" Target="2020_05/19.05.2020/34075" TargetMode="External"/><Relationship Id="rId2091" Type="http://schemas.openxmlformats.org/officeDocument/2006/relationships/hyperlink" Target="2020_06/01.06.2020/60449" TargetMode="External"/><Relationship Id="rId2189" Type="http://schemas.openxmlformats.org/officeDocument/2006/relationships/hyperlink" Target="2020_06/04.06.2020/42748" TargetMode="External"/><Relationship Id="rId270" Type="http://schemas.openxmlformats.org/officeDocument/2006/relationships/hyperlink" Target="https://smp.sfurf.office/sd/operator/" TargetMode="External"/><Relationship Id="rId2396" Type="http://schemas.openxmlformats.org/officeDocument/2006/relationships/hyperlink" Target="2020_06/16.06.2020/54679" TargetMode="External"/><Relationship Id="rId130" Type="http://schemas.openxmlformats.org/officeDocument/2006/relationships/hyperlink" Target="../Users/shilyaevan/AppData/Roaming/Microsoft/Excel/2019_10/21.10.2019/38767" TargetMode="External"/><Relationship Id="rId368" Type="http://schemas.openxmlformats.org/officeDocument/2006/relationships/hyperlink" Target="2019_11\25.11.2019\58302" TargetMode="External"/><Relationship Id="rId575" Type="http://schemas.openxmlformats.org/officeDocument/2006/relationships/hyperlink" Target="2019_12\18.12.2019\71897" TargetMode="External"/><Relationship Id="rId782" Type="http://schemas.openxmlformats.org/officeDocument/2006/relationships/hyperlink" Target="2020_01/09.01.2020/81213" TargetMode="External"/><Relationship Id="rId2049" Type="http://schemas.openxmlformats.org/officeDocument/2006/relationships/hyperlink" Target="2020_05\27.05.2020\53014" TargetMode="External"/><Relationship Id="rId2256" Type="http://schemas.openxmlformats.org/officeDocument/2006/relationships/hyperlink" Target="2020_06/16.06.2020/51559" TargetMode="External"/><Relationship Id="rId2463" Type="http://schemas.openxmlformats.org/officeDocument/2006/relationships/hyperlink" Target="2020_06/16.06.2020/52963" TargetMode="External"/><Relationship Id="rId2670" Type="http://schemas.openxmlformats.org/officeDocument/2006/relationships/hyperlink" Target="2020_06\30.06.2020\72240" TargetMode="External"/><Relationship Id="rId228" Type="http://schemas.openxmlformats.org/officeDocument/2006/relationships/hyperlink" Target="https://smp.sfurf.office/sd/operator/" TargetMode="External"/><Relationship Id="rId435" Type="http://schemas.openxmlformats.org/officeDocument/2006/relationships/hyperlink" Target="https://smp.sfurf.office/sd/operator/" TargetMode="External"/><Relationship Id="rId642" Type="http://schemas.openxmlformats.org/officeDocument/2006/relationships/hyperlink" Target="2019_12/24.12.2019/75634" TargetMode="External"/><Relationship Id="rId1065" Type="http://schemas.openxmlformats.org/officeDocument/2006/relationships/hyperlink" Target="2020_01/31.01.2020/86045" TargetMode="External"/><Relationship Id="rId1272" Type="http://schemas.openxmlformats.org/officeDocument/2006/relationships/hyperlink" Target="2020_02\20.02.2020\-4386" TargetMode="External"/><Relationship Id="rId2116" Type="http://schemas.openxmlformats.org/officeDocument/2006/relationships/hyperlink" Target="2020_06/01.06.2020/60485" TargetMode="External"/><Relationship Id="rId2323" Type="http://schemas.openxmlformats.org/officeDocument/2006/relationships/hyperlink" Target="2020_06\15.06.2020\49065" TargetMode="External"/><Relationship Id="rId2530" Type="http://schemas.openxmlformats.org/officeDocument/2006/relationships/hyperlink" Target="2020_06/19.06.2020/67823" TargetMode="External"/><Relationship Id="rId502" Type="http://schemas.openxmlformats.org/officeDocument/2006/relationships/hyperlink" Target="2019_12\13.12.2019\69999" TargetMode="External"/><Relationship Id="rId947" Type="http://schemas.openxmlformats.org/officeDocument/2006/relationships/hyperlink" Target="2020_01/22.01.2020/87763" TargetMode="External"/><Relationship Id="rId1132" Type="http://schemas.openxmlformats.org/officeDocument/2006/relationships/hyperlink" Target="2020_02\05.02.2020\-3753" TargetMode="External"/><Relationship Id="rId1577" Type="http://schemas.openxmlformats.org/officeDocument/2006/relationships/hyperlink" Target="2020_03\18.03.2020\27948" TargetMode="External"/><Relationship Id="rId1784" Type="http://schemas.openxmlformats.org/officeDocument/2006/relationships/hyperlink" Target="2020_04/08.04.2020/37089" TargetMode="External"/><Relationship Id="rId1991" Type="http://schemas.openxmlformats.org/officeDocument/2006/relationships/hyperlink" Target="2020_05\26.05.2020\39862" TargetMode="External"/><Relationship Id="rId2628" Type="http://schemas.openxmlformats.org/officeDocument/2006/relationships/hyperlink" Target="2020_06\25.06.2020\70302" TargetMode="External"/><Relationship Id="rId76" Type="http://schemas.openxmlformats.org/officeDocument/2006/relationships/hyperlink" Target="https://smp.sfurf.office/sd/operator/index.jsp;jsessionid=4B56FDB405CD332F2E4AE6AEC0BFEE05" TargetMode="External"/><Relationship Id="rId807" Type="http://schemas.openxmlformats.org/officeDocument/2006/relationships/hyperlink" Target="2020_01/13.01.2020/81866" TargetMode="External"/><Relationship Id="rId1437" Type="http://schemas.openxmlformats.org/officeDocument/2006/relationships/hyperlink" Target="2020_03/04.03.2020/11441" TargetMode="External"/><Relationship Id="rId1644" Type="http://schemas.openxmlformats.org/officeDocument/2006/relationships/hyperlink" Target="2020_03/25.03.2020/23560" TargetMode="External"/><Relationship Id="rId1851" Type="http://schemas.openxmlformats.org/officeDocument/2006/relationships/hyperlink" Target="2020_05/15.05.2020/18660" TargetMode="External"/><Relationship Id="rId1504" Type="http://schemas.openxmlformats.org/officeDocument/2006/relationships/hyperlink" Target="2020_03\11.03.2020\24021" TargetMode="External"/><Relationship Id="rId1711" Type="http://schemas.openxmlformats.org/officeDocument/2006/relationships/hyperlink" Target="2020_03\27.03.2020\35256" TargetMode="External"/><Relationship Id="rId1949" Type="http://schemas.openxmlformats.org/officeDocument/2006/relationships/hyperlink" Target="2020_05/20.05.2020/35589" TargetMode="External"/><Relationship Id="rId292" Type="http://schemas.openxmlformats.org/officeDocument/2006/relationships/hyperlink" Target="2019_11\13.11.2019\50842" TargetMode="External"/><Relationship Id="rId1809" Type="http://schemas.openxmlformats.org/officeDocument/2006/relationships/hyperlink" Target="2020_05/12.05.2020/39160" TargetMode="External"/><Relationship Id="rId597" Type="http://schemas.openxmlformats.org/officeDocument/2006/relationships/hyperlink" Target="2019_12\20.12.2019\73942" TargetMode="External"/><Relationship Id="rId2180" Type="http://schemas.openxmlformats.org/officeDocument/2006/relationships/hyperlink" Target="2020_06\10.06.2020\47478" TargetMode="External"/><Relationship Id="rId2278" Type="http://schemas.openxmlformats.org/officeDocument/2006/relationships/hyperlink" Target="2020_06/16.06.2020/52514" TargetMode="External"/><Relationship Id="rId2485" Type="http://schemas.openxmlformats.org/officeDocument/2006/relationships/hyperlink" Target="2020_06\18.06.2020\66572" TargetMode="External"/><Relationship Id="rId152" Type="http://schemas.openxmlformats.org/officeDocument/2006/relationships/hyperlink" Target="2019_11\08.11.2019\33034" TargetMode="External"/><Relationship Id="rId457" Type="http://schemas.openxmlformats.org/officeDocument/2006/relationships/hyperlink" Target="2019_12\09.12.2019\57718" TargetMode="External"/><Relationship Id="rId1087" Type="http://schemas.openxmlformats.org/officeDocument/2006/relationships/hyperlink" Target="2020_02\03.02.2020\-1831" TargetMode="External"/><Relationship Id="rId1294" Type="http://schemas.openxmlformats.org/officeDocument/2006/relationships/hyperlink" Target="2020_02/21.02.2020/-5211" TargetMode="External"/><Relationship Id="rId2040" Type="http://schemas.openxmlformats.org/officeDocument/2006/relationships/hyperlink" Target="2020_05\26.05.2020\39363" TargetMode="External"/><Relationship Id="rId2138" Type="http://schemas.openxmlformats.org/officeDocument/2006/relationships/hyperlink" Target="2020_06/02.06.2020/41284" TargetMode="External"/><Relationship Id="rId664" Type="http://schemas.openxmlformats.org/officeDocument/2006/relationships/hyperlink" Target="2019_12/25.12.2019/76332" TargetMode="External"/><Relationship Id="rId871" Type="http://schemas.openxmlformats.org/officeDocument/2006/relationships/hyperlink" Target="2020_01\16.01.2020\84914" TargetMode="External"/><Relationship Id="rId969" Type="http://schemas.openxmlformats.org/officeDocument/2006/relationships/hyperlink" Target="2020_01/24.01.2020/89494" TargetMode="External"/><Relationship Id="rId1599" Type="http://schemas.openxmlformats.org/officeDocument/2006/relationships/hyperlink" Target="2020_03\19.03.2020\20363" TargetMode="External"/><Relationship Id="rId2345" Type="http://schemas.openxmlformats.org/officeDocument/2006/relationships/hyperlink" Target="2020_06/16.06.2020/51548" TargetMode="External"/><Relationship Id="rId2552" Type="http://schemas.openxmlformats.org/officeDocument/2006/relationships/hyperlink" Target="2020_06/22.06.2020/67938" TargetMode="External"/><Relationship Id="rId317" Type="http://schemas.openxmlformats.org/officeDocument/2006/relationships/hyperlink" Target="2019_11\19.11.2019\46264" TargetMode="External"/><Relationship Id="rId524" Type="http://schemas.openxmlformats.org/officeDocument/2006/relationships/hyperlink" Target="2019_12\16.12.2019\61612" TargetMode="External"/><Relationship Id="rId731" Type="http://schemas.openxmlformats.org/officeDocument/2006/relationships/hyperlink" Target="2019_12/31.12.2019/71746" TargetMode="External"/><Relationship Id="rId1154" Type="http://schemas.openxmlformats.org/officeDocument/2006/relationships/hyperlink" Target="2020_02\07.02.2020\-4874" TargetMode="External"/><Relationship Id="rId1361" Type="http://schemas.openxmlformats.org/officeDocument/2006/relationships/hyperlink" Target="2020_02\27.02.2020\16797" TargetMode="External"/><Relationship Id="rId1459" Type="http://schemas.openxmlformats.org/officeDocument/2006/relationships/hyperlink" Target="2020_03\06.03.2020\22446" TargetMode="External"/><Relationship Id="rId2205" Type="http://schemas.openxmlformats.org/officeDocument/2006/relationships/hyperlink" Target="2020_06/16.06.2020/52643" TargetMode="External"/><Relationship Id="rId2412" Type="http://schemas.openxmlformats.org/officeDocument/2006/relationships/hyperlink" Target="2020_06/08.06.2020/69183" TargetMode="External"/><Relationship Id="rId98" Type="http://schemas.openxmlformats.org/officeDocument/2006/relationships/hyperlink" Target="../Users/shilyaevan/AppData/Roaming/Microsoft/Excel/2019_10/15.10.2019/21070" TargetMode="External"/><Relationship Id="rId829" Type="http://schemas.openxmlformats.org/officeDocument/2006/relationships/hyperlink" Target="2020_01/15.01.2020/75447" TargetMode="External"/><Relationship Id="rId1014" Type="http://schemas.openxmlformats.org/officeDocument/2006/relationships/hyperlink" Target="2020_01\28.01.2020\90728" TargetMode="External"/><Relationship Id="rId1221" Type="http://schemas.openxmlformats.org/officeDocument/2006/relationships/hyperlink" Target="2020_02\12.02.2020\91451" TargetMode="External"/><Relationship Id="rId1666" Type="http://schemas.openxmlformats.org/officeDocument/2006/relationships/hyperlink" Target="2020_03\25.03.2020\15346" TargetMode="External"/><Relationship Id="rId1873" Type="http://schemas.openxmlformats.org/officeDocument/2006/relationships/hyperlink" Target="2020_05/18.05.2020/32828" TargetMode="External"/><Relationship Id="rId1319" Type="http://schemas.openxmlformats.org/officeDocument/2006/relationships/hyperlink" Target="2020_02/26.02.2020/-8136" TargetMode="External"/><Relationship Id="rId1526" Type="http://schemas.openxmlformats.org/officeDocument/2006/relationships/hyperlink" Target="2020_03/13.03.2020/17305" TargetMode="External"/><Relationship Id="rId1733" Type="http://schemas.openxmlformats.org/officeDocument/2006/relationships/hyperlink" Target="2020_04\06.04.2020\35883" TargetMode="External"/><Relationship Id="rId1940" Type="http://schemas.openxmlformats.org/officeDocument/2006/relationships/hyperlink" Target="2020_05/20.05.2020/44642" TargetMode="External"/><Relationship Id="rId25" Type="http://schemas.openxmlformats.org/officeDocument/2006/relationships/hyperlink" Target="https://smp.sfurf.office/sd/operator/index.jsp;jsessionid=4B56FDB405CD332F2E4AE6AEC0BFEE05" TargetMode="External"/><Relationship Id="rId1800" Type="http://schemas.openxmlformats.org/officeDocument/2006/relationships/hyperlink" Target="2020_05/07.05.2020/27275" TargetMode="External"/><Relationship Id="rId174" Type="http://schemas.openxmlformats.org/officeDocument/2006/relationships/hyperlink" Target="https://smp.sfurf.office/sd/operator/index.jsp;jsessionid=4B56FDB405CD332F2E4AE6AEC0BFEE05" TargetMode="External"/><Relationship Id="rId381" Type="http://schemas.openxmlformats.org/officeDocument/2006/relationships/hyperlink" Target="https://smp.sfurf.office/sd/operator/" TargetMode="External"/><Relationship Id="rId2062" Type="http://schemas.openxmlformats.org/officeDocument/2006/relationships/hyperlink" Target="2020_05/27.05.2020/52244" TargetMode="External"/><Relationship Id="rId241" Type="http://schemas.openxmlformats.org/officeDocument/2006/relationships/hyperlink" Target="https://smp.sfurf.office/sd/operator/" TargetMode="External"/><Relationship Id="rId479" Type="http://schemas.openxmlformats.org/officeDocument/2006/relationships/hyperlink" Target="2019_12\10.12.2019\68276" TargetMode="External"/><Relationship Id="rId686" Type="http://schemas.openxmlformats.org/officeDocument/2006/relationships/hyperlink" Target="2019_12\26.12.2019\69530" TargetMode="External"/><Relationship Id="rId893" Type="http://schemas.openxmlformats.org/officeDocument/2006/relationships/hyperlink" Target="2020_01/17.01.2020/76831" TargetMode="External"/><Relationship Id="rId2367" Type="http://schemas.openxmlformats.org/officeDocument/2006/relationships/hyperlink" Target="2020_06\11.06.2020\72062" TargetMode="External"/><Relationship Id="rId2574" Type="http://schemas.openxmlformats.org/officeDocument/2006/relationships/hyperlink" Target="2020_06/18.06.2020/67062" TargetMode="External"/><Relationship Id="rId339" Type="http://schemas.openxmlformats.org/officeDocument/2006/relationships/hyperlink" Target="https://smp.sfurf.office/sd/operator/" TargetMode="External"/><Relationship Id="rId546" Type="http://schemas.openxmlformats.org/officeDocument/2006/relationships/hyperlink" Target="2019_12\17.12.2019\71147" TargetMode="External"/><Relationship Id="rId753" Type="http://schemas.openxmlformats.org/officeDocument/2006/relationships/hyperlink" Target="2019_12/31.12.2019/80323" TargetMode="External"/><Relationship Id="rId1176" Type="http://schemas.openxmlformats.org/officeDocument/2006/relationships/hyperlink" Target="2020_02\10.02.2020\90388" TargetMode="External"/><Relationship Id="rId1383" Type="http://schemas.openxmlformats.org/officeDocument/2006/relationships/hyperlink" Target="2020_03/02.03.2020/10541" TargetMode="External"/><Relationship Id="rId2227" Type="http://schemas.openxmlformats.org/officeDocument/2006/relationships/hyperlink" Target="2020_06/15.06.2020/49257" TargetMode="External"/><Relationship Id="rId2434" Type="http://schemas.openxmlformats.org/officeDocument/2006/relationships/hyperlink" Target="2020_06/16.06.2020/64574" TargetMode="External"/><Relationship Id="rId101" Type="http://schemas.openxmlformats.org/officeDocument/2006/relationships/hyperlink" Target="../Users/shilyaevan/AppData/Roaming/Microsoft/Excel/2019_10/18.10.2019/30509" TargetMode="External"/><Relationship Id="rId406" Type="http://schemas.openxmlformats.org/officeDocument/2006/relationships/hyperlink" Target="https://smp.sfurf.office/sd/operator/" TargetMode="External"/><Relationship Id="rId960" Type="http://schemas.openxmlformats.org/officeDocument/2006/relationships/hyperlink" Target="2020_01/23.01.2020/80101" TargetMode="External"/><Relationship Id="rId1036" Type="http://schemas.openxmlformats.org/officeDocument/2006/relationships/hyperlink" Target="2020_01\29.01.2020\91537" TargetMode="External"/><Relationship Id="rId1243" Type="http://schemas.openxmlformats.org/officeDocument/2006/relationships/hyperlink" Target="2020_02/18.02.2020/11241" TargetMode="External"/><Relationship Id="rId1590" Type="http://schemas.openxmlformats.org/officeDocument/2006/relationships/hyperlink" Target="2020_03/19.03.2020/19970" TargetMode="External"/><Relationship Id="rId1688" Type="http://schemas.openxmlformats.org/officeDocument/2006/relationships/hyperlink" Target="2020_03\26.03.2020\24867" TargetMode="External"/><Relationship Id="rId1895" Type="http://schemas.openxmlformats.org/officeDocument/2006/relationships/hyperlink" Target="2020_05/19.05.2020/33770" TargetMode="External"/><Relationship Id="rId2641" Type="http://schemas.openxmlformats.org/officeDocument/2006/relationships/hyperlink" Target="2020_06\26.06.2020\71180" TargetMode="External"/><Relationship Id="rId613" Type="http://schemas.openxmlformats.org/officeDocument/2006/relationships/hyperlink" Target="2019_12/24.12.2019/67344" TargetMode="External"/><Relationship Id="rId820" Type="http://schemas.openxmlformats.org/officeDocument/2006/relationships/hyperlink" Target="2020_01/14.01.2020/74420" TargetMode="External"/><Relationship Id="rId918" Type="http://schemas.openxmlformats.org/officeDocument/2006/relationships/hyperlink" Target="2020_01\21.01.2020\87965" TargetMode="External"/><Relationship Id="rId1450" Type="http://schemas.openxmlformats.org/officeDocument/2006/relationships/hyperlink" Target="2020_03/05.03.2020/12478" TargetMode="External"/><Relationship Id="rId1548" Type="http://schemas.openxmlformats.org/officeDocument/2006/relationships/hyperlink" Target="2020_03\16.03.2020\17357" TargetMode="External"/><Relationship Id="rId1755" Type="http://schemas.openxmlformats.org/officeDocument/2006/relationships/hyperlink" Target="2020_04/07.04.2020/27310" TargetMode="External"/><Relationship Id="rId2501" Type="http://schemas.openxmlformats.org/officeDocument/2006/relationships/hyperlink" Target="2020_06\16.06.2020\65630" TargetMode="External"/><Relationship Id="rId1103" Type="http://schemas.openxmlformats.org/officeDocument/2006/relationships/hyperlink" Target="2020_02\04.02.2020\-2650" TargetMode="External"/><Relationship Id="rId1310" Type="http://schemas.openxmlformats.org/officeDocument/2006/relationships/hyperlink" Target="2020_02/25.02.2020/-7175" TargetMode="External"/><Relationship Id="rId1408" Type="http://schemas.openxmlformats.org/officeDocument/2006/relationships/hyperlink" Target="2020_03/02.03.2020/18760" TargetMode="External"/><Relationship Id="rId1962" Type="http://schemas.openxmlformats.org/officeDocument/2006/relationships/hyperlink" Target="2020_05/21.05.2020/46442" TargetMode="External"/><Relationship Id="rId47" Type="http://schemas.openxmlformats.org/officeDocument/2006/relationships/hyperlink" Target="https://smp.sfurf.office/sd/operator/" TargetMode="External"/><Relationship Id="rId1615" Type="http://schemas.openxmlformats.org/officeDocument/2006/relationships/hyperlink" Target="2020_03\20.03.2020\20694" TargetMode="External"/><Relationship Id="rId1822" Type="http://schemas.openxmlformats.org/officeDocument/2006/relationships/hyperlink" Target="2020_05/13.05.2020/25388" TargetMode="External"/><Relationship Id="rId196" Type="http://schemas.openxmlformats.org/officeDocument/2006/relationships/hyperlink" Target="https://smp.sfurf.office/sd/operator/index.jsp;jsessionid=4B56FDB405CD332F2E4AE6AEC0BFEE05" TargetMode="External"/><Relationship Id="rId2084" Type="http://schemas.openxmlformats.org/officeDocument/2006/relationships/hyperlink" Target="2020_06/01.06.2020/58078" TargetMode="External"/><Relationship Id="rId2291" Type="http://schemas.openxmlformats.org/officeDocument/2006/relationships/hyperlink" Target="2020_06/16.06.2020/50751" TargetMode="External"/><Relationship Id="rId263" Type="http://schemas.openxmlformats.org/officeDocument/2006/relationships/hyperlink" Target="2019_11\20.11.2019\46339" TargetMode="External"/><Relationship Id="rId470" Type="http://schemas.openxmlformats.org/officeDocument/2006/relationships/hyperlink" Target="2019_12\09.12.2019\53049" TargetMode="External"/><Relationship Id="rId2151" Type="http://schemas.openxmlformats.org/officeDocument/2006/relationships/hyperlink" Target="2020_06\01.06.2020\63290" TargetMode="External"/><Relationship Id="rId2389" Type="http://schemas.openxmlformats.org/officeDocument/2006/relationships/hyperlink" Target="2020_06/16.06.2020/54952" TargetMode="External"/><Relationship Id="rId2596" Type="http://schemas.openxmlformats.org/officeDocument/2006/relationships/hyperlink" Target="2020_06/23.06.2020/76519" TargetMode="External"/><Relationship Id="rId123" Type="http://schemas.openxmlformats.org/officeDocument/2006/relationships/hyperlink" Target="https://smp.sfurf.office/sd/operator/index.jsp;jsessionid=4B56FDB405CD332F2E4AE6AEC0BFEE05" TargetMode="External"/><Relationship Id="rId330" Type="http://schemas.openxmlformats.org/officeDocument/2006/relationships/hyperlink" Target="2019_11\21.11.2019\56208" TargetMode="External"/><Relationship Id="rId568" Type="http://schemas.openxmlformats.org/officeDocument/2006/relationships/hyperlink" Target="2019_12/18.12.2019/63919" TargetMode="External"/><Relationship Id="rId775" Type="http://schemas.openxmlformats.org/officeDocument/2006/relationships/hyperlink" Target="2020_01/09.01.2020/80106" TargetMode="External"/><Relationship Id="rId982" Type="http://schemas.openxmlformats.org/officeDocument/2006/relationships/hyperlink" Target="2020_01\27.01.2020\82964" TargetMode="External"/><Relationship Id="rId1198" Type="http://schemas.openxmlformats.org/officeDocument/2006/relationships/hyperlink" Target="2020_02\11.02.2020\-7252" TargetMode="External"/><Relationship Id="rId2011" Type="http://schemas.openxmlformats.org/officeDocument/2006/relationships/hyperlink" Target="2020_05/25.05.2020/38505" TargetMode="External"/><Relationship Id="rId2249" Type="http://schemas.openxmlformats.org/officeDocument/2006/relationships/hyperlink" Target="2020_06\03.06.2020\66891" TargetMode="External"/><Relationship Id="rId2456" Type="http://schemas.openxmlformats.org/officeDocument/2006/relationships/hyperlink" Target="2020_06/16.06.2020/72524" TargetMode="External"/><Relationship Id="rId2663" Type="http://schemas.openxmlformats.org/officeDocument/2006/relationships/hyperlink" Target="2020_06/30.06.2020/71788" TargetMode="External"/><Relationship Id="rId428" Type="http://schemas.openxmlformats.org/officeDocument/2006/relationships/hyperlink" Target="2019_12\06.12.2019\65747" TargetMode="External"/><Relationship Id="rId635" Type="http://schemas.openxmlformats.org/officeDocument/2006/relationships/hyperlink" Target="2019_12\24.12.2019\75413" TargetMode="External"/><Relationship Id="rId842" Type="http://schemas.openxmlformats.org/officeDocument/2006/relationships/hyperlink" Target="2020_01\15.01.2020\75071" TargetMode="External"/><Relationship Id="rId1058" Type="http://schemas.openxmlformats.org/officeDocument/2006/relationships/hyperlink" Target="2020_01/31.01.2020/85292" TargetMode="External"/><Relationship Id="rId1265" Type="http://schemas.openxmlformats.org/officeDocument/2006/relationships/hyperlink" Target="2020_02/19.02.2020/12060" TargetMode="External"/><Relationship Id="rId1472" Type="http://schemas.openxmlformats.org/officeDocument/2006/relationships/hyperlink" Target="2020_03\06.03.2020\13153" TargetMode="External"/><Relationship Id="rId2109" Type="http://schemas.openxmlformats.org/officeDocument/2006/relationships/hyperlink" Target="2020_06/01.06.2020/60494" TargetMode="External"/><Relationship Id="rId2316" Type="http://schemas.openxmlformats.org/officeDocument/2006/relationships/hyperlink" Target="2020_06/16.06.2020/54005" TargetMode="External"/><Relationship Id="rId2523" Type="http://schemas.openxmlformats.org/officeDocument/2006/relationships/hyperlink" Target="2020_06/16.06.2020/62628" TargetMode="External"/><Relationship Id="rId702" Type="http://schemas.openxmlformats.org/officeDocument/2006/relationships/hyperlink" Target="2019_12\27.12.2019\78382" TargetMode="External"/><Relationship Id="rId1125" Type="http://schemas.openxmlformats.org/officeDocument/2006/relationships/hyperlink" Target="2020_02\05.02.2020\88560" TargetMode="External"/><Relationship Id="rId1332" Type="http://schemas.openxmlformats.org/officeDocument/2006/relationships/hyperlink" Target="2020_02/26.02.2020/16350" TargetMode="External"/><Relationship Id="rId1777" Type="http://schemas.openxmlformats.org/officeDocument/2006/relationships/hyperlink" Target="2020_04\08.04.2020\27970" TargetMode="External"/><Relationship Id="rId1984" Type="http://schemas.openxmlformats.org/officeDocument/2006/relationships/hyperlink" Target="2020_05/19.05.2020/43321" TargetMode="External"/><Relationship Id="rId69" Type="http://schemas.openxmlformats.org/officeDocument/2006/relationships/hyperlink" Target="https://smp.sfurf.office/sd/operator/" TargetMode="External"/><Relationship Id="rId1637" Type="http://schemas.openxmlformats.org/officeDocument/2006/relationships/hyperlink" Target="2020_03/23.03.2020/21746" TargetMode="External"/><Relationship Id="rId1844" Type="http://schemas.openxmlformats.org/officeDocument/2006/relationships/hyperlink" Target="2020_05/14.05.2020/30736" TargetMode="External"/><Relationship Id="rId1704" Type="http://schemas.openxmlformats.org/officeDocument/2006/relationships/hyperlink" Target="2020_03\27.03.2020\16914" TargetMode="External"/><Relationship Id="rId285" Type="http://schemas.openxmlformats.org/officeDocument/2006/relationships/hyperlink" Target="https://smp.sfurf.office/sd/operator/" TargetMode="External"/><Relationship Id="rId1911" Type="http://schemas.openxmlformats.org/officeDocument/2006/relationships/hyperlink" Target="2020_05\18.05.2020\32819" TargetMode="External"/><Relationship Id="rId492" Type="http://schemas.openxmlformats.org/officeDocument/2006/relationships/hyperlink" Target="2019_12\12.12.2019\69403" TargetMode="External"/><Relationship Id="rId797" Type="http://schemas.openxmlformats.org/officeDocument/2006/relationships/hyperlink" Target="2020_01/10.01.2020/73371" TargetMode="External"/><Relationship Id="rId2173" Type="http://schemas.openxmlformats.org/officeDocument/2006/relationships/hyperlink" Target="2020_06\05.06.2020\43530" TargetMode="External"/><Relationship Id="rId2380" Type="http://schemas.openxmlformats.org/officeDocument/2006/relationships/hyperlink" Target="2020_06\05.06.2020\68777" TargetMode="External"/><Relationship Id="rId2478" Type="http://schemas.openxmlformats.org/officeDocument/2006/relationships/hyperlink" Target="2020_06/16.06.2020/51869" TargetMode="External"/><Relationship Id="rId145" Type="http://schemas.openxmlformats.org/officeDocument/2006/relationships/hyperlink" Target="2019_10\23.10.2019\40003" TargetMode="External"/><Relationship Id="rId352" Type="http://schemas.openxmlformats.org/officeDocument/2006/relationships/hyperlink" Target="https://smp.sfurf.office/sd/operator/" TargetMode="External"/><Relationship Id="rId1287" Type="http://schemas.openxmlformats.org/officeDocument/2006/relationships/hyperlink" Target="2020_02\21.02.2020\-5147" TargetMode="External"/><Relationship Id="rId2033" Type="http://schemas.openxmlformats.org/officeDocument/2006/relationships/hyperlink" Target="2020_05/27.05.2020/39047" TargetMode="External"/><Relationship Id="rId2240" Type="http://schemas.openxmlformats.org/officeDocument/2006/relationships/hyperlink" Target="2020_06/01.06.2020/64655" TargetMode="External"/><Relationship Id="rId212" Type="http://schemas.openxmlformats.org/officeDocument/2006/relationships/hyperlink" Target="2019_11\14.11.2019\43844" TargetMode="External"/><Relationship Id="rId657" Type="http://schemas.openxmlformats.org/officeDocument/2006/relationships/hyperlink" Target="2019_12/25.12.2019/68463" TargetMode="External"/><Relationship Id="rId864" Type="http://schemas.openxmlformats.org/officeDocument/2006/relationships/hyperlink" Target="2020_01\16.01.2020\76195" TargetMode="External"/><Relationship Id="rId1494" Type="http://schemas.openxmlformats.org/officeDocument/2006/relationships/hyperlink" Target="2020_03\10.03.2020\23224" TargetMode="External"/><Relationship Id="rId1799" Type="http://schemas.openxmlformats.org/officeDocument/2006/relationships/hyperlink" Target="2020_04/09.04.2020/28808" TargetMode="External"/><Relationship Id="rId2100" Type="http://schemas.openxmlformats.org/officeDocument/2006/relationships/hyperlink" Target="2020_06\01.06.2020\61581" TargetMode="External"/><Relationship Id="rId2338" Type="http://schemas.openxmlformats.org/officeDocument/2006/relationships/hyperlink" Target="2020_06/16.06.2020/59651" TargetMode="External"/><Relationship Id="rId2545" Type="http://schemas.openxmlformats.org/officeDocument/2006/relationships/hyperlink" Target="2020_06/22.06.2020/75631" TargetMode="External"/><Relationship Id="rId517" Type="http://schemas.openxmlformats.org/officeDocument/2006/relationships/hyperlink" Target="2019_12\16.12.2019\53663" TargetMode="External"/><Relationship Id="rId724" Type="http://schemas.openxmlformats.org/officeDocument/2006/relationships/hyperlink" Target="2019_12\30.12.2019\78674" TargetMode="External"/><Relationship Id="rId931" Type="http://schemas.openxmlformats.org/officeDocument/2006/relationships/hyperlink" Target="2020_01\21.01.2020\87496" TargetMode="External"/><Relationship Id="rId1147" Type="http://schemas.openxmlformats.org/officeDocument/2006/relationships/hyperlink" Target="2020_02\07.02.2020\89626" TargetMode="External"/><Relationship Id="rId1354" Type="http://schemas.openxmlformats.org/officeDocument/2006/relationships/hyperlink" Target="2020_02/27.02.2020/16590" TargetMode="External"/><Relationship Id="rId1561" Type="http://schemas.openxmlformats.org/officeDocument/2006/relationships/hyperlink" Target="2020_03\17.03.2020\10034" TargetMode="External"/><Relationship Id="rId2405" Type="http://schemas.openxmlformats.org/officeDocument/2006/relationships/hyperlink" Target="2020_06/16.06.2020/53938" TargetMode="External"/><Relationship Id="rId2612" Type="http://schemas.openxmlformats.org/officeDocument/2006/relationships/hyperlink" Target="2020_06/25.06.2020/69873" TargetMode="External"/><Relationship Id="rId60" Type="http://schemas.openxmlformats.org/officeDocument/2006/relationships/hyperlink" Target="https://smp.sfurf.office/sd/operator/" TargetMode="External"/><Relationship Id="rId1007" Type="http://schemas.openxmlformats.org/officeDocument/2006/relationships/hyperlink" Target="2020_01\28.01.2020\82925" TargetMode="External"/><Relationship Id="rId1214" Type="http://schemas.openxmlformats.org/officeDocument/2006/relationships/hyperlink" Target="2020_02\12.02.2020\-8552" TargetMode="External"/><Relationship Id="rId1421" Type="http://schemas.openxmlformats.org/officeDocument/2006/relationships/hyperlink" Target="2020_03/04.03.2020/10878" TargetMode="External"/><Relationship Id="rId1659" Type="http://schemas.openxmlformats.org/officeDocument/2006/relationships/hyperlink" Target="2020_03\24.03.2020\22684" TargetMode="External"/><Relationship Id="rId1866" Type="http://schemas.openxmlformats.org/officeDocument/2006/relationships/hyperlink" Target="2020_05\12.05.2020\38770" TargetMode="External"/><Relationship Id="rId1519" Type="http://schemas.openxmlformats.org/officeDocument/2006/relationships/hyperlink" Target="2020_03/12.03.2020/16129" TargetMode="External"/><Relationship Id="rId1726" Type="http://schemas.openxmlformats.org/officeDocument/2006/relationships/hyperlink" Target="2020_04\06.04.2020\26735" TargetMode="External"/><Relationship Id="rId1933" Type="http://schemas.openxmlformats.org/officeDocument/2006/relationships/hyperlink" Target="2020_05/19.05.2020/33637" TargetMode="External"/><Relationship Id="rId18" Type="http://schemas.openxmlformats.org/officeDocument/2006/relationships/hyperlink" Target="https://smp.sfurf.office/sd/operator/index.jsp;jsessionid=4B56FDB405CD332F2E4AE6AEC0BFEE05" TargetMode="External"/><Relationship Id="rId2195" Type="http://schemas.openxmlformats.org/officeDocument/2006/relationships/hyperlink" Target="2020_06\05.06.2020\43197" TargetMode="External"/><Relationship Id="rId167" Type="http://schemas.openxmlformats.org/officeDocument/2006/relationships/hyperlink" Target="..\Users\shilyaevan\AppData\Roaming\Microsoft\Excel\2019_10\07.10.2019\30612" TargetMode="External"/><Relationship Id="rId374" Type="http://schemas.openxmlformats.org/officeDocument/2006/relationships/hyperlink" Target="https://smp.sfurf.office/sd/operator/" TargetMode="External"/><Relationship Id="rId581" Type="http://schemas.openxmlformats.org/officeDocument/2006/relationships/hyperlink" Target="2019_12\19.12.2019\65449" TargetMode="External"/><Relationship Id="rId2055" Type="http://schemas.openxmlformats.org/officeDocument/2006/relationships/hyperlink" Target="2020_05/27.05.2020/50721" TargetMode="External"/><Relationship Id="rId2262" Type="http://schemas.openxmlformats.org/officeDocument/2006/relationships/hyperlink" Target="2020_06/01.06.2020/62336" TargetMode="External"/><Relationship Id="rId234" Type="http://schemas.openxmlformats.org/officeDocument/2006/relationships/hyperlink" Target="https://smp.sfurf.office/sd/operator/" TargetMode="External"/><Relationship Id="rId679" Type="http://schemas.openxmlformats.org/officeDocument/2006/relationships/hyperlink" Target="2019_12/26.12.2019/69441" TargetMode="External"/><Relationship Id="rId886" Type="http://schemas.openxmlformats.org/officeDocument/2006/relationships/hyperlink" Target="2020_01/17.01.2020/78246" TargetMode="External"/><Relationship Id="rId2567" Type="http://schemas.openxmlformats.org/officeDocument/2006/relationships/hyperlink" Target="2020_06/23.06.2020/69190" TargetMode="External"/><Relationship Id="rId2" Type="http://schemas.openxmlformats.org/officeDocument/2006/relationships/hyperlink" Target="https://smp.sfurf.office/sd/operator/index.jsp;jsessionid=4B56FDB405CD332F2E4AE6AEC0BFEE05" TargetMode="External"/><Relationship Id="rId441" Type="http://schemas.openxmlformats.org/officeDocument/2006/relationships/hyperlink" Target="https://smp.sfurf.office/sd/operator/" TargetMode="External"/><Relationship Id="rId539" Type="http://schemas.openxmlformats.org/officeDocument/2006/relationships/hyperlink" Target="2019_12\17.12.2019\62803" TargetMode="External"/><Relationship Id="rId746" Type="http://schemas.openxmlformats.org/officeDocument/2006/relationships/hyperlink" Target="2019_12/31.12.2019/72208" TargetMode="External"/><Relationship Id="rId1071" Type="http://schemas.openxmlformats.org/officeDocument/2006/relationships/hyperlink" Target="2020_02\03.02.2020\86818" TargetMode="External"/><Relationship Id="rId1169" Type="http://schemas.openxmlformats.org/officeDocument/2006/relationships/hyperlink" Target="2020_02\11.02.2020\90745" TargetMode="External"/><Relationship Id="rId1376" Type="http://schemas.openxmlformats.org/officeDocument/2006/relationships/hyperlink" Target="2020_02/28.02.2020/17586" TargetMode="External"/><Relationship Id="rId1583" Type="http://schemas.openxmlformats.org/officeDocument/2006/relationships/hyperlink" Target="2020_03\18.03.2020\19035" TargetMode="External"/><Relationship Id="rId2122" Type="http://schemas.openxmlformats.org/officeDocument/2006/relationships/hyperlink" Target="2020_06\01.06.2020\51313" TargetMode="External"/><Relationship Id="rId2427" Type="http://schemas.openxmlformats.org/officeDocument/2006/relationships/hyperlink" Target="2020_06/16.06.2020/64467" TargetMode="External"/><Relationship Id="rId301" Type="http://schemas.openxmlformats.org/officeDocument/2006/relationships/hyperlink" Target="https://smp.sfurf.office/sd/operator/index.jsp;jsessionid=4B56FDB405CD332F2E4AE6AEC0BFEE05" TargetMode="External"/><Relationship Id="rId953" Type="http://schemas.openxmlformats.org/officeDocument/2006/relationships/hyperlink" Target="2020_01/23.01.2020/81229" TargetMode="External"/><Relationship Id="rId1029" Type="http://schemas.openxmlformats.org/officeDocument/2006/relationships/hyperlink" Target="2020_01\29.01.2020\83400" TargetMode="External"/><Relationship Id="rId1236" Type="http://schemas.openxmlformats.org/officeDocument/2006/relationships/hyperlink" Target="2020_02/18.02.2020/-3120" TargetMode="External"/><Relationship Id="rId1790" Type="http://schemas.openxmlformats.org/officeDocument/2006/relationships/hyperlink" Target="2020_04/09.04.2020/28690" TargetMode="External"/><Relationship Id="rId1888" Type="http://schemas.openxmlformats.org/officeDocument/2006/relationships/hyperlink" Target="2020_05/15.05.2020/41820" TargetMode="External"/><Relationship Id="rId2634" Type="http://schemas.openxmlformats.org/officeDocument/2006/relationships/hyperlink" Target="2020_06/25.06.2020/76974" TargetMode="External"/><Relationship Id="rId82" Type="http://schemas.openxmlformats.org/officeDocument/2006/relationships/hyperlink" Target="..\Users\shilyaevan\AppData\Roaming\Microsoft\Excel\2019_10\16.10.2019\36122" TargetMode="External"/><Relationship Id="rId606" Type="http://schemas.openxmlformats.org/officeDocument/2006/relationships/hyperlink" Target="2019_12/23.12.2019/74824" TargetMode="External"/><Relationship Id="rId813" Type="http://schemas.openxmlformats.org/officeDocument/2006/relationships/hyperlink" Target="2020_01/14.01.2020/83847" TargetMode="External"/><Relationship Id="rId1443" Type="http://schemas.openxmlformats.org/officeDocument/2006/relationships/hyperlink" Target="2020_03/05.03.2020/20749" TargetMode="External"/><Relationship Id="rId1650" Type="http://schemas.openxmlformats.org/officeDocument/2006/relationships/hyperlink" Target="2020_03\24.03.2020\33217" TargetMode="External"/><Relationship Id="rId1748" Type="http://schemas.openxmlformats.org/officeDocument/2006/relationships/hyperlink" Target="2020_04/07.04.2020/36277" TargetMode="External"/><Relationship Id="rId1303" Type="http://schemas.openxmlformats.org/officeDocument/2006/relationships/hyperlink" Target="2020_02/25.02.2020/14417" TargetMode="External"/><Relationship Id="rId1510" Type="http://schemas.openxmlformats.org/officeDocument/2006/relationships/hyperlink" Target="2020_03\12.03.2020\24563" TargetMode="External"/><Relationship Id="rId1955" Type="http://schemas.openxmlformats.org/officeDocument/2006/relationships/hyperlink" Target="2020_05/21.05.2020/26104" TargetMode="External"/><Relationship Id="rId1608" Type="http://schemas.openxmlformats.org/officeDocument/2006/relationships/hyperlink" Target="2020_03/20.03.2020/20954" TargetMode="External"/><Relationship Id="rId1815" Type="http://schemas.openxmlformats.org/officeDocument/2006/relationships/hyperlink" Target="2020_05/13.05.2020/30955" TargetMode="External"/><Relationship Id="rId189" Type="http://schemas.openxmlformats.org/officeDocument/2006/relationships/hyperlink" Target="2019_10\29.10.2019\35390" TargetMode="External"/><Relationship Id="rId396" Type="http://schemas.openxmlformats.org/officeDocument/2006/relationships/hyperlink" Target="https://smp.sfurf.office/sd/operator/" TargetMode="External"/><Relationship Id="rId2077" Type="http://schemas.openxmlformats.org/officeDocument/2006/relationships/hyperlink" Target="2020_05/12.05.2020/49762" TargetMode="External"/><Relationship Id="rId2284" Type="http://schemas.openxmlformats.org/officeDocument/2006/relationships/hyperlink" Target="2020_06/16.06.2020/51354" TargetMode="External"/><Relationship Id="rId2491" Type="http://schemas.openxmlformats.org/officeDocument/2006/relationships/hyperlink" Target="2020_06/16.06.2020/64461" TargetMode="External"/><Relationship Id="rId256" Type="http://schemas.openxmlformats.org/officeDocument/2006/relationships/hyperlink" Target="2019_11\05.11.2019\47129" TargetMode="External"/><Relationship Id="rId463" Type="http://schemas.openxmlformats.org/officeDocument/2006/relationships/hyperlink" Target="2019_12\09.12.2019\67458" TargetMode="External"/><Relationship Id="rId670" Type="http://schemas.openxmlformats.org/officeDocument/2006/relationships/hyperlink" Target="2019_12/26.12.2019/68983" TargetMode="External"/><Relationship Id="rId1093" Type="http://schemas.openxmlformats.org/officeDocument/2006/relationships/hyperlink" Target="2020_02\04.02.2020\87971" TargetMode="External"/><Relationship Id="rId2144" Type="http://schemas.openxmlformats.org/officeDocument/2006/relationships/hyperlink" Target="2020_06/05.06.2020/43132" TargetMode="External"/><Relationship Id="rId2351" Type="http://schemas.openxmlformats.org/officeDocument/2006/relationships/hyperlink" Target="2020_06/16.06.2020/52029" TargetMode="External"/><Relationship Id="rId2589" Type="http://schemas.openxmlformats.org/officeDocument/2006/relationships/hyperlink" Target="2020_06/23.06.2020/64362" TargetMode="External"/><Relationship Id="rId116" Type="http://schemas.openxmlformats.org/officeDocument/2006/relationships/hyperlink" Target="https://smp.sfurf.office/sd/operator/index.jsp;jsessionid=4B56FDB405CD332F2E4AE6AEC0BFEE05" TargetMode="External"/><Relationship Id="rId323" Type="http://schemas.openxmlformats.org/officeDocument/2006/relationships/hyperlink" Target="2019_11\19.11.2019\54236" TargetMode="External"/><Relationship Id="rId530" Type="http://schemas.openxmlformats.org/officeDocument/2006/relationships/hyperlink" Target="2019_12\16.12.2019\70169" TargetMode="External"/><Relationship Id="rId768" Type="http://schemas.openxmlformats.org/officeDocument/2006/relationships/hyperlink" Target="2020_01/09.01.2020/72938" TargetMode="External"/><Relationship Id="rId975" Type="http://schemas.openxmlformats.org/officeDocument/2006/relationships/hyperlink" Target="2020_01\23.01.2020\88969" TargetMode="External"/><Relationship Id="rId1160" Type="http://schemas.openxmlformats.org/officeDocument/2006/relationships/hyperlink" Target="2020_02\10.02.2020\90553" TargetMode="External"/><Relationship Id="rId1398" Type="http://schemas.openxmlformats.org/officeDocument/2006/relationships/hyperlink" Target="2020_03\03.03.2020\10441" TargetMode="External"/><Relationship Id="rId2004" Type="http://schemas.openxmlformats.org/officeDocument/2006/relationships/hyperlink" Target="2020_05\25.05.2020\47241" TargetMode="External"/><Relationship Id="rId2211" Type="http://schemas.openxmlformats.org/officeDocument/2006/relationships/hyperlink" Target="2020_06/15.06.2020/48732" TargetMode="External"/><Relationship Id="rId2449" Type="http://schemas.openxmlformats.org/officeDocument/2006/relationships/hyperlink" Target="2020_06/16.06.2020/64887" TargetMode="External"/><Relationship Id="rId2656" Type="http://schemas.openxmlformats.org/officeDocument/2006/relationships/hyperlink" Target="2020_06\26.06.2020\41725" TargetMode="External"/><Relationship Id="rId628" Type="http://schemas.openxmlformats.org/officeDocument/2006/relationships/hyperlink" Target="2019_12\24.12.2019\75566" TargetMode="External"/><Relationship Id="rId835" Type="http://schemas.openxmlformats.org/officeDocument/2006/relationships/hyperlink" Target="2020_01/15.01.2020/76221" TargetMode="External"/><Relationship Id="rId1258" Type="http://schemas.openxmlformats.org/officeDocument/2006/relationships/hyperlink" Target="2020_02/19.02.2020/-3857" TargetMode="External"/><Relationship Id="rId1465" Type="http://schemas.openxmlformats.org/officeDocument/2006/relationships/hyperlink" Target="2020_03\06.03.2020\13163" TargetMode="External"/><Relationship Id="rId1672" Type="http://schemas.openxmlformats.org/officeDocument/2006/relationships/hyperlink" Target="2020_03\25.03.2020\33592" TargetMode="External"/><Relationship Id="rId2309" Type="http://schemas.openxmlformats.org/officeDocument/2006/relationships/hyperlink" Target="2020_06\01.06.2020\64121" TargetMode="External"/><Relationship Id="rId2516" Type="http://schemas.openxmlformats.org/officeDocument/2006/relationships/hyperlink" Target="2020_06/17.06.2020/73464" TargetMode="External"/><Relationship Id="rId1020" Type="http://schemas.openxmlformats.org/officeDocument/2006/relationships/hyperlink" Target="2020_01\28.01.2020\82978" TargetMode="External"/><Relationship Id="rId1118" Type="http://schemas.openxmlformats.org/officeDocument/2006/relationships/hyperlink" Target="2020_02\05.02.2020\87668" TargetMode="External"/><Relationship Id="rId1325" Type="http://schemas.openxmlformats.org/officeDocument/2006/relationships/hyperlink" Target="2020_02/26.02.2020/16179" TargetMode="External"/><Relationship Id="rId1532" Type="http://schemas.openxmlformats.org/officeDocument/2006/relationships/hyperlink" Target="2020_03/13.03.2020/25747" TargetMode="External"/><Relationship Id="rId1977" Type="http://schemas.openxmlformats.org/officeDocument/2006/relationships/hyperlink" Target="2020_05\22.05.2020\46372" TargetMode="External"/><Relationship Id="rId902" Type="http://schemas.openxmlformats.org/officeDocument/2006/relationships/hyperlink" Target="2020_01\20.01.2020\85897" TargetMode="External"/><Relationship Id="rId1837" Type="http://schemas.openxmlformats.org/officeDocument/2006/relationships/hyperlink" Target="2020_05/12.05.2020/29073" TargetMode="External"/><Relationship Id="rId31" Type="http://schemas.openxmlformats.org/officeDocument/2006/relationships/hyperlink" Target="https://smp.sfurf.office/sd/operator/" TargetMode="External"/><Relationship Id="rId2099" Type="http://schemas.openxmlformats.org/officeDocument/2006/relationships/hyperlink" Target="2020_06/01.06.2020/61592" TargetMode="External"/><Relationship Id="rId180" Type="http://schemas.openxmlformats.org/officeDocument/2006/relationships/hyperlink" Target="2019_11\12.11.2019\42132" TargetMode="External"/><Relationship Id="rId278" Type="http://schemas.openxmlformats.org/officeDocument/2006/relationships/hyperlink" Target="https://smp.sfurf.office/sd/operator/" TargetMode="External"/><Relationship Id="rId1904" Type="http://schemas.openxmlformats.org/officeDocument/2006/relationships/hyperlink" Target="2020_05/18.05.2020/28255" TargetMode="External"/><Relationship Id="rId485" Type="http://schemas.openxmlformats.org/officeDocument/2006/relationships/hyperlink" Target="2019_12/11.12.2019/58906" TargetMode="External"/><Relationship Id="rId692" Type="http://schemas.openxmlformats.org/officeDocument/2006/relationships/hyperlink" Target="2019_12/26.12.2019/77368" TargetMode="External"/><Relationship Id="rId2166" Type="http://schemas.openxmlformats.org/officeDocument/2006/relationships/hyperlink" Target="2020_06/01.06.2020/65041" TargetMode="External"/><Relationship Id="rId2373" Type="http://schemas.openxmlformats.org/officeDocument/2006/relationships/hyperlink" Target="2020_06/04.06.2020/42475" TargetMode="External"/><Relationship Id="rId2580" Type="http://schemas.openxmlformats.org/officeDocument/2006/relationships/hyperlink" Target="2020_06/23.06.2020/59149" TargetMode="External"/><Relationship Id="rId138" Type="http://schemas.openxmlformats.org/officeDocument/2006/relationships/hyperlink" Target="2019_10\22.10.2019\39556" TargetMode="External"/><Relationship Id="rId345" Type="http://schemas.openxmlformats.org/officeDocument/2006/relationships/hyperlink" Target="https://smp.sfurf.office/sd/operator/index.jsp;jsessionid=4B56FDB405CD332F2E4AE6AEC0BFEE05" TargetMode="External"/><Relationship Id="rId552" Type="http://schemas.openxmlformats.org/officeDocument/2006/relationships/hyperlink" Target="2019_12\18.12.2019\72036" TargetMode="External"/><Relationship Id="rId997" Type="http://schemas.openxmlformats.org/officeDocument/2006/relationships/hyperlink" Target="2020_01/27.01.2020/82196" TargetMode="External"/><Relationship Id="rId1182" Type="http://schemas.openxmlformats.org/officeDocument/2006/relationships/hyperlink" Target="2020_02\10.02.2020\90157" TargetMode="External"/><Relationship Id="rId2026" Type="http://schemas.openxmlformats.org/officeDocument/2006/relationships/hyperlink" Target="2020_05/25.05.2020/38895" TargetMode="External"/><Relationship Id="rId2233" Type="http://schemas.openxmlformats.org/officeDocument/2006/relationships/hyperlink" Target="2020_06\01.06.2020\64513" TargetMode="External"/><Relationship Id="rId2440" Type="http://schemas.openxmlformats.org/officeDocument/2006/relationships/hyperlink" Target="2020_06/16.06.2020/64630" TargetMode="External"/><Relationship Id="rId205" Type="http://schemas.openxmlformats.org/officeDocument/2006/relationships/hyperlink" Target="https://smp.sfurf.office/sd/operator/" TargetMode="External"/><Relationship Id="rId412" Type="http://schemas.openxmlformats.org/officeDocument/2006/relationships/hyperlink" Target="https://smp.sfurf.office/sd/operator/index.jsp;jsessionid=4B56FDB405CD332F2E4AE6AEC0BFEE05" TargetMode="External"/><Relationship Id="rId857" Type="http://schemas.openxmlformats.org/officeDocument/2006/relationships/hyperlink" Target="2020_01/16.01.2020/77409" TargetMode="External"/><Relationship Id="rId1042" Type="http://schemas.openxmlformats.org/officeDocument/2006/relationships/hyperlink" Target="2020_01\30.01.2020\0-915" TargetMode="External"/><Relationship Id="rId1487" Type="http://schemas.openxmlformats.org/officeDocument/2006/relationships/hyperlink" Target="2020_03\11.03.2020\24090" TargetMode="External"/><Relationship Id="rId1694" Type="http://schemas.openxmlformats.org/officeDocument/2006/relationships/hyperlink" Target="2020_03\26.03.2020\25684" TargetMode="External"/><Relationship Id="rId2300" Type="http://schemas.openxmlformats.org/officeDocument/2006/relationships/hyperlink" Target="2020_06/08.06.2020/69274" TargetMode="External"/><Relationship Id="rId2538" Type="http://schemas.openxmlformats.org/officeDocument/2006/relationships/hyperlink" Target="2020_06/16.06.2020/62335" TargetMode="External"/><Relationship Id="rId717" Type="http://schemas.openxmlformats.org/officeDocument/2006/relationships/hyperlink" Target="2019_12/30.12.2019/78933" TargetMode="External"/><Relationship Id="rId924" Type="http://schemas.openxmlformats.org/officeDocument/2006/relationships/hyperlink" Target="2020_01\21.01.2020\87146" TargetMode="External"/><Relationship Id="rId1347" Type="http://schemas.openxmlformats.org/officeDocument/2006/relationships/hyperlink" Target="2020_02/27.02.2020/-8999" TargetMode="External"/><Relationship Id="rId1554" Type="http://schemas.openxmlformats.org/officeDocument/2006/relationships/hyperlink" Target="2020_03/17.03.2020/18226" TargetMode="External"/><Relationship Id="rId1761" Type="http://schemas.openxmlformats.org/officeDocument/2006/relationships/hyperlink" Target="2020_04\07.04.2020\36818" TargetMode="External"/><Relationship Id="rId1999" Type="http://schemas.openxmlformats.org/officeDocument/2006/relationships/hyperlink" Target="2020_05\27.05.2020\49548" TargetMode="External"/><Relationship Id="rId2605" Type="http://schemas.openxmlformats.org/officeDocument/2006/relationships/hyperlink" Target="2020_06/25.06.2020/69372" TargetMode="External"/><Relationship Id="rId53" Type="http://schemas.openxmlformats.org/officeDocument/2006/relationships/hyperlink" Target="https://smp.sfurf.office/sd/operator/" TargetMode="External"/><Relationship Id="rId1207" Type="http://schemas.openxmlformats.org/officeDocument/2006/relationships/hyperlink" Target="2020_02/11.02.2020/90554" TargetMode="External"/><Relationship Id="rId1414" Type="http://schemas.openxmlformats.org/officeDocument/2006/relationships/hyperlink" Target="2020_03\03.03.2020\19078" TargetMode="External"/><Relationship Id="rId1621" Type="http://schemas.openxmlformats.org/officeDocument/2006/relationships/hyperlink" Target="2020_03\23.03.2020\21828" TargetMode="External"/><Relationship Id="rId1859" Type="http://schemas.openxmlformats.org/officeDocument/2006/relationships/hyperlink" Target="2020_05/15.05.2020/42399" TargetMode="External"/><Relationship Id="rId1719" Type="http://schemas.openxmlformats.org/officeDocument/2006/relationships/hyperlink" Target="2020_04\06.04.2020\27701" TargetMode="External"/><Relationship Id="rId1926" Type="http://schemas.openxmlformats.org/officeDocument/2006/relationships/hyperlink" Target="2020_05\19.05.2020\34346" TargetMode="External"/><Relationship Id="rId2090" Type="http://schemas.openxmlformats.org/officeDocument/2006/relationships/hyperlink" Target="2020_06/01.06.2020/58117" TargetMode="External"/><Relationship Id="rId2188" Type="http://schemas.openxmlformats.org/officeDocument/2006/relationships/hyperlink" Target="2020_06/05.06.2020/43650" TargetMode="External"/><Relationship Id="rId2395" Type="http://schemas.openxmlformats.org/officeDocument/2006/relationships/hyperlink" Target="2020_06/16.06.2020/52281" TargetMode="External"/><Relationship Id="rId367" Type="http://schemas.openxmlformats.org/officeDocument/2006/relationships/hyperlink" Target="2019_12\04.12.2019\46327" TargetMode="External"/><Relationship Id="rId574" Type="http://schemas.openxmlformats.org/officeDocument/2006/relationships/hyperlink" Target="2019_12\19.12.2019\65196" TargetMode="External"/><Relationship Id="rId2048" Type="http://schemas.openxmlformats.org/officeDocument/2006/relationships/hyperlink" Target="2020_05\27.05.2020\51255" TargetMode="External"/><Relationship Id="rId2255" Type="http://schemas.openxmlformats.org/officeDocument/2006/relationships/hyperlink" Target="2020_06/16.06.2020/51911" TargetMode="External"/><Relationship Id="rId227" Type="http://schemas.openxmlformats.org/officeDocument/2006/relationships/hyperlink" Target="https://smp.sfurf.office/sd/operator/" TargetMode="External"/><Relationship Id="rId781" Type="http://schemas.openxmlformats.org/officeDocument/2006/relationships/hyperlink" Target="2020_01/10.01.2020/73365" TargetMode="External"/><Relationship Id="rId879" Type="http://schemas.openxmlformats.org/officeDocument/2006/relationships/hyperlink" Target="2020_01/17.01.2020/77082" TargetMode="External"/><Relationship Id="rId2462" Type="http://schemas.openxmlformats.org/officeDocument/2006/relationships/hyperlink" Target="2020_06/16.06.2020/54141" TargetMode="External"/><Relationship Id="rId434" Type="http://schemas.openxmlformats.org/officeDocument/2006/relationships/hyperlink" Target="https://smp.sfurf.office/sd/operator/" TargetMode="External"/><Relationship Id="rId641" Type="http://schemas.openxmlformats.org/officeDocument/2006/relationships/hyperlink" Target="2019_12/24.12.2019/76213" TargetMode="External"/><Relationship Id="rId739" Type="http://schemas.openxmlformats.org/officeDocument/2006/relationships/hyperlink" Target="2019_12/31.12.2019/79597" TargetMode="External"/><Relationship Id="rId1064" Type="http://schemas.openxmlformats.org/officeDocument/2006/relationships/hyperlink" Target="2020_01\31.01.2020\68505" TargetMode="External"/><Relationship Id="rId1271" Type="http://schemas.openxmlformats.org/officeDocument/2006/relationships/hyperlink" Target="2020_02/20.02.2020/-4452" TargetMode="External"/><Relationship Id="rId1369" Type="http://schemas.openxmlformats.org/officeDocument/2006/relationships/hyperlink" Target="2020_02/28.02.2020/-9676" TargetMode="External"/><Relationship Id="rId1576" Type="http://schemas.openxmlformats.org/officeDocument/2006/relationships/hyperlink" Target="2020_03\18.03.2020\19684" TargetMode="External"/><Relationship Id="rId2115" Type="http://schemas.openxmlformats.org/officeDocument/2006/relationships/hyperlink" Target="2020_06/01.06.2020/60887" TargetMode="External"/><Relationship Id="rId2322" Type="http://schemas.openxmlformats.org/officeDocument/2006/relationships/hyperlink" Target="2020_06\15.06.2020\48201" TargetMode="External"/><Relationship Id="rId501" Type="http://schemas.openxmlformats.org/officeDocument/2006/relationships/hyperlink" Target="2019_12\12.12.2019\60129" TargetMode="External"/><Relationship Id="rId946" Type="http://schemas.openxmlformats.org/officeDocument/2006/relationships/hyperlink" Target="2020_01/21.01.2020/87964" TargetMode="External"/><Relationship Id="rId1131" Type="http://schemas.openxmlformats.org/officeDocument/2006/relationships/hyperlink" Target="2020_02/05.02.2020/-3524" TargetMode="External"/><Relationship Id="rId1229" Type="http://schemas.openxmlformats.org/officeDocument/2006/relationships/hyperlink" Target="2020_02/12.02.2020/-8763" TargetMode="External"/><Relationship Id="rId1783" Type="http://schemas.openxmlformats.org/officeDocument/2006/relationships/hyperlink" Target="2020_04/08.04.2020/28076" TargetMode="External"/><Relationship Id="rId1990" Type="http://schemas.openxmlformats.org/officeDocument/2006/relationships/hyperlink" Target="2020_05/22.05.2020/47173" TargetMode="External"/><Relationship Id="rId2627" Type="http://schemas.openxmlformats.org/officeDocument/2006/relationships/hyperlink" Target="2020_06/29.06.2020/71896" TargetMode="External"/><Relationship Id="rId75" Type="http://schemas.openxmlformats.org/officeDocument/2006/relationships/hyperlink" Target="https://smp.sfurf.office/sd/operator/index.jsp;jsessionid=4B56FDB405CD332F2E4AE6AEC0BFEE05" TargetMode="External"/><Relationship Id="rId806" Type="http://schemas.openxmlformats.org/officeDocument/2006/relationships/hyperlink" Target="2020_01/13.01.2020/81860" TargetMode="External"/><Relationship Id="rId1436" Type="http://schemas.openxmlformats.org/officeDocument/2006/relationships/hyperlink" Target="2020_03\04.03.2020\21364" TargetMode="External"/><Relationship Id="rId1643" Type="http://schemas.openxmlformats.org/officeDocument/2006/relationships/hyperlink" Target="2020_03\23.03.2020\31252" TargetMode="External"/><Relationship Id="rId1850" Type="http://schemas.openxmlformats.org/officeDocument/2006/relationships/hyperlink" Target="2020_05/15.05.2020/32330" TargetMode="External"/><Relationship Id="rId1503" Type="http://schemas.openxmlformats.org/officeDocument/2006/relationships/hyperlink" Target="2020_03/11.03.2020/23308" TargetMode="External"/><Relationship Id="rId1710" Type="http://schemas.openxmlformats.org/officeDocument/2006/relationships/hyperlink" Target="2020_03\27.03.2020\35013" TargetMode="External"/><Relationship Id="rId1948" Type="http://schemas.openxmlformats.org/officeDocument/2006/relationships/hyperlink" Target="2020_05/20.05.2020/34761" TargetMode="External"/><Relationship Id="rId291" Type="http://schemas.openxmlformats.org/officeDocument/2006/relationships/hyperlink" Target="2019_11\12.11.2019\50123" TargetMode="External"/><Relationship Id="rId1808" Type="http://schemas.openxmlformats.org/officeDocument/2006/relationships/hyperlink" Target="2020_05/12.05.2020/29317" TargetMode="External"/><Relationship Id="rId151" Type="http://schemas.openxmlformats.org/officeDocument/2006/relationships/hyperlink" Target="2019_10\24.10.2019\33031" TargetMode="External"/><Relationship Id="rId389" Type="http://schemas.openxmlformats.org/officeDocument/2006/relationships/hyperlink" Target="https://smp.sfurf.office/sd/operator/" TargetMode="External"/><Relationship Id="rId596" Type="http://schemas.openxmlformats.org/officeDocument/2006/relationships/hyperlink" Target="2019_12\20.12.2019\65688" TargetMode="External"/><Relationship Id="rId2277" Type="http://schemas.openxmlformats.org/officeDocument/2006/relationships/hyperlink" Target="2020_06/16.06.2020/54844" TargetMode="External"/><Relationship Id="rId2484" Type="http://schemas.openxmlformats.org/officeDocument/2006/relationships/hyperlink" Target="2020_06/18.06.2020/66828" TargetMode="External"/><Relationship Id="rId249" Type="http://schemas.openxmlformats.org/officeDocument/2006/relationships/hyperlink" Target="https://smp.sfurf.office/sd/operator/" TargetMode="External"/><Relationship Id="rId456" Type="http://schemas.openxmlformats.org/officeDocument/2006/relationships/hyperlink" Target="2019_12\09.12.2019\52919" TargetMode="External"/><Relationship Id="rId663" Type="http://schemas.openxmlformats.org/officeDocument/2006/relationships/hyperlink" Target="2019_12\25.12.2019\59201" TargetMode="External"/><Relationship Id="rId870" Type="http://schemas.openxmlformats.org/officeDocument/2006/relationships/hyperlink" Target="2020_01\16.01.2020\84904" TargetMode="External"/><Relationship Id="rId1086" Type="http://schemas.openxmlformats.org/officeDocument/2006/relationships/hyperlink" Target="2020_02\03.02.2020\-1702" TargetMode="External"/><Relationship Id="rId1293" Type="http://schemas.openxmlformats.org/officeDocument/2006/relationships/hyperlink" Target="2020_02\21.02.2020\89586" TargetMode="External"/><Relationship Id="rId2137" Type="http://schemas.openxmlformats.org/officeDocument/2006/relationships/hyperlink" Target="2020_06/02.06.2020/40854" TargetMode="External"/><Relationship Id="rId2344" Type="http://schemas.openxmlformats.org/officeDocument/2006/relationships/hyperlink" Target="2020_06/16.06.2020/51607" TargetMode="External"/><Relationship Id="rId2551" Type="http://schemas.openxmlformats.org/officeDocument/2006/relationships/hyperlink" Target="2020_06/19.06.2020/75046" TargetMode="External"/><Relationship Id="rId109" Type="http://schemas.openxmlformats.org/officeDocument/2006/relationships/hyperlink" Target="..\Users\shilyaevan\AppData\Roaming\Microsoft\Excel\2019_10\18.10.2019\30675" TargetMode="External"/><Relationship Id="rId316" Type="http://schemas.openxmlformats.org/officeDocument/2006/relationships/hyperlink" Target="2019_11\18.11.2019\53093" TargetMode="External"/><Relationship Id="rId523" Type="http://schemas.openxmlformats.org/officeDocument/2006/relationships/hyperlink" Target="2019_12\16.12.2019\49620" TargetMode="External"/><Relationship Id="rId968" Type="http://schemas.openxmlformats.org/officeDocument/2006/relationships/hyperlink" Target="2020_01/24.01.2020/80960" TargetMode="External"/><Relationship Id="rId1153" Type="http://schemas.openxmlformats.org/officeDocument/2006/relationships/hyperlink" Target="2020_02\07.02.2020\89041" TargetMode="External"/><Relationship Id="rId1598" Type="http://schemas.openxmlformats.org/officeDocument/2006/relationships/hyperlink" Target="2020_03\19.03.2020\19748" TargetMode="External"/><Relationship Id="rId2204" Type="http://schemas.openxmlformats.org/officeDocument/2006/relationships/hyperlink" Target="2020_06/16.06.2020/52546" TargetMode="External"/><Relationship Id="rId2649" Type="http://schemas.openxmlformats.org/officeDocument/2006/relationships/hyperlink" Target="2020_06/29.06.2020/79790" TargetMode="External"/><Relationship Id="rId97" Type="http://schemas.openxmlformats.org/officeDocument/2006/relationships/hyperlink" Target="../Users/shilyaevan/AppData/Roaming/Microsoft/Excel/2019_10/17.10.2019/23137" TargetMode="External"/><Relationship Id="rId730" Type="http://schemas.openxmlformats.org/officeDocument/2006/relationships/hyperlink" Target="2019_12/31.12.2019/71599" TargetMode="External"/><Relationship Id="rId828" Type="http://schemas.openxmlformats.org/officeDocument/2006/relationships/hyperlink" Target="2019_01/14.01.2019/75457" TargetMode="External"/><Relationship Id="rId1013" Type="http://schemas.openxmlformats.org/officeDocument/2006/relationships/hyperlink" Target="2020_01/28.01.2020/90717" TargetMode="External"/><Relationship Id="rId1360" Type="http://schemas.openxmlformats.org/officeDocument/2006/relationships/hyperlink" Target="2020_02\27.02.2020\-8978" TargetMode="External"/><Relationship Id="rId1458" Type="http://schemas.openxmlformats.org/officeDocument/2006/relationships/hyperlink" Target="2020_03\06.03.2020\21703" TargetMode="External"/><Relationship Id="rId1665" Type="http://schemas.openxmlformats.org/officeDocument/2006/relationships/hyperlink" Target="2020_03\25.03.2020\23511" TargetMode="External"/><Relationship Id="rId1872" Type="http://schemas.openxmlformats.org/officeDocument/2006/relationships/hyperlink" Target="2020_05\18.05.2020\42292" TargetMode="External"/><Relationship Id="rId2411" Type="http://schemas.openxmlformats.org/officeDocument/2006/relationships/hyperlink" Target="2020_06/08.06.2020/69043" TargetMode="External"/><Relationship Id="rId2509" Type="http://schemas.openxmlformats.org/officeDocument/2006/relationships/hyperlink" Target="2020_06/16.06.2020/60895" TargetMode="External"/><Relationship Id="rId1220" Type="http://schemas.openxmlformats.org/officeDocument/2006/relationships/hyperlink" Target="2020_02\11.02.2020\-7482" TargetMode="External"/><Relationship Id="rId1318" Type="http://schemas.openxmlformats.org/officeDocument/2006/relationships/hyperlink" Target="2020_02/26.02.2020/-8053" TargetMode="External"/><Relationship Id="rId1525" Type="http://schemas.openxmlformats.org/officeDocument/2006/relationships/hyperlink" Target="2020_03/13.03.2020/17355" TargetMode="External"/><Relationship Id="rId1732" Type="http://schemas.openxmlformats.org/officeDocument/2006/relationships/hyperlink" Target="2020_04\06.04.2020\35734" TargetMode="External"/><Relationship Id="rId24" Type="http://schemas.openxmlformats.org/officeDocument/2006/relationships/hyperlink" Target="https://smp.sfurf.office/sd/operator/index.jsp;jsessionid=4B56FDB405CD332F2E4AE6AEC0BFEE05" TargetMode="External"/><Relationship Id="rId2299" Type="http://schemas.openxmlformats.org/officeDocument/2006/relationships/hyperlink" Target="2020_06/16.06.2020/57041" TargetMode="External"/><Relationship Id="rId173" Type="http://schemas.openxmlformats.org/officeDocument/2006/relationships/hyperlink" Target="https://smp.sfurf.office/sd/operator/index.jsp;jsessionid=4B56FDB405CD332F2E4AE6AEC0BFEE05" TargetMode="External"/><Relationship Id="rId380" Type="http://schemas.openxmlformats.org/officeDocument/2006/relationships/hyperlink" Target="https://smp.sfurf.office/sd/operator/" TargetMode="External"/><Relationship Id="rId2061" Type="http://schemas.openxmlformats.org/officeDocument/2006/relationships/hyperlink" Target="2020_05/27.05.2020/50790" TargetMode="External"/><Relationship Id="rId240" Type="http://schemas.openxmlformats.org/officeDocument/2006/relationships/hyperlink" Target="https://smp.sfurf.office/sd/operator/" TargetMode="External"/><Relationship Id="rId478" Type="http://schemas.openxmlformats.org/officeDocument/2006/relationships/hyperlink" Target="2019_12\10.12.2019\57880" TargetMode="External"/><Relationship Id="rId685" Type="http://schemas.openxmlformats.org/officeDocument/2006/relationships/hyperlink" Target="2019_12/27.12.2019/61067" TargetMode="External"/><Relationship Id="rId892" Type="http://schemas.openxmlformats.org/officeDocument/2006/relationships/hyperlink" Target="2020_01/17.01.2020/85298" TargetMode="External"/><Relationship Id="rId2159" Type="http://schemas.openxmlformats.org/officeDocument/2006/relationships/hyperlink" Target="2020_06/03.06.2020/41360" TargetMode="External"/><Relationship Id="rId2366" Type="http://schemas.openxmlformats.org/officeDocument/2006/relationships/hyperlink" Target="2020_06/02.06.2020/40741" TargetMode="External"/><Relationship Id="rId2573" Type="http://schemas.openxmlformats.org/officeDocument/2006/relationships/hyperlink" Target="2020_06/18.06.2020/67486" TargetMode="External"/><Relationship Id="rId100" Type="http://schemas.openxmlformats.org/officeDocument/2006/relationships/hyperlink" Target="2019_11\01.11.2019\30332" TargetMode="External"/><Relationship Id="rId338" Type="http://schemas.openxmlformats.org/officeDocument/2006/relationships/hyperlink" Target="https://smp.sfurf.office/sd/operator/" TargetMode="External"/><Relationship Id="rId545" Type="http://schemas.openxmlformats.org/officeDocument/2006/relationships/hyperlink" Target="2019_12\17.12.2019\63885" TargetMode="External"/><Relationship Id="rId752" Type="http://schemas.openxmlformats.org/officeDocument/2006/relationships/hyperlink" Target="2019_12/31.12.2019/72131" TargetMode="External"/><Relationship Id="rId1175" Type="http://schemas.openxmlformats.org/officeDocument/2006/relationships/hyperlink" Target="2020_02\07.02.2020\-5163" TargetMode="External"/><Relationship Id="rId1382" Type="http://schemas.openxmlformats.org/officeDocument/2006/relationships/hyperlink" Target="2020_03/02.03.2020/20-88" TargetMode="External"/><Relationship Id="rId2019" Type="http://schemas.openxmlformats.org/officeDocument/2006/relationships/hyperlink" Target="2020_05/26.05.2020/39302" TargetMode="External"/><Relationship Id="rId2226" Type="http://schemas.openxmlformats.org/officeDocument/2006/relationships/hyperlink" Target="2020_06/15.06.2020/48618" TargetMode="External"/><Relationship Id="rId2433" Type="http://schemas.openxmlformats.org/officeDocument/2006/relationships/hyperlink" Target="2020_06/16.06.2020/56822" TargetMode="External"/><Relationship Id="rId2640" Type="http://schemas.openxmlformats.org/officeDocument/2006/relationships/hyperlink" Target="2020_06/26.06.2020/70793" TargetMode="External"/><Relationship Id="rId405" Type="http://schemas.openxmlformats.org/officeDocument/2006/relationships/hyperlink" Target="https://smp.sfurf.office/sd/operator/" TargetMode="External"/><Relationship Id="rId612" Type="http://schemas.openxmlformats.org/officeDocument/2006/relationships/hyperlink" Target="2019_12/23.12.2019/57811" TargetMode="External"/><Relationship Id="rId1035" Type="http://schemas.openxmlformats.org/officeDocument/2006/relationships/hyperlink" Target="2020_01\29.01.2020\83973" TargetMode="External"/><Relationship Id="rId1242" Type="http://schemas.openxmlformats.org/officeDocument/2006/relationships/hyperlink" Target="2020_02/18.02.2020/-2153" TargetMode="External"/><Relationship Id="rId1687" Type="http://schemas.openxmlformats.org/officeDocument/2006/relationships/hyperlink" Target="2020_03\26.03.2020\24849" TargetMode="External"/><Relationship Id="rId1894" Type="http://schemas.openxmlformats.org/officeDocument/2006/relationships/hyperlink" Target="2020_05/18.05.2020/27789" TargetMode="External"/><Relationship Id="rId2500" Type="http://schemas.openxmlformats.org/officeDocument/2006/relationships/hyperlink" Target="2020_06/16.06.2020/65428" TargetMode="External"/><Relationship Id="rId917" Type="http://schemas.openxmlformats.org/officeDocument/2006/relationships/hyperlink" Target="2020_01\21.01.2020\79861" TargetMode="External"/><Relationship Id="rId1102" Type="http://schemas.openxmlformats.org/officeDocument/2006/relationships/hyperlink" Target="2020_02\04.02.2020\87622" TargetMode="External"/><Relationship Id="rId1547" Type="http://schemas.openxmlformats.org/officeDocument/2006/relationships/hyperlink" Target="2020_03\16.03.2020\17646" TargetMode="External"/><Relationship Id="rId1754" Type="http://schemas.openxmlformats.org/officeDocument/2006/relationships/hyperlink" Target="2020_04/07.04.2020/18717" TargetMode="External"/><Relationship Id="rId1961" Type="http://schemas.openxmlformats.org/officeDocument/2006/relationships/hyperlink" Target="2020_05/21.05.2020/35886" TargetMode="External"/><Relationship Id="rId46" Type="http://schemas.openxmlformats.org/officeDocument/2006/relationships/hyperlink" Target="https://smp.sfurf.office/sd/operator/" TargetMode="External"/><Relationship Id="rId1407" Type="http://schemas.openxmlformats.org/officeDocument/2006/relationships/hyperlink" Target="2020_03/02.03.2020/18075" TargetMode="External"/><Relationship Id="rId1614" Type="http://schemas.openxmlformats.org/officeDocument/2006/relationships/hyperlink" Target="2020_03\20.03.2020\20649" TargetMode="External"/><Relationship Id="rId1821" Type="http://schemas.openxmlformats.org/officeDocument/2006/relationships/hyperlink" Target="2020_05\12.05.2020\28646" TargetMode="External"/><Relationship Id="rId195" Type="http://schemas.openxmlformats.org/officeDocument/2006/relationships/hyperlink" Target="2019_11\13.11.2019\43004" TargetMode="External"/><Relationship Id="rId1919" Type="http://schemas.openxmlformats.org/officeDocument/2006/relationships/hyperlink" Target="2020_05/19.05.2020/33856" TargetMode="External"/><Relationship Id="rId2083" Type="http://schemas.openxmlformats.org/officeDocument/2006/relationships/hyperlink" Target="2020_06\01.06.2020\57148" TargetMode="External"/><Relationship Id="rId2290" Type="http://schemas.openxmlformats.org/officeDocument/2006/relationships/hyperlink" Target="2020_06/16.06.2020/50760" TargetMode="External"/><Relationship Id="rId2388" Type="http://schemas.openxmlformats.org/officeDocument/2006/relationships/hyperlink" Target="2020_06/16.06.2020/54955" TargetMode="External"/><Relationship Id="rId2595" Type="http://schemas.openxmlformats.org/officeDocument/2006/relationships/hyperlink" Target="2020_06/25.06.2020/70454" TargetMode="External"/><Relationship Id="rId262" Type="http://schemas.openxmlformats.org/officeDocument/2006/relationships/hyperlink" Target="2019_11\20.11.2019\46333" TargetMode="External"/><Relationship Id="rId567" Type="http://schemas.openxmlformats.org/officeDocument/2006/relationships/hyperlink" Target="2019_12\19.12.2019\64753" TargetMode="External"/><Relationship Id="rId1197" Type="http://schemas.openxmlformats.org/officeDocument/2006/relationships/hyperlink" Target="2020_02\11.02.2020\-7498" TargetMode="External"/><Relationship Id="rId2150" Type="http://schemas.openxmlformats.org/officeDocument/2006/relationships/hyperlink" Target="2020_06/04.06.2020/42241" TargetMode="External"/><Relationship Id="rId2248" Type="http://schemas.openxmlformats.org/officeDocument/2006/relationships/hyperlink" Target="2020_06/02.06.2020/66437" TargetMode="External"/><Relationship Id="rId122" Type="http://schemas.openxmlformats.org/officeDocument/2006/relationships/hyperlink" Target="https://smp.sfurf.office/sd/operator/index.jsp;jsessionid=4B56FDB405CD332F2E4AE6AEC0BFEE05" TargetMode="External"/><Relationship Id="rId774" Type="http://schemas.openxmlformats.org/officeDocument/2006/relationships/hyperlink" Target="2020_01/09.01.2020/80103" TargetMode="External"/><Relationship Id="rId981" Type="http://schemas.openxmlformats.org/officeDocument/2006/relationships/hyperlink" Target="2020_01\27.01.2020\82946" TargetMode="External"/><Relationship Id="rId1057" Type="http://schemas.openxmlformats.org/officeDocument/2006/relationships/hyperlink" Target="2020_01\31.01.2020\0-926" TargetMode="External"/><Relationship Id="rId2010" Type="http://schemas.openxmlformats.org/officeDocument/2006/relationships/hyperlink" Target="2020_05/25.05.2020/47297" TargetMode="External"/><Relationship Id="rId2455" Type="http://schemas.openxmlformats.org/officeDocument/2006/relationships/hyperlink" Target="2020_06/16.06.2020/65714" TargetMode="External"/><Relationship Id="rId2662" Type="http://schemas.openxmlformats.org/officeDocument/2006/relationships/hyperlink" Target="2020_06/30.06.2020/72295" TargetMode="External"/><Relationship Id="rId427" Type="http://schemas.openxmlformats.org/officeDocument/2006/relationships/hyperlink" Target="2019_12\06.12.2019\65746" TargetMode="External"/><Relationship Id="rId634" Type="http://schemas.openxmlformats.org/officeDocument/2006/relationships/hyperlink" Target="2019_12\24.12.2019\75361" TargetMode="External"/><Relationship Id="rId841" Type="http://schemas.openxmlformats.org/officeDocument/2006/relationships/hyperlink" Target="2020_01\15.01.2020\75054" TargetMode="External"/><Relationship Id="rId1264" Type="http://schemas.openxmlformats.org/officeDocument/2006/relationships/hyperlink" Target="2020_02\19.02.2020\12152" TargetMode="External"/><Relationship Id="rId1471" Type="http://schemas.openxmlformats.org/officeDocument/2006/relationships/hyperlink" Target="2020_03\06.03.2020\12953" TargetMode="External"/><Relationship Id="rId1569" Type="http://schemas.openxmlformats.org/officeDocument/2006/relationships/hyperlink" Target="2020_03/17.03.2020/27724" TargetMode="External"/><Relationship Id="rId2108" Type="http://schemas.openxmlformats.org/officeDocument/2006/relationships/hyperlink" Target="2020_06/01.06.2020/51128" TargetMode="External"/><Relationship Id="rId2315" Type="http://schemas.openxmlformats.org/officeDocument/2006/relationships/hyperlink" Target="2020_06\01.06.2020\60880" TargetMode="External"/><Relationship Id="rId2522" Type="http://schemas.openxmlformats.org/officeDocument/2006/relationships/hyperlink" Target="2020_06\16.06.2020\65328" TargetMode="External"/><Relationship Id="rId701" Type="http://schemas.openxmlformats.org/officeDocument/2006/relationships/hyperlink" Target="2019_12\27.12.2019\70039" TargetMode="External"/><Relationship Id="rId939" Type="http://schemas.openxmlformats.org/officeDocument/2006/relationships/hyperlink" Target="2020_01/21.01.2020/79905" TargetMode="External"/><Relationship Id="rId1124" Type="http://schemas.openxmlformats.org/officeDocument/2006/relationships/hyperlink" Target="2020_02\05.02.2020\-3658" TargetMode="External"/><Relationship Id="rId1331" Type="http://schemas.openxmlformats.org/officeDocument/2006/relationships/hyperlink" Target="2020_02\26.02.2020\-2329" TargetMode="External"/><Relationship Id="rId1776" Type="http://schemas.openxmlformats.org/officeDocument/2006/relationships/hyperlink" Target="2020_04\06.04.2020\26380" TargetMode="External"/><Relationship Id="rId1983" Type="http://schemas.openxmlformats.org/officeDocument/2006/relationships/hyperlink" Target="2020_05/22.05.2020/46992" TargetMode="External"/><Relationship Id="rId68" Type="http://schemas.openxmlformats.org/officeDocument/2006/relationships/hyperlink" Target="https://smp.sfurf.office/sd/operator/" TargetMode="External"/><Relationship Id="rId1429" Type="http://schemas.openxmlformats.org/officeDocument/2006/relationships/hyperlink" Target="2020_03\04.03.2020\20319" TargetMode="External"/><Relationship Id="rId1636" Type="http://schemas.openxmlformats.org/officeDocument/2006/relationships/hyperlink" Target="2020_03\23.03.2020\30984" TargetMode="External"/><Relationship Id="rId1843" Type="http://schemas.openxmlformats.org/officeDocument/2006/relationships/hyperlink" Target="2020_05/14.05.2020/30991" TargetMode="External"/><Relationship Id="rId1703" Type="http://schemas.openxmlformats.org/officeDocument/2006/relationships/hyperlink" Target="2020_03\27.03.2020\25720" TargetMode="External"/><Relationship Id="rId1910" Type="http://schemas.openxmlformats.org/officeDocument/2006/relationships/hyperlink" Target="2020_05/18.05.2020/33039" TargetMode="External"/><Relationship Id="rId284" Type="http://schemas.openxmlformats.org/officeDocument/2006/relationships/hyperlink" Target="https://smp.sfurf.office/sd/operator/" TargetMode="External"/><Relationship Id="rId491" Type="http://schemas.openxmlformats.org/officeDocument/2006/relationships/hyperlink" Target="2019_12\12.12.2019\60341" TargetMode="External"/><Relationship Id="rId2172" Type="http://schemas.openxmlformats.org/officeDocument/2006/relationships/hyperlink" Target="2020_06/04.06.2020/42991" TargetMode="External"/><Relationship Id="rId144" Type="http://schemas.openxmlformats.org/officeDocument/2006/relationships/hyperlink" Target="../Users/shilyaevan/AppData/Roaming/Microsoft/Excel/2019_10/23.10.2019/40009" TargetMode="External"/><Relationship Id="rId589" Type="http://schemas.openxmlformats.org/officeDocument/2006/relationships/hyperlink" Target="2019_12\19.12.2019\73133" TargetMode="External"/><Relationship Id="rId796" Type="http://schemas.openxmlformats.org/officeDocument/2006/relationships/hyperlink" Target="2020_01\10.01.2020\73089" TargetMode="External"/><Relationship Id="rId2477" Type="http://schemas.openxmlformats.org/officeDocument/2006/relationships/hyperlink" Target="2020_06/16.06.2020/51653" TargetMode="External"/><Relationship Id="rId351" Type="http://schemas.openxmlformats.org/officeDocument/2006/relationships/hyperlink" Target="https://smp.sfurf.office/sd/operator/" TargetMode="External"/><Relationship Id="rId449" Type="http://schemas.openxmlformats.org/officeDocument/2006/relationships/hyperlink" Target="https://smp.sfurf.office/sd/operator/" TargetMode="External"/><Relationship Id="rId656" Type="http://schemas.openxmlformats.org/officeDocument/2006/relationships/hyperlink" Target="2019_12/25.12.2019/68043" TargetMode="External"/><Relationship Id="rId863" Type="http://schemas.openxmlformats.org/officeDocument/2006/relationships/hyperlink" Target="2020_01/16.01.2020/84785" TargetMode="External"/><Relationship Id="rId1079" Type="http://schemas.openxmlformats.org/officeDocument/2006/relationships/hyperlink" Target="2020_02/03.02.2020/86774" TargetMode="External"/><Relationship Id="rId1286" Type="http://schemas.openxmlformats.org/officeDocument/2006/relationships/hyperlink" Target="2020_02\21.02.2020\-5100" TargetMode="External"/><Relationship Id="rId1493" Type="http://schemas.openxmlformats.org/officeDocument/2006/relationships/hyperlink" Target="2020_03/10.03.2020/13865" TargetMode="External"/><Relationship Id="rId2032" Type="http://schemas.openxmlformats.org/officeDocument/2006/relationships/hyperlink" Target="2020_05\27.05.2020\39137" TargetMode="External"/><Relationship Id="rId2337" Type="http://schemas.openxmlformats.org/officeDocument/2006/relationships/hyperlink" Target="2020_06/16.06.2020/56709" TargetMode="External"/><Relationship Id="rId2544" Type="http://schemas.openxmlformats.org/officeDocument/2006/relationships/hyperlink" Target="2020_06/22.06.2020/75506" TargetMode="External"/><Relationship Id="rId211" Type="http://schemas.openxmlformats.org/officeDocument/2006/relationships/hyperlink" Target="2019_10\30.10.2019\43825" TargetMode="External"/><Relationship Id="rId309" Type="http://schemas.openxmlformats.org/officeDocument/2006/relationships/hyperlink" Target="https://smp.sfurf.office/sd/operator/index.jsp;jsessionid=4B56FDB405CD332F2E4AE6AEC0BFEE05" TargetMode="External"/><Relationship Id="rId516" Type="http://schemas.openxmlformats.org/officeDocument/2006/relationships/hyperlink" Target="2019_12\16.12.2019\71715" TargetMode="External"/><Relationship Id="rId1146" Type="http://schemas.openxmlformats.org/officeDocument/2006/relationships/hyperlink" Target="2020_02\06.02.2020\88771" TargetMode="External"/><Relationship Id="rId1798" Type="http://schemas.openxmlformats.org/officeDocument/2006/relationships/hyperlink" Target="2020_04/08.04.2020/28210" TargetMode="External"/><Relationship Id="rId723" Type="http://schemas.openxmlformats.org/officeDocument/2006/relationships/hyperlink" Target="2019_12/30.12.2019/78673" TargetMode="External"/><Relationship Id="rId930" Type="http://schemas.openxmlformats.org/officeDocument/2006/relationships/hyperlink" Target="2020_01/22.01.2020/79309" TargetMode="External"/><Relationship Id="rId1006" Type="http://schemas.openxmlformats.org/officeDocument/2006/relationships/hyperlink" Target="2020_01\28.01.2020\82913" TargetMode="External"/><Relationship Id="rId1353" Type="http://schemas.openxmlformats.org/officeDocument/2006/relationships/hyperlink" Target="2020_02\27.02.2020\16823" TargetMode="External"/><Relationship Id="rId1560" Type="http://schemas.openxmlformats.org/officeDocument/2006/relationships/hyperlink" Target="2020_03\17.03.2020\27323" TargetMode="External"/><Relationship Id="rId1658" Type="http://schemas.openxmlformats.org/officeDocument/2006/relationships/hyperlink" Target="2020_03\24.03.2020\23533" TargetMode="External"/><Relationship Id="rId1865" Type="http://schemas.openxmlformats.org/officeDocument/2006/relationships/hyperlink" Target="2020_05/14.05.2020/31215" TargetMode="External"/><Relationship Id="rId2404" Type="http://schemas.openxmlformats.org/officeDocument/2006/relationships/hyperlink" Target="2020_06/16.06.2020/53244" TargetMode="External"/><Relationship Id="rId2611" Type="http://schemas.openxmlformats.org/officeDocument/2006/relationships/hyperlink" Target="2020_06/25.06.2020/70659" TargetMode="External"/><Relationship Id="rId1213" Type="http://schemas.openxmlformats.org/officeDocument/2006/relationships/hyperlink" Target="2020_02/12.02.2020/-8550" TargetMode="External"/><Relationship Id="rId1420" Type="http://schemas.openxmlformats.org/officeDocument/2006/relationships/hyperlink" Target="2020_03\04.03.2020\20136" TargetMode="External"/><Relationship Id="rId1518" Type="http://schemas.openxmlformats.org/officeDocument/2006/relationships/hyperlink" Target="2020_03/12.03.2020/15515" TargetMode="External"/><Relationship Id="rId1725" Type="http://schemas.openxmlformats.org/officeDocument/2006/relationships/hyperlink" Target="2020_04\06.04.2020\26518" TargetMode="External"/><Relationship Id="rId1932" Type="http://schemas.openxmlformats.org/officeDocument/2006/relationships/hyperlink" Target="2020_05/19.05.2020/43624" TargetMode="External"/><Relationship Id="rId17" Type="http://schemas.openxmlformats.org/officeDocument/2006/relationships/hyperlink" Target="https://smp.sfurf.office/sd/operator/index.jsp;jsessionid=4B56FDB405CD332F2E4AE6AEC0BFEE05" TargetMode="External"/><Relationship Id="rId2194" Type="http://schemas.openxmlformats.org/officeDocument/2006/relationships/hyperlink" Target="2020_06/05.06.2020/43508" TargetMode="External"/><Relationship Id="rId166" Type="http://schemas.openxmlformats.org/officeDocument/2006/relationships/hyperlink" Target="2019_11\11.11.2019\41532" TargetMode="External"/><Relationship Id="rId373" Type="http://schemas.openxmlformats.org/officeDocument/2006/relationships/hyperlink" Target="2019_11\25.11.2019\49697" TargetMode="External"/><Relationship Id="rId580" Type="http://schemas.openxmlformats.org/officeDocument/2006/relationships/hyperlink" Target="2019_12\19.12.2019\64836" TargetMode="External"/><Relationship Id="rId2054" Type="http://schemas.openxmlformats.org/officeDocument/2006/relationships/hyperlink" Target="2020_05/27.05.2020/52628" TargetMode="External"/><Relationship Id="rId2261" Type="http://schemas.openxmlformats.org/officeDocument/2006/relationships/hyperlink" Target="2020_06/01.06.2020/65343" TargetMode="External"/><Relationship Id="rId2499" Type="http://schemas.openxmlformats.org/officeDocument/2006/relationships/hyperlink" Target="2020_06/16.06.2020/64455" TargetMode="External"/><Relationship Id="rId1" Type="http://schemas.openxmlformats.org/officeDocument/2006/relationships/hyperlink" Target="https://smp.sfurf.office/sd/operator/index.jsp;jsessionid=4B56FDB405CD332F2E4AE6AEC0BFEE05" TargetMode="External"/><Relationship Id="rId233" Type="http://schemas.openxmlformats.org/officeDocument/2006/relationships/hyperlink" Target="https://smp.sfurf.office/sd/operator/" TargetMode="External"/><Relationship Id="rId440" Type="http://schemas.openxmlformats.org/officeDocument/2006/relationships/hyperlink" Target="https://smp.sfurf.office/sd/operator/" TargetMode="External"/><Relationship Id="rId678" Type="http://schemas.openxmlformats.org/officeDocument/2006/relationships/hyperlink" Target="2019_12\26.12.2019\76835" TargetMode="External"/><Relationship Id="rId885" Type="http://schemas.openxmlformats.org/officeDocument/2006/relationships/hyperlink" Target="2020_01/17.01.2020/78240" TargetMode="External"/><Relationship Id="rId1070" Type="http://schemas.openxmlformats.org/officeDocument/2006/relationships/hyperlink" Target="2020_02\03.02.2020\81991" TargetMode="External"/><Relationship Id="rId2121" Type="http://schemas.openxmlformats.org/officeDocument/2006/relationships/hyperlink" Target="2020_06/01.06.2020/51946" TargetMode="External"/><Relationship Id="rId2359" Type="http://schemas.openxmlformats.org/officeDocument/2006/relationships/hyperlink" Target="2020_06/16.06.2020/60881" TargetMode="External"/><Relationship Id="rId2566" Type="http://schemas.openxmlformats.org/officeDocument/2006/relationships/hyperlink" Target="2020_06/23.06.2020/50256" TargetMode="External"/><Relationship Id="rId300" Type="http://schemas.openxmlformats.org/officeDocument/2006/relationships/hyperlink" Target="https://smp.sfurf.office/sd/operator/index.jsp;jsessionid=4B56FDB405CD332F2E4AE6AEC0BFEE05" TargetMode="External"/><Relationship Id="rId538" Type="http://schemas.openxmlformats.org/officeDocument/2006/relationships/hyperlink" Target="2019_12\17.12.2019\63146" TargetMode="External"/><Relationship Id="rId745" Type="http://schemas.openxmlformats.org/officeDocument/2006/relationships/hyperlink" Target="2019_12/31.12.2019/79307" TargetMode="External"/><Relationship Id="rId952" Type="http://schemas.openxmlformats.org/officeDocument/2006/relationships/hyperlink" Target="2020_01/22.01.2020/87809" TargetMode="External"/><Relationship Id="rId1168" Type="http://schemas.openxmlformats.org/officeDocument/2006/relationships/hyperlink" Target="2020_02\11.02.2020\90696" TargetMode="External"/><Relationship Id="rId1375" Type="http://schemas.openxmlformats.org/officeDocument/2006/relationships/hyperlink" Target="2020_02/28.02.2020/-9839" TargetMode="External"/><Relationship Id="rId1582" Type="http://schemas.openxmlformats.org/officeDocument/2006/relationships/hyperlink" Target="2020_03\18.03.2020\28401" TargetMode="External"/><Relationship Id="rId2219" Type="http://schemas.openxmlformats.org/officeDocument/2006/relationships/hyperlink" Target="2020_06/01.06.2020/63665" TargetMode="External"/><Relationship Id="rId2426" Type="http://schemas.openxmlformats.org/officeDocument/2006/relationships/hyperlink" Target="2020_06/16.06.2020/61590" TargetMode="External"/><Relationship Id="rId2633" Type="http://schemas.openxmlformats.org/officeDocument/2006/relationships/hyperlink" Target="2020_06/25.06.2020/65776" TargetMode="External"/><Relationship Id="rId81" Type="http://schemas.openxmlformats.org/officeDocument/2006/relationships/hyperlink" Target="../Users/shilyaevan/AppData/Roaming/Microsoft/Excel/2019_10/16.10.2019/36139" TargetMode="External"/><Relationship Id="rId605" Type="http://schemas.openxmlformats.org/officeDocument/2006/relationships/hyperlink" Target="2019_12\23.12.2019\66160" TargetMode="External"/><Relationship Id="rId812" Type="http://schemas.openxmlformats.org/officeDocument/2006/relationships/hyperlink" Target="2020_01/14.01.2020/67152" TargetMode="External"/><Relationship Id="rId1028" Type="http://schemas.openxmlformats.org/officeDocument/2006/relationships/hyperlink" Target="2020_01\29.01.2020\83393" TargetMode="External"/><Relationship Id="rId1235" Type="http://schemas.openxmlformats.org/officeDocument/2006/relationships/hyperlink" Target="2020_02/18.02.2020/-3110" TargetMode="External"/><Relationship Id="rId1442" Type="http://schemas.openxmlformats.org/officeDocument/2006/relationships/hyperlink" Target="2020_03/05.03.2020/12646" TargetMode="External"/><Relationship Id="rId1887" Type="http://schemas.openxmlformats.org/officeDocument/2006/relationships/hyperlink" Target="2020_05\15.05.2020\41392" TargetMode="External"/><Relationship Id="rId1302" Type="http://schemas.openxmlformats.org/officeDocument/2006/relationships/hyperlink" Target="2020_02/25.02.2020/-6625" TargetMode="External"/><Relationship Id="rId1747" Type="http://schemas.openxmlformats.org/officeDocument/2006/relationships/hyperlink" Target="2020_04\07.04.2020\36216" TargetMode="External"/><Relationship Id="rId1954" Type="http://schemas.openxmlformats.org/officeDocument/2006/relationships/hyperlink" Target="2020_05/21.05.2020/35390" TargetMode="External"/><Relationship Id="rId39" Type="http://schemas.openxmlformats.org/officeDocument/2006/relationships/hyperlink" Target="https://smp.sfurf.office/sd/operator/" TargetMode="External"/><Relationship Id="rId1607" Type="http://schemas.openxmlformats.org/officeDocument/2006/relationships/hyperlink" Target="2020_03/19.03.2020/19981" TargetMode="External"/><Relationship Id="rId1814" Type="http://schemas.openxmlformats.org/officeDocument/2006/relationships/hyperlink" Target="2020_05/13.05.2020/39174" TargetMode="External"/><Relationship Id="rId188" Type="http://schemas.openxmlformats.org/officeDocument/2006/relationships/hyperlink" Target="2019_10\29.10.2019\35394" TargetMode="External"/><Relationship Id="rId395" Type="http://schemas.openxmlformats.org/officeDocument/2006/relationships/hyperlink" Target="2019_11\28.11.2019\60314" TargetMode="External"/><Relationship Id="rId2076" Type="http://schemas.openxmlformats.org/officeDocument/2006/relationships/hyperlink" Target="2020_06\01.06.2020\59596" TargetMode="External"/><Relationship Id="rId2283" Type="http://schemas.openxmlformats.org/officeDocument/2006/relationships/hyperlink" Target="2020_06/16.06.2020/51374" TargetMode="External"/><Relationship Id="rId2490" Type="http://schemas.openxmlformats.org/officeDocument/2006/relationships/hyperlink" Target="2020_06/16.06.2020/73042" TargetMode="External"/><Relationship Id="rId2588" Type="http://schemas.openxmlformats.org/officeDocument/2006/relationships/hyperlink" Target="2020_06/23.06.2020/64264" TargetMode="External"/><Relationship Id="rId255" Type="http://schemas.openxmlformats.org/officeDocument/2006/relationships/hyperlink" Target="2019_11\05.11.2019\47112" TargetMode="External"/><Relationship Id="rId462" Type="http://schemas.openxmlformats.org/officeDocument/2006/relationships/hyperlink" Target="2019_12\09.12.2019\67302" TargetMode="External"/><Relationship Id="rId1092" Type="http://schemas.openxmlformats.org/officeDocument/2006/relationships/hyperlink" Target="2020_01/31.01.2020/0-724" TargetMode="External"/><Relationship Id="rId1397" Type="http://schemas.openxmlformats.org/officeDocument/2006/relationships/hyperlink" Target="2020_03/03.03.2020/10312" TargetMode="External"/><Relationship Id="rId2143" Type="http://schemas.openxmlformats.org/officeDocument/2006/relationships/hyperlink" Target="2020_06\09.06.2020\45518" TargetMode="External"/><Relationship Id="rId2350" Type="http://schemas.openxmlformats.org/officeDocument/2006/relationships/hyperlink" Target="2020_06/04.06.2020/67226" TargetMode="External"/><Relationship Id="rId115" Type="http://schemas.openxmlformats.org/officeDocument/2006/relationships/hyperlink" Target="https://smp.sfurf.office/sd/operator/index.jsp;jsessionid=4B56FDB405CD332F2E4AE6AEC0BFEE05" TargetMode="External"/><Relationship Id="rId322" Type="http://schemas.openxmlformats.org/officeDocument/2006/relationships/hyperlink" Target="2019_12\03.12.2019\54180" TargetMode="External"/><Relationship Id="rId767" Type="http://schemas.openxmlformats.org/officeDocument/2006/relationships/hyperlink" Target="2020_01/10.01.2020/81093" TargetMode="External"/><Relationship Id="rId974" Type="http://schemas.openxmlformats.org/officeDocument/2006/relationships/hyperlink" Target="2020_01/23.01.2020/76094" TargetMode="External"/><Relationship Id="rId2003" Type="http://schemas.openxmlformats.org/officeDocument/2006/relationships/hyperlink" Target="2020_05/25.05.2020/38108" TargetMode="External"/><Relationship Id="rId2210" Type="http://schemas.openxmlformats.org/officeDocument/2006/relationships/hyperlink" Target="2020_06/11.06.2020/48255" TargetMode="External"/><Relationship Id="rId2448" Type="http://schemas.openxmlformats.org/officeDocument/2006/relationships/hyperlink" Target="2020_06/16.06.2020/65624" TargetMode="External"/><Relationship Id="rId2655" Type="http://schemas.openxmlformats.org/officeDocument/2006/relationships/hyperlink" Target="2020_06\26.06.2020\66832" TargetMode="External"/><Relationship Id="rId627" Type="http://schemas.openxmlformats.org/officeDocument/2006/relationships/hyperlink" Target="2019_12\24.12.2019\75443" TargetMode="External"/><Relationship Id="rId834" Type="http://schemas.openxmlformats.org/officeDocument/2006/relationships/hyperlink" Target="2020_01\15.01.2020\83660" TargetMode="External"/><Relationship Id="rId1257" Type="http://schemas.openxmlformats.org/officeDocument/2006/relationships/hyperlink" Target="2020_02\19.02.2020\-3896" TargetMode="External"/><Relationship Id="rId1464" Type="http://schemas.openxmlformats.org/officeDocument/2006/relationships/hyperlink" Target="2020_03/06.03.2020/22441" TargetMode="External"/><Relationship Id="rId1671" Type="http://schemas.openxmlformats.org/officeDocument/2006/relationships/hyperlink" Target="2020_03/25.03.2020/32667" TargetMode="External"/><Relationship Id="rId2308" Type="http://schemas.openxmlformats.org/officeDocument/2006/relationships/hyperlink" Target="2020_06/02.06.2020/66330" TargetMode="External"/><Relationship Id="rId2515" Type="http://schemas.openxmlformats.org/officeDocument/2006/relationships/hyperlink" Target="2020_06/17.06.2020/66870" TargetMode="External"/><Relationship Id="rId901" Type="http://schemas.openxmlformats.org/officeDocument/2006/relationships/hyperlink" Target="2020_01\20.01.2020\77899" TargetMode="External"/><Relationship Id="rId1117" Type="http://schemas.openxmlformats.org/officeDocument/2006/relationships/hyperlink" Target="2020_02\05.02.2020\87439" TargetMode="External"/><Relationship Id="rId1324" Type="http://schemas.openxmlformats.org/officeDocument/2006/relationships/hyperlink" Target="2020_02/26.02.2020/-7126" TargetMode="External"/><Relationship Id="rId1531" Type="http://schemas.openxmlformats.org/officeDocument/2006/relationships/hyperlink" Target="2020_03/13.03.2020/25497" TargetMode="External"/><Relationship Id="rId1769" Type="http://schemas.openxmlformats.org/officeDocument/2006/relationships/hyperlink" Target="2020_04\08.04.2020\37150" TargetMode="External"/><Relationship Id="rId1976" Type="http://schemas.openxmlformats.org/officeDocument/2006/relationships/hyperlink" Target="2020_05/22.05.2020/46216" TargetMode="External"/><Relationship Id="rId30" Type="http://schemas.openxmlformats.org/officeDocument/2006/relationships/hyperlink" Target="https://smp.sfurf.office/sd/operator/" TargetMode="External"/><Relationship Id="rId1629" Type="http://schemas.openxmlformats.org/officeDocument/2006/relationships/hyperlink" Target="2020_03/23.03.2020/21923" TargetMode="External"/><Relationship Id="rId1836" Type="http://schemas.openxmlformats.org/officeDocument/2006/relationships/hyperlink" Target="2020_05/06.05.2020/36208" TargetMode="External"/><Relationship Id="rId1903" Type="http://schemas.openxmlformats.org/officeDocument/2006/relationships/hyperlink" Target="2020_05/20.05.2020/44244" TargetMode="External"/><Relationship Id="rId2098" Type="http://schemas.openxmlformats.org/officeDocument/2006/relationships/hyperlink" Target="2020_06/01.06.2020/63258" TargetMode="External"/><Relationship Id="rId277" Type="http://schemas.openxmlformats.org/officeDocument/2006/relationships/hyperlink" Target="https://smp.sfurf.office/sd/operator/" TargetMode="External"/><Relationship Id="rId484" Type="http://schemas.openxmlformats.org/officeDocument/2006/relationships/hyperlink" Target="2019_12\11.12.2019\67958" TargetMode="External"/><Relationship Id="rId2165" Type="http://schemas.openxmlformats.org/officeDocument/2006/relationships/hyperlink" Target="2020_06\01.06.2020\64546" TargetMode="External"/><Relationship Id="rId137" Type="http://schemas.openxmlformats.org/officeDocument/2006/relationships/hyperlink" Target="2019_11\06.11.2019\39542" TargetMode="External"/><Relationship Id="rId344" Type="http://schemas.openxmlformats.org/officeDocument/2006/relationships/hyperlink" Target="https://smp.sfurf.office/sd/operator/index.jsp;jsessionid=4B56FDB405CD332F2E4AE6AEC0BFEE05" TargetMode="External"/><Relationship Id="rId691" Type="http://schemas.openxmlformats.org/officeDocument/2006/relationships/hyperlink" Target="2019_12/26.12.2019/77359" TargetMode="External"/><Relationship Id="rId789" Type="http://schemas.openxmlformats.org/officeDocument/2006/relationships/hyperlink" Target="2020_01/10.01.2020/73385" TargetMode="External"/><Relationship Id="rId996" Type="http://schemas.openxmlformats.org/officeDocument/2006/relationships/hyperlink" Target="2020_01/27.01.2020/83178" TargetMode="External"/><Relationship Id="rId2025" Type="http://schemas.openxmlformats.org/officeDocument/2006/relationships/hyperlink" Target="2020_05/26.05.2020/39515" TargetMode="External"/><Relationship Id="rId2372" Type="http://schemas.openxmlformats.org/officeDocument/2006/relationships/hyperlink" Target="2020_06\01.06.2020\56206" TargetMode="External"/><Relationship Id="rId2677" Type="http://schemas.openxmlformats.org/officeDocument/2006/relationships/printerSettings" Target="../printerSettings/printerSettings5.bin"/><Relationship Id="rId551" Type="http://schemas.openxmlformats.org/officeDocument/2006/relationships/hyperlink" Target="2019_12\18.12.2019\71974" TargetMode="External"/><Relationship Id="rId649" Type="http://schemas.openxmlformats.org/officeDocument/2006/relationships/hyperlink" Target="2019_12/25.12.2019/68567" TargetMode="External"/><Relationship Id="rId856" Type="http://schemas.openxmlformats.org/officeDocument/2006/relationships/hyperlink" Target="2020_01/16.01.2020/77345" TargetMode="External"/><Relationship Id="rId1181" Type="http://schemas.openxmlformats.org/officeDocument/2006/relationships/hyperlink" Target="2020_02\10.02.2020\-6833" TargetMode="External"/><Relationship Id="rId1279" Type="http://schemas.openxmlformats.org/officeDocument/2006/relationships/hyperlink" Target="2020_02\20.02.2020\-4119" TargetMode="External"/><Relationship Id="rId1486" Type="http://schemas.openxmlformats.org/officeDocument/2006/relationships/hyperlink" Target="2020_03\11.03.2020\23773" TargetMode="External"/><Relationship Id="rId2232" Type="http://schemas.openxmlformats.org/officeDocument/2006/relationships/hyperlink" Target="2020_06\01.06.2020\64985" TargetMode="External"/><Relationship Id="rId2537" Type="http://schemas.openxmlformats.org/officeDocument/2006/relationships/hyperlink" Target="2020_06\17.06.2020\73882" TargetMode="External"/><Relationship Id="rId204" Type="http://schemas.openxmlformats.org/officeDocument/2006/relationships/hyperlink" Target="https://smp.sfurf.office/sd/operator/" TargetMode="External"/><Relationship Id="rId411" Type="http://schemas.openxmlformats.org/officeDocument/2006/relationships/hyperlink" Target="2019_11/28.11.2019/60365" TargetMode="External"/><Relationship Id="rId509" Type="http://schemas.openxmlformats.org/officeDocument/2006/relationships/hyperlink" Target="2019_12\13.12.2019\61023" TargetMode="External"/><Relationship Id="rId1041" Type="http://schemas.openxmlformats.org/officeDocument/2006/relationships/hyperlink" Target="2020_01\30.01.2020\85429" TargetMode="External"/><Relationship Id="rId1139" Type="http://schemas.openxmlformats.org/officeDocument/2006/relationships/hyperlink" Target="2020_02\06.02.2020\88942" TargetMode="External"/><Relationship Id="rId1346" Type="http://schemas.openxmlformats.org/officeDocument/2006/relationships/hyperlink" Target="2020_02/27.02.2020/-8983" TargetMode="External"/><Relationship Id="rId1693" Type="http://schemas.openxmlformats.org/officeDocument/2006/relationships/hyperlink" Target="2020_03\26.03.2020\24709" TargetMode="External"/><Relationship Id="rId1998" Type="http://schemas.openxmlformats.org/officeDocument/2006/relationships/hyperlink" Target="2020_05/27.05.2020/49388" TargetMode="External"/><Relationship Id="rId716" Type="http://schemas.openxmlformats.org/officeDocument/2006/relationships/hyperlink" Target="2019_12\30.12.2019\71275" TargetMode="External"/><Relationship Id="rId923" Type="http://schemas.openxmlformats.org/officeDocument/2006/relationships/hyperlink" Target="2020_01/21.01.2020/87172" TargetMode="External"/><Relationship Id="rId1553" Type="http://schemas.openxmlformats.org/officeDocument/2006/relationships/hyperlink" Target="2020_03/17.03.2020/18163" TargetMode="External"/><Relationship Id="rId1760" Type="http://schemas.openxmlformats.org/officeDocument/2006/relationships/hyperlink" Target="2020_04/07.04.2020/28262" TargetMode="External"/><Relationship Id="rId1858" Type="http://schemas.openxmlformats.org/officeDocument/2006/relationships/hyperlink" Target="2020_05/19.05.2020/43231" TargetMode="External"/><Relationship Id="rId2604" Type="http://schemas.openxmlformats.org/officeDocument/2006/relationships/hyperlink" Target="2020_06\25.06.2020\77646" TargetMode="External"/><Relationship Id="rId52" Type="http://schemas.openxmlformats.org/officeDocument/2006/relationships/hyperlink" Target="https://smp.sfurf.office/sd/operator/" TargetMode="External"/><Relationship Id="rId1206" Type="http://schemas.openxmlformats.org/officeDocument/2006/relationships/hyperlink" Target="2020_02/10.02.2020/-6835" TargetMode="External"/><Relationship Id="rId1413" Type="http://schemas.openxmlformats.org/officeDocument/2006/relationships/hyperlink" Target="2020_03\03.03.2020\18846" TargetMode="External"/><Relationship Id="rId1620" Type="http://schemas.openxmlformats.org/officeDocument/2006/relationships/hyperlink" Target="2020_03\23.03.2020\22894" TargetMode="External"/><Relationship Id="rId1718" Type="http://schemas.openxmlformats.org/officeDocument/2006/relationships/hyperlink" Target="2020_04\06.04.2020\26926" TargetMode="External"/><Relationship Id="rId1925" Type="http://schemas.openxmlformats.org/officeDocument/2006/relationships/hyperlink" Target="2020_05/22.05.2020/36238" TargetMode="External"/><Relationship Id="rId299" Type="http://schemas.openxmlformats.org/officeDocument/2006/relationships/hyperlink" Target="2019_11/28.11.2019/51569" TargetMode="External"/><Relationship Id="rId2187" Type="http://schemas.openxmlformats.org/officeDocument/2006/relationships/hyperlink" Target="2020_06/08.06.2020/44959" TargetMode="External"/><Relationship Id="rId2394" Type="http://schemas.openxmlformats.org/officeDocument/2006/relationships/hyperlink" Target="2020_06\10.06.2020\71325" TargetMode="External"/><Relationship Id="rId159" Type="http://schemas.openxmlformats.org/officeDocument/2006/relationships/hyperlink" Target="2019_10\25.10.2019\34358" TargetMode="External"/><Relationship Id="rId366" Type="http://schemas.openxmlformats.org/officeDocument/2006/relationships/hyperlink" Target="https://smp.sfurf.office/sd/operator/" TargetMode="External"/><Relationship Id="rId573" Type="http://schemas.openxmlformats.org/officeDocument/2006/relationships/hyperlink" Target="2019_12\19.12.2019\65185" TargetMode="External"/><Relationship Id="rId780" Type="http://schemas.openxmlformats.org/officeDocument/2006/relationships/hyperlink" Target="2020_01/10.01.2020/64467" TargetMode="External"/><Relationship Id="rId2047" Type="http://schemas.openxmlformats.org/officeDocument/2006/relationships/hyperlink" Target="2020_05/27.05.2020/39579" TargetMode="External"/><Relationship Id="rId2254" Type="http://schemas.openxmlformats.org/officeDocument/2006/relationships/hyperlink" Target="2020_06/16.06.2020/60878" TargetMode="External"/><Relationship Id="rId2461" Type="http://schemas.openxmlformats.org/officeDocument/2006/relationships/hyperlink" Target="2020_06\15.06.2020\72222" TargetMode="External"/><Relationship Id="rId226" Type="http://schemas.openxmlformats.org/officeDocument/2006/relationships/hyperlink" Target="https://smp.sfurf.office/sd/operator/index.jsp;jsessionid=4B56FDB405CD332F2E4AE6AEC0BFEE05" TargetMode="External"/><Relationship Id="rId433" Type="http://schemas.openxmlformats.org/officeDocument/2006/relationships/hyperlink" Target="https://smp.sfurf.office/sd/operator/" TargetMode="External"/><Relationship Id="rId878" Type="http://schemas.openxmlformats.org/officeDocument/2006/relationships/hyperlink" Target="2020_01\17.01.2020\77075" TargetMode="External"/><Relationship Id="rId1063" Type="http://schemas.openxmlformats.org/officeDocument/2006/relationships/hyperlink" Target="2020_01\31.01.2020\0-719" TargetMode="External"/><Relationship Id="rId1270" Type="http://schemas.openxmlformats.org/officeDocument/2006/relationships/hyperlink" Target="2020_02/20.02.2020/-4451" TargetMode="External"/><Relationship Id="rId2114" Type="http://schemas.openxmlformats.org/officeDocument/2006/relationships/hyperlink" Target="2020_05\29.05.2020\38146" TargetMode="External"/><Relationship Id="rId2559" Type="http://schemas.openxmlformats.org/officeDocument/2006/relationships/hyperlink" Target="2020_06/22.06.2020/68722" TargetMode="External"/><Relationship Id="rId640" Type="http://schemas.openxmlformats.org/officeDocument/2006/relationships/hyperlink" Target="2019_12/24.12.2019/75138" TargetMode="External"/><Relationship Id="rId738" Type="http://schemas.openxmlformats.org/officeDocument/2006/relationships/hyperlink" Target="2019_12\30.12.2019\70184" TargetMode="External"/><Relationship Id="rId945" Type="http://schemas.openxmlformats.org/officeDocument/2006/relationships/hyperlink" Target="2020_01/22.01.2020/87825" TargetMode="External"/><Relationship Id="rId1368" Type="http://schemas.openxmlformats.org/officeDocument/2006/relationships/hyperlink" Target="2020_02/28.02.2020/-9644" TargetMode="External"/><Relationship Id="rId1575" Type="http://schemas.openxmlformats.org/officeDocument/2006/relationships/hyperlink" Target="2020_03\18.03.2020\19166" TargetMode="External"/><Relationship Id="rId1782" Type="http://schemas.openxmlformats.org/officeDocument/2006/relationships/hyperlink" Target="2020_04\06.04.2020\26398" TargetMode="External"/><Relationship Id="rId2321" Type="http://schemas.openxmlformats.org/officeDocument/2006/relationships/hyperlink" Target="2020_06/16.06.2020/56556" TargetMode="External"/><Relationship Id="rId2419" Type="http://schemas.openxmlformats.org/officeDocument/2006/relationships/hyperlink" Target="2020_06/16.06.2020/51376" TargetMode="External"/><Relationship Id="rId2626" Type="http://schemas.openxmlformats.org/officeDocument/2006/relationships/hyperlink" Target="2020_06/25.06.2020/76812" TargetMode="External"/><Relationship Id="rId74" Type="http://schemas.openxmlformats.org/officeDocument/2006/relationships/hyperlink" Target="https://smp.sfurf.office/sd/operator/index.jsp;jsessionid=4B56FDB405CD332F2E4AE6AEC0BFEE05" TargetMode="External"/><Relationship Id="rId500" Type="http://schemas.openxmlformats.org/officeDocument/2006/relationships/hyperlink" Target="2019_12\12.12.2019\59980" TargetMode="External"/><Relationship Id="rId805" Type="http://schemas.openxmlformats.org/officeDocument/2006/relationships/hyperlink" Target="2020_01/13.01.2020/74319" TargetMode="External"/><Relationship Id="rId1130" Type="http://schemas.openxmlformats.org/officeDocument/2006/relationships/hyperlink" Target="2020_02\05.02.2020\-3518" TargetMode="External"/><Relationship Id="rId1228" Type="http://schemas.openxmlformats.org/officeDocument/2006/relationships/hyperlink" Target="2020_02/11.02.2020/90958" TargetMode="External"/><Relationship Id="rId1435" Type="http://schemas.openxmlformats.org/officeDocument/2006/relationships/hyperlink" Target="2020_03/04.03.2020/11642" TargetMode="External"/><Relationship Id="rId1642" Type="http://schemas.openxmlformats.org/officeDocument/2006/relationships/hyperlink" Target="2020_03\23.03.2020\30815" TargetMode="External"/><Relationship Id="rId1947" Type="http://schemas.openxmlformats.org/officeDocument/2006/relationships/hyperlink" Target="2020_05/20.05.2020/35950" TargetMode="External"/><Relationship Id="rId1502" Type="http://schemas.openxmlformats.org/officeDocument/2006/relationships/hyperlink" Target="2020_03\11.03.2020\14955" TargetMode="External"/><Relationship Id="rId1807" Type="http://schemas.openxmlformats.org/officeDocument/2006/relationships/hyperlink" Target="2020_05\12.05.2020\29121" TargetMode="External"/><Relationship Id="rId290" Type="http://schemas.openxmlformats.org/officeDocument/2006/relationships/hyperlink" Target="2019_11\26.11.2019\50122" TargetMode="External"/><Relationship Id="rId388" Type="http://schemas.openxmlformats.org/officeDocument/2006/relationships/hyperlink" Target="https://smp.sfurf.office/sd/operator/" TargetMode="External"/><Relationship Id="rId2069" Type="http://schemas.openxmlformats.org/officeDocument/2006/relationships/hyperlink" Target="2020_06\01.06.2020\59561" TargetMode="External"/><Relationship Id="rId150" Type="http://schemas.openxmlformats.org/officeDocument/2006/relationships/hyperlink" Target="2019_11\08.11.2019\33028" TargetMode="External"/><Relationship Id="rId595" Type="http://schemas.openxmlformats.org/officeDocument/2006/relationships/hyperlink" Target="2019_12\20.12.2019\74795" TargetMode="External"/><Relationship Id="rId2276" Type="http://schemas.openxmlformats.org/officeDocument/2006/relationships/hyperlink" Target="2020_06/16.06.2020/59599" TargetMode="External"/><Relationship Id="rId2483" Type="http://schemas.openxmlformats.org/officeDocument/2006/relationships/hyperlink" Target="2020_06\18.06.2020\45813" TargetMode="External"/><Relationship Id="rId248" Type="http://schemas.openxmlformats.org/officeDocument/2006/relationships/hyperlink" Target="https://smp.sfurf.office/sd/operator/" TargetMode="External"/><Relationship Id="rId455" Type="http://schemas.openxmlformats.org/officeDocument/2006/relationships/hyperlink" Target="2019_12\09.12.2019\49635" TargetMode="External"/><Relationship Id="rId662" Type="http://schemas.openxmlformats.org/officeDocument/2006/relationships/hyperlink" Target="2019_12/25.12.2019/76326" TargetMode="External"/><Relationship Id="rId1085" Type="http://schemas.openxmlformats.org/officeDocument/2006/relationships/hyperlink" Target="2020_02\03.02.2020\-1692" TargetMode="External"/><Relationship Id="rId1292" Type="http://schemas.openxmlformats.org/officeDocument/2006/relationships/hyperlink" Target="2020_02/21.02.2020/14541" TargetMode="External"/><Relationship Id="rId2136" Type="http://schemas.openxmlformats.org/officeDocument/2006/relationships/hyperlink" Target="2020_06/02.06.2020/40373" TargetMode="External"/><Relationship Id="rId2343" Type="http://schemas.openxmlformats.org/officeDocument/2006/relationships/hyperlink" Target="2020_06/16.06.2020/60719" TargetMode="External"/><Relationship Id="rId2550" Type="http://schemas.openxmlformats.org/officeDocument/2006/relationships/hyperlink" Target="2020_06/16.06.2020/62333" TargetMode="External"/><Relationship Id="rId108" Type="http://schemas.openxmlformats.org/officeDocument/2006/relationships/hyperlink" Target="https://smp.sfurf.office/sd/operator/" TargetMode="External"/><Relationship Id="rId315" Type="http://schemas.openxmlformats.org/officeDocument/2006/relationships/hyperlink" Target="2019_11\18.11.2019\52841" TargetMode="External"/><Relationship Id="rId522" Type="http://schemas.openxmlformats.org/officeDocument/2006/relationships/hyperlink" Target="2019_12\16.12.2019\61717" TargetMode="External"/><Relationship Id="rId967" Type="http://schemas.openxmlformats.org/officeDocument/2006/relationships/hyperlink" Target="2020_01/24.01.2020/81541" TargetMode="External"/><Relationship Id="rId1152" Type="http://schemas.openxmlformats.org/officeDocument/2006/relationships/hyperlink" Target="2020_02\07.02.2020\89023" TargetMode="External"/><Relationship Id="rId1597" Type="http://schemas.openxmlformats.org/officeDocument/2006/relationships/hyperlink" Target="2020_03\19.03.2020\29017" TargetMode="External"/><Relationship Id="rId2203" Type="http://schemas.openxmlformats.org/officeDocument/2006/relationships/hyperlink" Target="2020_06/16.06.2020/49400" TargetMode="External"/><Relationship Id="rId2410" Type="http://schemas.openxmlformats.org/officeDocument/2006/relationships/hyperlink" Target="2020_06/08.06.2020/68965" TargetMode="External"/><Relationship Id="rId2648" Type="http://schemas.openxmlformats.org/officeDocument/2006/relationships/hyperlink" Target="2020_06/29.06.2020/71988" TargetMode="External"/><Relationship Id="rId96" Type="http://schemas.openxmlformats.org/officeDocument/2006/relationships/hyperlink" Target="2019_10\31.10.2019\29976" TargetMode="External"/><Relationship Id="rId827" Type="http://schemas.openxmlformats.org/officeDocument/2006/relationships/hyperlink" Target="2020_01\14.01.2020\82980" TargetMode="External"/><Relationship Id="rId1012" Type="http://schemas.openxmlformats.org/officeDocument/2006/relationships/hyperlink" Target="2020_01\28.01.2020\90708" TargetMode="External"/><Relationship Id="rId1457" Type="http://schemas.openxmlformats.org/officeDocument/2006/relationships/hyperlink" Target="2020_03\06.03.2020\13220" TargetMode="External"/><Relationship Id="rId1664" Type="http://schemas.openxmlformats.org/officeDocument/2006/relationships/hyperlink" Target="2020_03\25.03.2020\23458" TargetMode="External"/><Relationship Id="rId1871" Type="http://schemas.openxmlformats.org/officeDocument/2006/relationships/hyperlink" Target="2020_05/15.05.2020/33208" TargetMode="External"/><Relationship Id="rId2508" Type="http://schemas.openxmlformats.org/officeDocument/2006/relationships/hyperlink" Target="2020_06\16.06.2020\64321" TargetMode="External"/><Relationship Id="rId1317" Type="http://schemas.openxmlformats.org/officeDocument/2006/relationships/hyperlink" Target="2020_02/26.02.2020/-7989" TargetMode="External"/><Relationship Id="rId1524" Type="http://schemas.openxmlformats.org/officeDocument/2006/relationships/hyperlink" Target="2020_03/13.03.2020/16542" TargetMode="External"/><Relationship Id="rId1731" Type="http://schemas.openxmlformats.org/officeDocument/2006/relationships/hyperlink" Target="2020_04\06.04.2020\26767" TargetMode="External"/><Relationship Id="rId1969" Type="http://schemas.openxmlformats.org/officeDocument/2006/relationships/hyperlink" Target="2020_05/22.05.2020/37410" TargetMode="External"/><Relationship Id="rId23" Type="http://schemas.openxmlformats.org/officeDocument/2006/relationships/hyperlink" Target="https://smp.sfurf.office/sd/operator/index.jsp;jsessionid=4B56FDB405CD332F2E4AE6AEC0BFEE05" TargetMode="External"/><Relationship Id="rId1829" Type="http://schemas.openxmlformats.org/officeDocument/2006/relationships/hyperlink" Target="2020_05\13.05.2020\29951" TargetMode="External"/><Relationship Id="rId2298" Type="http://schemas.openxmlformats.org/officeDocument/2006/relationships/hyperlink" Target="2020_06/09.06.2020/36681" TargetMode="External"/><Relationship Id="rId172" Type="http://schemas.openxmlformats.org/officeDocument/2006/relationships/hyperlink" Target="2019_10\25.10.2019\34548" TargetMode="External"/><Relationship Id="rId477" Type="http://schemas.openxmlformats.org/officeDocument/2006/relationships/hyperlink" Target="2019_12\10.12.2019\54166" TargetMode="External"/><Relationship Id="rId684" Type="http://schemas.openxmlformats.org/officeDocument/2006/relationships/hyperlink" Target="2019_12/26.12.2019/78242" TargetMode="External"/><Relationship Id="rId2060" Type="http://schemas.openxmlformats.org/officeDocument/2006/relationships/hyperlink" Target="2020_05/27.05.2020/39155" TargetMode="External"/><Relationship Id="rId2158" Type="http://schemas.openxmlformats.org/officeDocument/2006/relationships/hyperlink" Target="2020_06\03.06.2020\41414" TargetMode="External"/><Relationship Id="rId2365" Type="http://schemas.openxmlformats.org/officeDocument/2006/relationships/hyperlink" Target="2020_06/16.06.2020/60890" TargetMode="External"/><Relationship Id="rId337" Type="http://schemas.openxmlformats.org/officeDocument/2006/relationships/hyperlink" Target="2019_11\22.11.2019\56299" TargetMode="External"/><Relationship Id="rId891" Type="http://schemas.openxmlformats.org/officeDocument/2006/relationships/hyperlink" Target="2020_01/17.01.2020/85296" TargetMode="External"/><Relationship Id="rId989" Type="http://schemas.openxmlformats.org/officeDocument/2006/relationships/hyperlink" Target="2020_01\27.01.2020\81864" TargetMode="External"/><Relationship Id="rId2018" Type="http://schemas.openxmlformats.org/officeDocument/2006/relationships/hyperlink" Target="2020_05/26.05.2020/39925" TargetMode="External"/><Relationship Id="rId2572" Type="http://schemas.openxmlformats.org/officeDocument/2006/relationships/hyperlink" Target="2020_06/19.06.2020/68144" TargetMode="External"/><Relationship Id="rId544" Type="http://schemas.openxmlformats.org/officeDocument/2006/relationships/hyperlink" Target="2019_12\17.12.2019\63880" TargetMode="External"/><Relationship Id="rId751" Type="http://schemas.openxmlformats.org/officeDocument/2006/relationships/hyperlink" Target="2019_12/31.12.2019/79787" TargetMode="External"/><Relationship Id="rId849" Type="http://schemas.openxmlformats.org/officeDocument/2006/relationships/hyperlink" Target="2020_01/15.01.2020/75500" TargetMode="External"/><Relationship Id="rId1174" Type="http://schemas.openxmlformats.org/officeDocument/2006/relationships/hyperlink" Target="2020_02\11.02.2020\-7125" TargetMode="External"/><Relationship Id="rId1381" Type="http://schemas.openxmlformats.org/officeDocument/2006/relationships/hyperlink" Target="2020_02/28.02.2020/17886" TargetMode="External"/><Relationship Id="rId1479" Type="http://schemas.openxmlformats.org/officeDocument/2006/relationships/hyperlink" Target="2020_03\10.03.2020\14560" TargetMode="External"/><Relationship Id="rId1686" Type="http://schemas.openxmlformats.org/officeDocument/2006/relationships/hyperlink" Target="2020_03\26.03.2020\24746" TargetMode="External"/><Relationship Id="rId2225" Type="http://schemas.openxmlformats.org/officeDocument/2006/relationships/hyperlink" Target="2020_06/16.06.2020/50414" TargetMode="External"/><Relationship Id="rId2432" Type="http://schemas.openxmlformats.org/officeDocument/2006/relationships/hyperlink" Target="2020_06\16.06.2020\51776" TargetMode="External"/><Relationship Id="rId404" Type="http://schemas.openxmlformats.org/officeDocument/2006/relationships/hyperlink" Target="https://smp.sfurf.office/sd/operator/" TargetMode="External"/><Relationship Id="rId611" Type="http://schemas.openxmlformats.org/officeDocument/2006/relationships/hyperlink" Target="2019_12/23.12.2019/66986" TargetMode="External"/><Relationship Id="rId1034" Type="http://schemas.openxmlformats.org/officeDocument/2006/relationships/hyperlink" Target="2020_01\29.01.2020\83972" TargetMode="External"/><Relationship Id="rId1241" Type="http://schemas.openxmlformats.org/officeDocument/2006/relationships/hyperlink" Target="2020_02\18.02.2020\-2086" TargetMode="External"/><Relationship Id="rId1339" Type="http://schemas.openxmlformats.org/officeDocument/2006/relationships/hyperlink" Target="2020_02\26.02.2020\15949" TargetMode="External"/><Relationship Id="rId1893" Type="http://schemas.openxmlformats.org/officeDocument/2006/relationships/hyperlink" Target="2020_05/18.05.2020/32915" TargetMode="External"/><Relationship Id="rId709" Type="http://schemas.openxmlformats.org/officeDocument/2006/relationships/hyperlink" Target="2019_12/30.12.2019/79057" TargetMode="External"/><Relationship Id="rId916" Type="http://schemas.openxmlformats.org/officeDocument/2006/relationships/hyperlink" Target="2020_01/21.01.2020/79859" TargetMode="External"/><Relationship Id="rId1101" Type="http://schemas.openxmlformats.org/officeDocument/2006/relationships/hyperlink" Target="2020_02\04.02.2020\87152" TargetMode="External"/><Relationship Id="rId1546" Type="http://schemas.openxmlformats.org/officeDocument/2006/relationships/hyperlink" Target="2020_03\16.03.2020\17196" TargetMode="External"/><Relationship Id="rId1753" Type="http://schemas.openxmlformats.org/officeDocument/2006/relationships/hyperlink" Target="2020_04/07.04.2020/37393" TargetMode="External"/><Relationship Id="rId1960" Type="http://schemas.openxmlformats.org/officeDocument/2006/relationships/hyperlink" Target="2020_05/21.05.2020/36409" TargetMode="External"/><Relationship Id="rId45" Type="http://schemas.openxmlformats.org/officeDocument/2006/relationships/hyperlink" Target="https://smp.sfurf.office/sd/operator/" TargetMode="External"/><Relationship Id="rId1406" Type="http://schemas.openxmlformats.org/officeDocument/2006/relationships/hyperlink" Target="2020_03\02.03.2020\10031" TargetMode="External"/><Relationship Id="rId1613" Type="http://schemas.openxmlformats.org/officeDocument/2006/relationships/hyperlink" Target="2020_03\20.03.2020\30049" TargetMode="External"/><Relationship Id="rId1820" Type="http://schemas.openxmlformats.org/officeDocument/2006/relationships/hyperlink" Target="2020_05/13.05.2020/29586" TargetMode="External"/><Relationship Id="rId194" Type="http://schemas.openxmlformats.org/officeDocument/2006/relationships/hyperlink" Target="2019_11\13.11.2019\42993" TargetMode="External"/><Relationship Id="rId1918" Type="http://schemas.openxmlformats.org/officeDocument/2006/relationships/hyperlink" Target="2020_05/19.05.2020/34169" TargetMode="External"/><Relationship Id="rId2082" Type="http://schemas.openxmlformats.org/officeDocument/2006/relationships/hyperlink" Target="2020_05\19.05.2020\41968" TargetMode="External"/><Relationship Id="rId261" Type="http://schemas.openxmlformats.org/officeDocument/2006/relationships/hyperlink" Target="2019_11\20.11.2019\46330" TargetMode="External"/><Relationship Id="rId499" Type="http://schemas.openxmlformats.org/officeDocument/2006/relationships/hyperlink" Target="2019_12/12.12.2019/55244" TargetMode="External"/><Relationship Id="rId2387" Type="http://schemas.openxmlformats.org/officeDocument/2006/relationships/hyperlink" Target="2020_06/16.06.2020/56549" TargetMode="External"/><Relationship Id="rId2594" Type="http://schemas.openxmlformats.org/officeDocument/2006/relationships/hyperlink" Target="2020_06/25.06.2020/69950" TargetMode="External"/><Relationship Id="rId359" Type="http://schemas.openxmlformats.org/officeDocument/2006/relationships/hyperlink" Target="2019_11\22.11.2019\48957" TargetMode="External"/><Relationship Id="rId566" Type="http://schemas.openxmlformats.org/officeDocument/2006/relationships/hyperlink" Target="2019_12\19.12.2019\72890" TargetMode="External"/><Relationship Id="rId773" Type="http://schemas.openxmlformats.org/officeDocument/2006/relationships/hyperlink" Target="2020_01/09.01.2020/73198" TargetMode="External"/><Relationship Id="rId1196" Type="http://schemas.openxmlformats.org/officeDocument/2006/relationships/hyperlink" Target="2020_02/11.02.2020/91417" TargetMode="External"/><Relationship Id="rId2247" Type="http://schemas.openxmlformats.org/officeDocument/2006/relationships/hyperlink" Target="2020_06\02.06.2020\35483" TargetMode="External"/><Relationship Id="rId2454" Type="http://schemas.openxmlformats.org/officeDocument/2006/relationships/hyperlink" Target="2020_06/16.06.2020/72922" TargetMode="External"/><Relationship Id="rId121" Type="http://schemas.openxmlformats.org/officeDocument/2006/relationships/hyperlink" Target="https://smp.sfurf.office/sd/operator/index.jsp;jsessionid=4B56FDB405CD332F2E4AE6AEC0BFEE05" TargetMode="External"/><Relationship Id="rId219" Type="http://schemas.openxmlformats.org/officeDocument/2006/relationships/hyperlink" Target="2019_11\15.11.2019\44845" TargetMode="External"/><Relationship Id="rId426" Type="http://schemas.openxmlformats.org/officeDocument/2006/relationships/hyperlink" Target="2019_12\06.12.2019\65730" TargetMode="External"/><Relationship Id="rId633" Type="http://schemas.openxmlformats.org/officeDocument/2006/relationships/hyperlink" Target="2019_12\24.12.2019\75623" TargetMode="External"/><Relationship Id="rId980" Type="http://schemas.openxmlformats.org/officeDocument/2006/relationships/hyperlink" Target="2020_01/23.01.2020/89368" TargetMode="External"/><Relationship Id="rId1056" Type="http://schemas.openxmlformats.org/officeDocument/2006/relationships/hyperlink" Target="2020_01\31.01.2020\20-92" TargetMode="External"/><Relationship Id="rId1263" Type="http://schemas.openxmlformats.org/officeDocument/2006/relationships/hyperlink" Target="2020_02\19.02.2020\11703" TargetMode="External"/><Relationship Id="rId2107" Type="http://schemas.openxmlformats.org/officeDocument/2006/relationships/hyperlink" Target="2020_06/01.06.2020/51000" TargetMode="External"/><Relationship Id="rId2314" Type="http://schemas.openxmlformats.org/officeDocument/2006/relationships/hyperlink" Target="2020_06\16.06.2020\54396" TargetMode="External"/><Relationship Id="rId2661" Type="http://schemas.openxmlformats.org/officeDocument/2006/relationships/hyperlink" Target="2020_06/26.06.2020/78513" TargetMode="External"/><Relationship Id="rId840" Type="http://schemas.openxmlformats.org/officeDocument/2006/relationships/hyperlink" Target="2020_01\15.01.2020\84501" TargetMode="External"/><Relationship Id="rId938" Type="http://schemas.openxmlformats.org/officeDocument/2006/relationships/hyperlink" Target="2020_01\22.01.2020\88639" TargetMode="External"/><Relationship Id="rId1470" Type="http://schemas.openxmlformats.org/officeDocument/2006/relationships/hyperlink" Target="2020_03\06.03.2020\23162" TargetMode="External"/><Relationship Id="rId1568" Type="http://schemas.openxmlformats.org/officeDocument/2006/relationships/hyperlink" Target="2020_03/17.03.2020/18363" TargetMode="External"/><Relationship Id="rId1775" Type="http://schemas.openxmlformats.org/officeDocument/2006/relationships/hyperlink" Target="2020_04/07.04.2020/27668" TargetMode="External"/><Relationship Id="rId2521" Type="http://schemas.openxmlformats.org/officeDocument/2006/relationships/hyperlink" Target="2020_06/19.06.2020/75423" TargetMode="External"/><Relationship Id="rId2619" Type="http://schemas.openxmlformats.org/officeDocument/2006/relationships/hyperlink" Target="2020_06/29.06.2020/78809" TargetMode="External"/><Relationship Id="rId67" Type="http://schemas.openxmlformats.org/officeDocument/2006/relationships/hyperlink" Target="https://smp.sfurf.office/sd/operator/" TargetMode="External"/><Relationship Id="rId700" Type="http://schemas.openxmlformats.org/officeDocument/2006/relationships/hyperlink" Target="2019_12/27.12.2019/70687" TargetMode="External"/><Relationship Id="rId1123" Type="http://schemas.openxmlformats.org/officeDocument/2006/relationships/hyperlink" Target="2020_02\05.02.2020\-3654" TargetMode="External"/><Relationship Id="rId1330" Type="http://schemas.openxmlformats.org/officeDocument/2006/relationships/hyperlink" Target="2020_02\26.02.2020\16115" TargetMode="External"/><Relationship Id="rId1428" Type="http://schemas.openxmlformats.org/officeDocument/2006/relationships/hyperlink" Target="2020_03\04.03.2020\20042" TargetMode="External"/><Relationship Id="rId1635" Type="http://schemas.openxmlformats.org/officeDocument/2006/relationships/hyperlink" Target="2020_03\23.03.2020\22554" TargetMode="External"/><Relationship Id="rId1982" Type="http://schemas.openxmlformats.org/officeDocument/2006/relationships/hyperlink" Target="2020_05/21.05.2020/46762" TargetMode="External"/><Relationship Id="rId1842" Type="http://schemas.openxmlformats.org/officeDocument/2006/relationships/hyperlink" Target="2020_05/14.05.2020/30994" TargetMode="External"/><Relationship Id="rId1702" Type="http://schemas.openxmlformats.org/officeDocument/2006/relationships/hyperlink" Target="2020_03\27.03.2020\25162" TargetMode="External"/><Relationship Id="rId283" Type="http://schemas.openxmlformats.org/officeDocument/2006/relationships/hyperlink" Target="https://smp.sfurf.office/sd/operator/" TargetMode="External"/><Relationship Id="rId490" Type="http://schemas.openxmlformats.org/officeDocument/2006/relationships/hyperlink" Target="2019_12/12.12.2019/60138" TargetMode="External"/><Relationship Id="rId2171" Type="http://schemas.openxmlformats.org/officeDocument/2006/relationships/hyperlink" Target="2020_06/01.06.2020/62329" TargetMode="External"/><Relationship Id="rId143" Type="http://schemas.openxmlformats.org/officeDocument/2006/relationships/hyperlink" Target="../Users/shilyaevan/AppData/Roaming/Microsoft/Excel/2019_10/23.10.2019/32440" TargetMode="External"/><Relationship Id="rId350" Type="http://schemas.openxmlformats.org/officeDocument/2006/relationships/hyperlink" Target="https://smp.sfurf.office/sd/operator/" TargetMode="External"/><Relationship Id="rId588" Type="http://schemas.openxmlformats.org/officeDocument/2006/relationships/hyperlink" Target="2019_12\19.12.2019\55198" TargetMode="External"/><Relationship Id="rId795" Type="http://schemas.openxmlformats.org/officeDocument/2006/relationships/hyperlink" Target="2020_01\10.01.2020\81926" TargetMode="External"/><Relationship Id="rId2031" Type="http://schemas.openxmlformats.org/officeDocument/2006/relationships/hyperlink" Target="2020_05/25.05.2020/48077" TargetMode="External"/><Relationship Id="rId2269" Type="http://schemas.openxmlformats.org/officeDocument/2006/relationships/hyperlink" Target="2020_06/16.06.2020/50682" TargetMode="External"/><Relationship Id="rId2476" Type="http://schemas.openxmlformats.org/officeDocument/2006/relationships/hyperlink" Target="2020_06/16.06.2020/51305" TargetMode="External"/><Relationship Id="rId9" Type="http://schemas.openxmlformats.org/officeDocument/2006/relationships/hyperlink" Target="https://smp.sfurf.office/sd/operator/index.jsp;jsessionid=4B56FDB405CD332F2E4AE6AEC0BFEE05" TargetMode="External"/><Relationship Id="rId210" Type="http://schemas.openxmlformats.org/officeDocument/2006/relationships/hyperlink" Target="2019_10\30.10.2019\43304" TargetMode="External"/><Relationship Id="rId448" Type="http://schemas.openxmlformats.org/officeDocument/2006/relationships/hyperlink" Target="https://smp.sfurf.office/sd/operator/" TargetMode="External"/><Relationship Id="rId655" Type="http://schemas.openxmlformats.org/officeDocument/2006/relationships/hyperlink" Target="2019_12/25.12.2019/68042" TargetMode="External"/><Relationship Id="rId862" Type="http://schemas.openxmlformats.org/officeDocument/2006/relationships/hyperlink" Target="2020_01/16.01.2020/76377" TargetMode="External"/><Relationship Id="rId1078" Type="http://schemas.openxmlformats.org/officeDocument/2006/relationships/hyperlink" Target="2020_02\03.02.2020\-1833" TargetMode="External"/><Relationship Id="rId1285" Type="http://schemas.openxmlformats.org/officeDocument/2006/relationships/hyperlink" Target="2020_02/21.02.2020/-4993" TargetMode="External"/><Relationship Id="rId1492" Type="http://schemas.openxmlformats.org/officeDocument/2006/relationships/hyperlink" Target="2020_03\12.03.2020\24911" TargetMode="External"/><Relationship Id="rId2129" Type="http://schemas.openxmlformats.org/officeDocument/2006/relationships/hyperlink" Target="2020_06\01.06.2020\61584" TargetMode="External"/><Relationship Id="rId2336" Type="http://schemas.openxmlformats.org/officeDocument/2006/relationships/hyperlink" Target="2020_06/04.06.2020/42667" TargetMode="External"/><Relationship Id="rId2543" Type="http://schemas.openxmlformats.org/officeDocument/2006/relationships/hyperlink" Target="2020_06/22.06.2020/68904" TargetMode="External"/><Relationship Id="rId308" Type="http://schemas.openxmlformats.org/officeDocument/2006/relationships/hyperlink" Target="https://smp.sfurf.office/sd/operator/index.jsp;jsessionid=4B56FDB405CD332F2E4AE6AEC0BFEE05" TargetMode="External"/><Relationship Id="rId515" Type="http://schemas.openxmlformats.org/officeDocument/2006/relationships/hyperlink" Target="2019_12\16.12.2019\62063" TargetMode="External"/><Relationship Id="rId722" Type="http://schemas.openxmlformats.org/officeDocument/2006/relationships/hyperlink" Target="2019_12\30.12.2019\78668" TargetMode="External"/><Relationship Id="rId1145" Type="http://schemas.openxmlformats.org/officeDocument/2006/relationships/hyperlink" Target="2020_02\06.02.2020\88411" TargetMode="External"/><Relationship Id="rId1352" Type="http://schemas.openxmlformats.org/officeDocument/2006/relationships/hyperlink" Target="2020_02/27.02.2020/16402" TargetMode="External"/><Relationship Id="rId1797" Type="http://schemas.openxmlformats.org/officeDocument/2006/relationships/hyperlink" Target="2020_04/08.04.2020/38309" TargetMode="External"/><Relationship Id="rId2403" Type="http://schemas.openxmlformats.org/officeDocument/2006/relationships/hyperlink" Target="2020_06\16.06.2020\62334" TargetMode="External"/><Relationship Id="rId89" Type="http://schemas.openxmlformats.org/officeDocument/2006/relationships/hyperlink" Target="https://smp.sfurf.office/sd/operator/" TargetMode="External"/><Relationship Id="rId1005" Type="http://schemas.openxmlformats.org/officeDocument/2006/relationships/hyperlink" Target="2020_01/27.01.2020/90337" TargetMode="External"/><Relationship Id="rId1212" Type="http://schemas.openxmlformats.org/officeDocument/2006/relationships/hyperlink" Target="2020_02\12.02.2020\91832" TargetMode="External"/><Relationship Id="rId1657" Type="http://schemas.openxmlformats.org/officeDocument/2006/relationships/hyperlink" Target="2020_03\24.03.2020\22838" TargetMode="External"/><Relationship Id="rId1864" Type="http://schemas.openxmlformats.org/officeDocument/2006/relationships/hyperlink" Target="2020_05/13.05.2020/30313" TargetMode="External"/><Relationship Id="rId2610" Type="http://schemas.openxmlformats.org/officeDocument/2006/relationships/hyperlink" Target="2020_06/25.06.2020/78072" TargetMode="External"/><Relationship Id="rId1517" Type="http://schemas.openxmlformats.org/officeDocument/2006/relationships/hyperlink" Target="2020_03\12.03.2020\15620" TargetMode="External"/><Relationship Id="rId1724" Type="http://schemas.openxmlformats.org/officeDocument/2006/relationships/hyperlink" Target="2020_04/06.04.2020/26185" TargetMode="External"/><Relationship Id="rId16" Type="http://schemas.openxmlformats.org/officeDocument/2006/relationships/hyperlink" Target="https://smp.sfurf.office/sd/operator/index.jsp;jsessionid=4B56FDB405CD332F2E4AE6AEC0BFEE05" TargetMode="External"/><Relationship Id="rId1931" Type="http://schemas.openxmlformats.org/officeDocument/2006/relationships/hyperlink" Target="2020_05/19.05.2020/33800" TargetMode="External"/><Relationship Id="rId2193" Type="http://schemas.openxmlformats.org/officeDocument/2006/relationships/hyperlink" Target="2020_06/08.06.2020/44723" TargetMode="External"/><Relationship Id="rId2498" Type="http://schemas.openxmlformats.org/officeDocument/2006/relationships/hyperlink" Target="2020_06/16.06.2020/65563" TargetMode="External"/><Relationship Id="rId165" Type="http://schemas.openxmlformats.org/officeDocument/2006/relationships/hyperlink" Target="2019_10\25.10.2019\41534" TargetMode="External"/><Relationship Id="rId372" Type="http://schemas.openxmlformats.org/officeDocument/2006/relationships/hyperlink" Target="2019_11\25.11.2019\49692" TargetMode="External"/><Relationship Id="rId677" Type="http://schemas.openxmlformats.org/officeDocument/2006/relationships/hyperlink" Target="2019_12/26.12.2019/69710" TargetMode="External"/><Relationship Id="rId2053" Type="http://schemas.openxmlformats.org/officeDocument/2006/relationships/hyperlink" Target="2020_05/27.05.2020/52735" TargetMode="External"/><Relationship Id="rId2260" Type="http://schemas.openxmlformats.org/officeDocument/2006/relationships/hyperlink" Target="2020_06\16.06.2020\51945" TargetMode="External"/><Relationship Id="rId2358" Type="http://schemas.openxmlformats.org/officeDocument/2006/relationships/hyperlink" Target="2020_06/16.06.2020/60883" TargetMode="External"/><Relationship Id="rId232" Type="http://schemas.openxmlformats.org/officeDocument/2006/relationships/hyperlink" Target="https://smp.sfurf.office/sd/operator/" TargetMode="External"/><Relationship Id="rId884" Type="http://schemas.openxmlformats.org/officeDocument/2006/relationships/hyperlink" Target="2020_01/17.01.2020/85423" TargetMode="External"/><Relationship Id="rId2120" Type="http://schemas.openxmlformats.org/officeDocument/2006/relationships/hyperlink" Target="2020_06/01.06.2020/52326" TargetMode="External"/><Relationship Id="rId2565" Type="http://schemas.openxmlformats.org/officeDocument/2006/relationships/hyperlink" Target="2020_06/23.06.2020/77173" TargetMode="External"/><Relationship Id="rId537" Type="http://schemas.openxmlformats.org/officeDocument/2006/relationships/hyperlink" Target="2019_12\17.12.2019\63081" TargetMode="External"/><Relationship Id="rId744" Type="http://schemas.openxmlformats.org/officeDocument/2006/relationships/hyperlink" Target="2019_12/31.12.2019/79598" TargetMode="External"/><Relationship Id="rId951" Type="http://schemas.openxmlformats.org/officeDocument/2006/relationships/hyperlink" Target="2020_01\22.01.2020\87793" TargetMode="External"/><Relationship Id="rId1167" Type="http://schemas.openxmlformats.org/officeDocument/2006/relationships/hyperlink" Target="2020_02\11.02.2020\90695" TargetMode="External"/><Relationship Id="rId1374" Type="http://schemas.openxmlformats.org/officeDocument/2006/relationships/hyperlink" Target="2020_02\28.02.2020\17791" TargetMode="External"/><Relationship Id="rId1581" Type="http://schemas.openxmlformats.org/officeDocument/2006/relationships/hyperlink" Target="2020_03\18.03.2020\28075" TargetMode="External"/><Relationship Id="rId1679" Type="http://schemas.openxmlformats.org/officeDocument/2006/relationships/hyperlink" Target="2020_03\25.03.2020\23965" TargetMode="External"/><Relationship Id="rId2218" Type="http://schemas.openxmlformats.org/officeDocument/2006/relationships/hyperlink" Target="2020_06/01.06.2020/64402" TargetMode="External"/><Relationship Id="rId2425" Type="http://schemas.openxmlformats.org/officeDocument/2006/relationships/hyperlink" Target="2020_06/16.06.2020/61563" TargetMode="External"/><Relationship Id="rId2632" Type="http://schemas.openxmlformats.org/officeDocument/2006/relationships/hyperlink" Target="2020_06\26.06.2020\70693" TargetMode="External"/><Relationship Id="rId80" Type="http://schemas.openxmlformats.org/officeDocument/2006/relationships/hyperlink" Target="..\Users\shilyaevan\AppData\Roaming\Microsoft\Excel\2019_10\16.10.2019\36140" TargetMode="External"/><Relationship Id="rId604" Type="http://schemas.openxmlformats.org/officeDocument/2006/relationships/hyperlink" Target="2019_12/23.12.2019/66158" TargetMode="External"/><Relationship Id="rId811" Type="http://schemas.openxmlformats.org/officeDocument/2006/relationships/hyperlink" Target="2020_01\14.01.2020\61953" TargetMode="External"/><Relationship Id="rId1027" Type="http://schemas.openxmlformats.org/officeDocument/2006/relationships/hyperlink" Target="2020_01\29.01.2020\84493" TargetMode="External"/><Relationship Id="rId1234" Type="http://schemas.openxmlformats.org/officeDocument/2006/relationships/hyperlink" Target="2020_02/12.02.2020/-8756" TargetMode="External"/><Relationship Id="rId1441" Type="http://schemas.openxmlformats.org/officeDocument/2006/relationships/hyperlink" Target="2020_03\05.03.2020\21444" TargetMode="External"/><Relationship Id="rId1886" Type="http://schemas.openxmlformats.org/officeDocument/2006/relationships/hyperlink" Target="2020_05\18.05.2020\32669" TargetMode="External"/><Relationship Id="rId909" Type="http://schemas.openxmlformats.org/officeDocument/2006/relationships/hyperlink" Target="2020_01/20.01.2020/78378" TargetMode="External"/><Relationship Id="rId1301" Type="http://schemas.openxmlformats.org/officeDocument/2006/relationships/hyperlink" Target="2020_02/25.02.2020/-6613" TargetMode="External"/><Relationship Id="rId1539" Type="http://schemas.openxmlformats.org/officeDocument/2006/relationships/hyperlink" Target="2020_03\16.03.2020\17887" TargetMode="External"/><Relationship Id="rId1746" Type="http://schemas.openxmlformats.org/officeDocument/2006/relationships/hyperlink" Target="2020_04\07.04.2020\27712" TargetMode="External"/><Relationship Id="rId1953" Type="http://schemas.openxmlformats.org/officeDocument/2006/relationships/hyperlink" Target="2020_05\20.05.2020\44289" TargetMode="External"/><Relationship Id="rId38" Type="http://schemas.openxmlformats.org/officeDocument/2006/relationships/hyperlink" Target="https://smp.sfurf.office/sd/operator/" TargetMode="External"/><Relationship Id="rId1606" Type="http://schemas.openxmlformats.org/officeDocument/2006/relationships/hyperlink" Target="2020_03\19.03.2020\28703" TargetMode="External"/><Relationship Id="rId1813" Type="http://schemas.openxmlformats.org/officeDocument/2006/relationships/hyperlink" Target="2020_05/07.05.2020/36237" TargetMode="External"/><Relationship Id="rId187" Type="http://schemas.openxmlformats.org/officeDocument/2006/relationships/hyperlink" Target="2019_11\13.11.2019\35414" TargetMode="External"/><Relationship Id="rId394" Type="http://schemas.openxmlformats.org/officeDocument/2006/relationships/hyperlink" Target="https://smp.sfurf.office/sd/operator/index.jsp;jsessionid=4B56FDB405CD332F2E4AE6AEC0BFEE05" TargetMode="External"/><Relationship Id="rId2075" Type="http://schemas.openxmlformats.org/officeDocument/2006/relationships/hyperlink" Target="2020_06/01.06.2020/59645" TargetMode="External"/><Relationship Id="rId2282" Type="http://schemas.openxmlformats.org/officeDocument/2006/relationships/hyperlink" Target="2020_06/16.06.2020/52066" TargetMode="External"/><Relationship Id="rId254" Type="http://schemas.openxmlformats.org/officeDocument/2006/relationships/hyperlink" Target="2019_11\18.11.2019\45273" TargetMode="External"/><Relationship Id="rId699" Type="http://schemas.openxmlformats.org/officeDocument/2006/relationships/hyperlink" Target="2019_12/27.12.2019/78319" TargetMode="External"/><Relationship Id="rId1091" Type="http://schemas.openxmlformats.org/officeDocument/2006/relationships/hyperlink" Target="2020_02\03.02.2020\-1136" TargetMode="External"/><Relationship Id="rId2587" Type="http://schemas.openxmlformats.org/officeDocument/2006/relationships/hyperlink" Target="2020_06/23.06.2020/64259" TargetMode="External"/><Relationship Id="rId114" Type="http://schemas.openxmlformats.org/officeDocument/2006/relationships/hyperlink" Target="https://smp.sfurf.office/sd/operator/index.jsp;jsessionid=4B56FDB405CD332F2E4AE6AEC0BFEE05" TargetMode="External"/><Relationship Id="rId461" Type="http://schemas.openxmlformats.org/officeDocument/2006/relationships/hyperlink" Target="2019_12\09.12.2019\66345" TargetMode="External"/><Relationship Id="rId559" Type="http://schemas.openxmlformats.org/officeDocument/2006/relationships/hyperlink" Target="2019_12\18.12.2019\63946" TargetMode="External"/><Relationship Id="rId766" Type="http://schemas.openxmlformats.org/officeDocument/2006/relationships/hyperlink" Target="2020_01\09.01.2020\80425" TargetMode="External"/><Relationship Id="rId1189" Type="http://schemas.openxmlformats.org/officeDocument/2006/relationships/hyperlink" Target="2020_02\11.02.2020\-8032" TargetMode="External"/><Relationship Id="rId1396" Type="http://schemas.openxmlformats.org/officeDocument/2006/relationships/hyperlink" Target="2020_03\02.03.2020\18053" TargetMode="External"/><Relationship Id="rId2142" Type="http://schemas.openxmlformats.org/officeDocument/2006/relationships/hyperlink" Target="2020_06/09.06.2020/46385" TargetMode="External"/><Relationship Id="rId2447" Type="http://schemas.openxmlformats.org/officeDocument/2006/relationships/hyperlink" Target="2020_06/16.06.2020/65531" TargetMode="External"/><Relationship Id="rId321" Type="http://schemas.openxmlformats.org/officeDocument/2006/relationships/hyperlink" Target="2019_12\03.12.2019\54161" TargetMode="External"/><Relationship Id="rId419" Type="http://schemas.openxmlformats.org/officeDocument/2006/relationships/hyperlink" Target="2019_12\03.12.2019\62996" TargetMode="External"/><Relationship Id="rId626" Type="http://schemas.openxmlformats.org/officeDocument/2006/relationships/hyperlink" Target="2019_12/24.12.2019/68354" TargetMode="External"/><Relationship Id="rId973" Type="http://schemas.openxmlformats.org/officeDocument/2006/relationships/hyperlink" Target="2020_01\24.01.2020\89633" TargetMode="External"/><Relationship Id="rId1049" Type="http://schemas.openxmlformats.org/officeDocument/2006/relationships/hyperlink" Target="2020_01/30.01.2020/84268" TargetMode="External"/><Relationship Id="rId1256" Type="http://schemas.openxmlformats.org/officeDocument/2006/relationships/hyperlink" Target="2020_02\19.02.2020\-3835" TargetMode="External"/><Relationship Id="rId2002" Type="http://schemas.openxmlformats.org/officeDocument/2006/relationships/hyperlink" Target="2020_05/26.05.2020/39719" TargetMode="External"/><Relationship Id="rId2307" Type="http://schemas.openxmlformats.org/officeDocument/2006/relationships/hyperlink" Target="2020_06/16.06.2020/54172" TargetMode="External"/><Relationship Id="rId2654" Type="http://schemas.openxmlformats.org/officeDocument/2006/relationships/hyperlink" Target="2020_06\29.06.2020\79077" TargetMode="External"/><Relationship Id="rId833" Type="http://schemas.openxmlformats.org/officeDocument/2006/relationships/hyperlink" Target="2020_01/15.01.2020/83637" TargetMode="External"/><Relationship Id="rId1116" Type="http://schemas.openxmlformats.org/officeDocument/2006/relationships/hyperlink" Target="2020_02\05.02.2020\87433" TargetMode="External"/><Relationship Id="rId1463" Type="http://schemas.openxmlformats.org/officeDocument/2006/relationships/hyperlink" Target="2020_03/06.03.2020/13617" TargetMode="External"/><Relationship Id="rId1670" Type="http://schemas.openxmlformats.org/officeDocument/2006/relationships/hyperlink" Target="2020_03\25.03.2020\33148" TargetMode="External"/><Relationship Id="rId1768" Type="http://schemas.openxmlformats.org/officeDocument/2006/relationships/hyperlink" Target="2020_04\08.04.2020\28182" TargetMode="External"/><Relationship Id="rId2514" Type="http://schemas.openxmlformats.org/officeDocument/2006/relationships/hyperlink" Target="2020_06\16.06.2020\64821" TargetMode="External"/><Relationship Id="rId900" Type="http://schemas.openxmlformats.org/officeDocument/2006/relationships/hyperlink" Target="2020_01/20.01.2020/77881" TargetMode="External"/><Relationship Id="rId1323" Type="http://schemas.openxmlformats.org/officeDocument/2006/relationships/hyperlink" Target="2020_02\26.02.2020\-7123" TargetMode="External"/><Relationship Id="rId1530" Type="http://schemas.openxmlformats.org/officeDocument/2006/relationships/hyperlink" Target="2020_03/13.03.2020/25493" TargetMode="External"/><Relationship Id="rId1628" Type="http://schemas.openxmlformats.org/officeDocument/2006/relationships/hyperlink" Target="2020_03/23.03.2020/21680" TargetMode="External"/><Relationship Id="rId1975" Type="http://schemas.openxmlformats.org/officeDocument/2006/relationships/hyperlink" Target="2020_05/22.05.2020/37764" TargetMode="External"/><Relationship Id="rId1835" Type="http://schemas.openxmlformats.org/officeDocument/2006/relationships/hyperlink" Target="2020_05/13.05.2020/39410" TargetMode="External"/><Relationship Id="rId1902" Type="http://schemas.openxmlformats.org/officeDocument/2006/relationships/hyperlink" Target="2020_05/20.05.2020/34809" TargetMode="External"/><Relationship Id="rId2097" Type="http://schemas.openxmlformats.org/officeDocument/2006/relationships/hyperlink" Target="2020_06\05.06.2020\43516" TargetMode="External"/><Relationship Id="rId276" Type="http://schemas.openxmlformats.org/officeDocument/2006/relationships/hyperlink" Target="https://smp.sfurf.office/sd/operator/" TargetMode="External"/><Relationship Id="rId483" Type="http://schemas.openxmlformats.org/officeDocument/2006/relationships/hyperlink" Target="2019_12/11.12.2019/58519" TargetMode="External"/><Relationship Id="rId690" Type="http://schemas.openxmlformats.org/officeDocument/2006/relationships/hyperlink" Target="2019_12/26.12.2019/69449" TargetMode="External"/><Relationship Id="rId2164" Type="http://schemas.openxmlformats.org/officeDocument/2006/relationships/hyperlink" Target="2020_06/01.06.2020/60897" TargetMode="External"/><Relationship Id="rId2371" Type="http://schemas.openxmlformats.org/officeDocument/2006/relationships/hyperlink" Target="2020_06/10.06.2020/70287" TargetMode="External"/><Relationship Id="rId136" Type="http://schemas.openxmlformats.org/officeDocument/2006/relationships/hyperlink" Target="../Users/shilyaevan/AppData/Roaming/Microsoft/Excel/2019_10/22.10.2019/32548" TargetMode="External"/><Relationship Id="rId343" Type="http://schemas.openxmlformats.org/officeDocument/2006/relationships/hyperlink" Target="https://smp.sfurf.office/sd/operator/" TargetMode="External"/><Relationship Id="rId550" Type="http://schemas.openxmlformats.org/officeDocument/2006/relationships/hyperlink" Target="2019_12/17.12.2019/62659" TargetMode="External"/><Relationship Id="rId788" Type="http://schemas.openxmlformats.org/officeDocument/2006/relationships/hyperlink" Target="2020_01\10.01.2020\73387" TargetMode="External"/><Relationship Id="rId995" Type="http://schemas.openxmlformats.org/officeDocument/2006/relationships/hyperlink" Target="2020_01\27.01.2020\82854" TargetMode="External"/><Relationship Id="rId1180" Type="http://schemas.openxmlformats.org/officeDocument/2006/relationships/hyperlink" Target="2020_02\10.02.2020\-6804" TargetMode="External"/><Relationship Id="rId2024" Type="http://schemas.openxmlformats.org/officeDocument/2006/relationships/hyperlink" Target="2020_05\25.05.2020\33502" TargetMode="External"/><Relationship Id="rId2231" Type="http://schemas.openxmlformats.org/officeDocument/2006/relationships/hyperlink" Target="2020_06/05.06.2020/43915" TargetMode="External"/><Relationship Id="rId2469" Type="http://schemas.openxmlformats.org/officeDocument/2006/relationships/hyperlink" Target="2020_06/16.06.2020/60893" TargetMode="External"/><Relationship Id="rId2676" Type="http://schemas.openxmlformats.org/officeDocument/2006/relationships/hyperlink" Target="2020_07/02.07.2020/80227" TargetMode="External"/><Relationship Id="rId203" Type="http://schemas.openxmlformats.org/officeDocument/2006/relationships/hyperlink" Target="2019_10\09.10.2019\25579" TargetMode="External"/><Relationship Id="rId648" Type="http://schemas.openxmlformats.org/officeDocument/2006/relationships/hyperlink" Target="2019_12/25.12.2019/58552" TargetMode="External"/><Relationship Id="rId855" Type="http://schemas.openxmlformats.org/officeDocument/2006/relationships/hyperlink" Target="2020_01\16.01.2020\76456" TargetMode="External"/><Relationship Id="rId1040" Type="http://schemas.openxmlformats.org/officeDocument/2006/relationships/hyperlink" Target="2020_01/30.01.2020/85424" TargetMode="External"/><Relationship Id="rId1278" Type="http://schemas.openxmlformats.org/officeDocument/2006/relationships/hyperlink" Target="2020_02\20.02.2020\12775" TargetMode="External"/><Relationship Id="rId1485" Type="http://schemas.openxmlformats.org/officeDocument/2006/relationships/hyperlink" Target="2020_03\11.03.2020\14941" TargetMode="External"/><Relationship Id="rId1692" Type="http://schemas.openxmlformats.org/officeDocument/2006/relationships/hyperlink" Target="2020_03/26.03.2020/24628" TargetMode="External"/><Relationship Id="rId2329" Type="http://schemas.openxmlformats.org/officeDocument/2006/relationships/hyperlink" Target="2020_06/02.06.2020/66713" TargetMode="External"/><Relationship Id="rId2536" Type="http://schemas.openxmlformats.org/officeDocument/2006/relationships/hyperlink" Target="2020_06/16.06.2020/62324" TargetMode="External"/><Relationship Id="rId410" Type="http://schemas.openxmlformats.org/officeDocument/2006/relationships/hyperlink" Target="https://smp.sfurf.office/sd/operator/" TargetMode="External"/><Relationship Id="rId508" Type="http://schemas.openxmlformats.org/officeDocument/2006/relationships/hyperlink" Target="2019_12/13.12.2019/60998" TargetMode="External"/><Relationship Id="rId715" Type="http://schemas.openxmlformats.org/officeDocument/2006/relationships/hyperlink" Target="2019_12\30.12.2019\71679" TargetMode="External"/><Relationship Id="rId922" Type="http://schemas.openxmlformats.org/officeDocument/2006/relationships/hyperlink" Target="2020_01/21.01.2020/86730" TargetMode="External"/><Relationship Id="rId1138" Type="http://schemas.openxmlformats.org/officeDocument/2006/relationships/hyperlink" Target="2020_02\06.02.2020\-4407" TargetMode="External"/><Relationship Id="rId1345" Type="http://schemas.openxmlformats.org/officeDocument/2006/relationships/hyperlink" Target="2020_02/26.02.2020/-7626" TargetMode="External"/><Relationship Id="rId1552" Type="http://schemas.openxmlformats.org/officeDocument/2006/relationships/hyperlink" Target="2020_03/13.03.2020/-7358" TargetMode="External"/><Relationship Id="rId1997" Type="http://schemas.openxmlformats.org/officeDocument/2006/relationships/hyperlink" Target="2020_05/27.05.2020/49014" TargetMode="External"/><Relationship Id="rId2603" Type="http://schemas.openxmlformats.org/officeDocument/2006/relationships/hyperlink" Target="2020_06\25.06.2020\78381" TargetMode="External"/><Relationship Id="rId1205" Type="http://schemas.openxmlformats.org/officeDocument/2006/relationships/hyperlink" Target="2020_02\11.02.2020\-6871" TargetMode="External"/><Relationship Id="rId1857" Type="http://schemas.openxmlformats.org/officeDocument/2006/relationships/hyperlink" Target="2020_05\19.05.2020\43300" TargetMode="External"/><Relationship Id="rId51" Type="http://schemas.openxmlformats.org/officeDocument/2006/relationships/hyperlink" Target="https://smp.sfurf.office/sd/operator/" TargetMode="External"/><Relationship Id="rId1412" Type="http://schemas.openxmlformats.org/officeDocument/2006/relationships/hyperlink" Target="2020_03/03.03.2020/10977" TargetMode="External"/><Relationship Id="rId1717" Type="http://schemas.openxmlformats.org/officeDocument/2006/relationships/hyperlink" Target="2020_04\06.04.2020\26265" TargetMode="External"/><Relationship Id="rId1924" Type="http://schemas.openxmlformats.org/officeDocument/2006/relationships/hyperlink" Target="2020_05/22.05.2020/37955" TargetMode="External"/><Relationship Id="rId298" Type="http://schemas.openxmlformats.org/officeDocument/2006/relationships/hyperlink" Target="2019_11\28.11.2019\51437" TargetMode="External"/><Relationship Id="rId158" Type="http://schemas.openxmlformats.org/officeDocument/2006/relationships/hyperlink" Target="2019_11\11.11.2019\34354" TargetMode="External"/><Relationship Id="rId2186" Type="http://schemas.openxmlformats.org/officeDocument/2006/relationships/hyperlink" Target="2020_06/05.06.2020/43359" TargetMode="External"/><Relationship Id="rId2393" Type="http://schemas.openxmlformats.org/officeDocument/2006/relationships/hyperlink" Target="2020_06/08.06.2020/68461" TargetMode="External"/><Relationship Id="rId365" Type="http://schemas.openxmlformats.org/officeDocument/2006/relationships/hyperlink" Target="https://smp.sfurf.office/sd/operator/" TargetMode="External"/><Relationship Id="rId572" Type="http://schemas.openxmlformats.org/officeDocument/2006/relationships/hyperlink" Target="2019_12\19.12.2019\64815" TargetMode="External"/><Relationship Id="rId2046" Type="http://schemas.openxmlformats.org/officeDocument/2006/relationships/hyperlink" Target="2020_05/25.05.2020/47816" TargetMode="External"/><Relationship Id="rId2253" Type="http://schemas.openxmlformats.org/officeDocument/2006/relationships/hyperlink" Target="2020_06\01.06.2020\63537" TargetMode="External"/><Relationship Id="rId2460" Type="http://schemas.openxmlformats.org/officeDocument/2006/relationships/hyperlink" Target="2020_06/17.06.2020/66595" TargetMode="External"/><Relationship Id="rId225" Type="http://schemas.openxmlformats.org/officeDocument/2006/relationships/hyperlink" Target="2019_10\08.10.2019\18264" TargetMode="External"/><Relationship Id="rId432" Type="http://schemas.openxmlformats.org/officeDocument/2006/relationships/hyperlink" Target="https://smp.sfurf.office/sd/operator/" TargetMode="External"/><Relationship Id="rId877" Type="http://schemas.openxmlformats.org/officeDocument/2006/relationships/hyperlink" Target="2020_01/17.01.2020/69356" TargetMode="External"/><Relationship Id="rId1062" Type="http://schemas.openxmlformats.org/officeDocument/2006/relationships/hyperlink" Target="2020_01\31.01.2020\85562" TargetMode="External"/><Relationship Id="rId2113" Type="http://schemas.openxmlformats.org/officeDocument/2006/relationships/hyperlink" Target="2020_05\20.05.2020\41494" TargetMode="External"/><Relationship Id="rId2320" Type="http://schemas.openxmlformats.org/officeDocument/2006/relationships/hyperlink" Target="2020_06/16.06.2020/52667" TargetMode="External"/><Relationship Id="rId2558" Type="http://schemas.openxmlformats.org/officeDocument/2006/relationships/hyperlink" Target="2020_06/22.06.2020/68226" TargetMode="External"/><Relationship Id="rId737" Type="http://schemas.openxmlformats.org/officeDocument/2006/relationships/hyperlink" Target="2019_12/30.12.2019/71714" TargetMode="External"/><Relationship Id="rId944" Type="http://schemas.openxmlformats.org/officeDocument/2006/relationships/hyperlink" Target="2020_01/22.01.2020/87796" TargetMode="External"/><Relationship Id="rId1367" Type="http://schemas.openxmlformats.org/officeDocument/2006/relationships/hyperlink" Target="2020_02\28.02.2020\-9696" TargetMode="External"/><Relationship Id="rId1574" Type="http://schemas.openxmlformats.org/officeDocument/2006/relationships/hyperlink" Target="2020_03\18.03.2020\28846" TargetMode="External"/><Relationship Id="rId1781" Type="http://schemas.openxmlformats.org/officeDocument/2006/relationships/hyperlink" Target="2020_04/06.04.2020/35732" TargetMode="External"/><Relationship Id="rId2418" Type="http://schemas.openxmlformats.org/officeDocument/2006/relationships/hyperlink" Target="2020_06\16.06.2020\54981" TargetMode="External"/><Relationship Id="rId2625" Type="http://schemas.openxmlformats.org/officeDocument/2006/relationships/hyperlink" Target="2020_06/25.06.2020/78312" TargetMode="External"/><Relationship Id="rId73" Type="http://schemas.openxmlformats.org/officeDocument/2006/relationships/hyperlink" Target="https://smp.sfurf.office/sd/operator/index.jsp;jsessionid=4B56FDB405CD332F2E4AE6AEC0BFEE05" TargetMode="External"/><Relationship Id="rId804" Type="http://schemas.openxmlformats.org/officeDocument/2006/relationships/hyperlink" Target="2020_01/13.01.2020/82293" TargetMode="External"/><Relationship Id="rId1227" Type="http://schemas.openxmlformats.org/officeDocument/2006/relationships/hyperlink" Target="2020_02/12.02.2020/-8682" TargetMode="External"/><Relationship Id="rId1434" Type="http://schemas.openxmlformats.org/officeDocument/2006/relationships/hyperlink" Target="2020_03\04.03.2020\10658" TargetMode="External"/><Relationship Id="rId1641" Type="http://schemas.openxmlformats.org/officeDocument/2006/relationships/hyperlink" Target="2020_03\23.03.2020\30767" TargetMode="External"/><Relationship Id="rId1879" Type="http://schemas.openxmlformats.org/officeDocument/2006/relationships/hyperlink" Target="2020_05/14.05.2020/30598" TargetMode="External"/><Relationship Id="rId1501" Type="http://schemas.openxmlformats.org/officeDocument/2006/relationships/hyperlink" Target="2020_03\11.03.2020\14902" TargetMode="External"/><Relationship Id="rId1739" Type="http://schemas.openxmlformats.org/officeDocument/2006/relationships/hyperlink" Target="2020_04\06.04.2020\26821" TargetMode="External"/><Relationship Id="rId1946" Type="http://schemas.openxmlformats.org/officeDocument/2006/relationships/hyperlink" Target="2020_05/20.05.2020/44467" TargetMode="External"/><Relationship Id="rId1806" Type="http://schemas.openxmlformats.org/officeDocument/2006/relationships/hyperlink" Target="2020_05/12.05.2020/29542" TargetMode="External"/><Relationship Id="rId387" Type="http://schemas.openxmlformats.org/officeDocument/2006/relationships/hyperlink" Target="https://smp.sfurf.office/sd/operator/" TargetMode="External"/><Relationship Id="rId594" Type="http://schemas.openxmlformats.org/officeDocument/2006/relationships/hyperlink" Target="2019_12\20.12.2019\65884" TargetMode="External"/><Relationship Id="rId2068" Type="http://schemas.openxmlformats.org/officeDocument/2006/relationships/hyperlink" Target="2020_06/01.06.2020/58256" TargetMode="External"/><Relationship Id="rId2275" Type="http://schemas.openxmlformats.org/officeDocument/2006/relationships/hyperlink" Target="2020_06/16.06.2020/58192" TargetMode="External"/><Relationship Id="rId247" Type="http://schemas.openxmlformats.org/officeDocument/2006/relationships/hyperlink" Target="https://smp.sfurf.office/sd/operator/" TargetMode="External"/><Relationship Id="rId899" Type="http://schemas.openxmlformats.org/officeDocument/2006/relationships/hyperlink" Target="2020_01\20.01.2020\77551" TargetMode="External"/><Relationship Id="rId1084" Type="http://schemas.openxmlformats.org/officeDocument/2006/relationships/hyperlink" Target="2020_02\03.02.2020\-1667" TargetMode="External"/><Relationship Id="rId2482" Type="http://schemas.openxmlformats.org/officeDocument/2006/relationships/hyperlink" Target="2020_06\16.06.2020\51192" TargetMode="External"/><Relationship Id="rId107" Type="http://schemas.openxmlformats.org/officeDocument/2006/relationships/hyperlink" Target="https://smp.sfurf.office/sd/operator/" TargetMode="External"/><Relationship Id="rId454" Type="http://schemas.openxmlformats.org/officeDocument/2006/relationships/hyperlink" Target="https://smp.sfurf.office/sd/operator/index.jsp;jsessionid=4B56FDB405CD332F2E4AE6AEC0BFEE05" TargetMode="External"/><Relationship Id="rId661" Type="http://schemas.openxmlformats.org/officeDocument/2006/relationships/hyperlink" Target="2019_12/25.12.2019/77403" TargetMode="External"/><Relationship Id="rId759" Type="http://schemas.openxmlformats.org/officeDocument/2006/relationships/hyperlink" Target="2019_12/31.12.2019/80333" TargetMode="External"/><Relationship Id="rId966" Type="http://schemas.openxmlformats.org/officeDocument/2006/relationships/hyperlink" Target="2020_01/23.01.2020/88410" TargetMode="External"/><Relationship Id="rId1291" Type="http://schemas.openxmlformats.org/officeDocument/2006/relationships/hyperlink" Target="2020_02\21.02.2020\13872" TargetMode="External"/><Relationship Id="rId1389" Type="http://schemas.openxmlformats.org/officeDocument/2006/relationships/hyperlink" Target="2020_03\02.03.2020\-9820" TargetMode="External"/><Relationship Id="rId1596" Type="http://schemas.openxmlformats.org/officeDocument/2006/relationships/hyperlink" Target="2020_03\19.03.2020\28874" TargetMode="External"/><Relationship Id="rId2135" Type="http://schemas.openxmlformats.org/officeDocument/2006/relationships/hyperlink" Target="2020_06\01.06.2020\63071" TargetMode="External"/><Relationship Id="rId2342" Type="http://schemas.openxmlformats.org/officeDocument/2006/relationships/hyperlink" Target="2020_06/16.06.2020/59661" TargetMode="External"/><Relationship Id="rId2647" Type="http://schemas.openxmlformats.org/officeDocument/2006/relationships/hyperlink" Target="2020_06\26.06.2020\67437" TargetMode="External"/><Relationship Id="rId314" Type="http://schemas.openxmlformats.org/officeDocument/2006/relationships/hyperlink" Target="2019_11\18.11.2019\52840" TargetMode="External"/><Relationship Id="rId521" Type="http://schemas.openxmlformats.org/officeDocument/2006/relationships/hyperlink" Target="2019_12\16.12.2019\71260" TargetMode="External"/><Relationship Id="rId619" Type="http://schemas.openxmlformats.org/officeDocument/2006/relationships/hyperlink" Target="2019_12/24.12.2019/59170" TargetMode="External"/><Relationship Id="rId1151" Type="http://schemas.openxmlformats.org/officeDocument/2006/relationships/hyperlink" Target="2020_02/06.02.2020/-4114" TargetMode="External"/><Relationship Id="rId1249" Type="http://schemas.openxmlformats.org/officeDocument/2006/relationships/hyperlink" Target="2020_02\19.02.2020\-3078" TargetMode="External"/><Relationship Id="rId2202" Type="http://schemas.openxmlformats.org/officeDocument/2006/relationships/hyperlink" Target="2020_06/16.06.2020/49432" TargetMode="External"/><Relationship Id="rId95" Type="http://schemas.openxmlformats.org/officeDocument/2006/relationships/hyperlink" Target="../Users/shilyaevan/AppData/Roaming/Microsoft/Excel/2019_10/17.10.2019/29362" TargetMode="External"/><Relationship Id="rId826" Type="http://schemas.openxmlformats.org/officeDocument/2006/relationships/hyperlink" Target="2020_01\14.01.2020\74642" TargetMode="External"/><Relationship Id="rId1011" Type="http://schemas.openxmlformats.org/officeDocument/2006/relationships/hyperlink" Target="2020_01\28.01.2020\90494" TargetMode="External"/><Relationship Id="rId1109" Type="http://schemas.openxmlformats.org/officeDocument/2006/relationships/hyperlink" Target="2020_02\03.02.2020\-2067" TargetMode="External"/><Relationship Id="rId1456" Type="http://schemas.openxmlformats.org/officeDocument/2006/relationships/hyperlink" Target="2020_03/06.03.2020/12979" TargetMode="External"/><Relationship Id="rId1663" Type="http://schemas.openxmlformats.org/officeDocument/2006/relationships/hyperlink" Target="2020_03\25.03.2020\23490" TargetMode="External"/><Relationship Id="rId1870" Type="http://schemas.openxmlformats.org/officeDocument/2006/relationships/hyperlink" Target="2020_05/14.05.2020/32110" TargetMode="External"/><Relationship Id="rId1968" Type="http://schemas.openxmlformats.org/officeDocument/2006/relationships/hyperlink" Target="2020_05\25.05.2020\47067" TargetMode="External"/><Relationship Id="rId2507" Type="http://schemas.openxmlformats.org/officeDocument/2006/relationships/hyperlink" Target="2020_06/16.06.2020/63882" TargetMode="External"/><Relationship Id="rId1316" Type="http://schemas.openxmlformats.org/officeDocument/2006/relationships/hyperlink" Target="2020_02/25.02.2020/14539" TargetMode="External"/><Relationship Id="rId1523" Type="http://schemas.openxmlformats.org/officeDocument/2006/relationships/hyperlink" Target="2020_03\13.03.2020\25483" TargetMode="External"/><Relationship Id="rId1730" Type="http://schemas.openxmlformats.org/officeDocument/2006/relationships/hyperlink" Target="2020_04/06.04.2020/35309" TargetMode="External"/><Relationship Id="rId22" Type="http://schemas.openxmlformats.org/officeDocument/2006/relationships/hyperlink" Target="https://smp.sfurf.office/sd/operator/index.jsp;jsessionid=4B56FDB405CD332F2E4AE6AEC0BFEE05" TargetMode="External"/><Relationship Id="rId1828" Type="http://schemas.openxmlformats.org/officeDocument/2006/relationships/hyperlink" Target="2020_05/13.05.2020/40163" TargetMode="External"/><Relationship Id="rId171" Type="http://schemas.openxmlformats.org/officeDocument/2006/relationships/hyperlink" Target="https://smp.sfurf.office/sd/operator/index.jsp;jsessionid=4B56FDB405CD332F2E4AE6AEC0BFEE05" TargetMode="External"/><Relationship Id="rId2297" Type="http://schemas.openxmlformats.org/officeDocument/2006/relationships/hyperlink" Target="2020_06/05.06.2020/68697" TargetMode="External"/><Relationship Id="rId269" Type="http://schemas.openxmlformats.org/officeDocument/2006/relationships/hyperlink" Target="2019_11\22.11.2019\48948" TargetMode="External"/><Relationship Id="rId476" Type="http://schemas.openxmlformats.org/officeDocument/2006/relationships/hyperlink" Target="2019_12\10.12.2019\54117" TargetMode="External"/><Relationship Id="rId683" Type="http://schemas.openxmlformats.org/officeDocument/2006/relationships/hyperlink" Target="2019_12/26.12.2019/77623" TargetMode="External"/><Relationship Id="rId890" Type="http://schemas.openxmlformats.org/officeDocument/2006/relationships/hyperlink" Target="2020_01/17.01.2020/64290" TargetMode="External"/><Relationship Id="rId2157" Type="http://schemas.openxmlformats.org/officeDocument/2006/relationships/hyperlink" Target="2020_06/16.06.2020/51244" TargetMode="External"/><Relationship Id="rId2364" Type="http://schemas.openxmlformats.org/officeDocument/2006/relationships/hyperlink" Target="2020_06/16.06.2020/60898" TargetMode="External"/><Relationship Id="rId2571" Type="http://schemas.openxmlformats.org/officeDocument/2006/relationships/hyperlink" Target="2020_06/19.06.2020/67343" TargetMode="External"/><Relationship Id="rId129" Type="http://schemas.openxmlformats.org/officeDocument/2006/relationships/hyperlink" Target="2019_11\05.11.2019\38766" TargetMode="External"/><Relationship Id="rId336" Type="http://schemas.openxmlformats.org/officeDocument/2006/relationships/hyperlink" Target="2019_12\06.12.2019\56295" TargetMode="External"/><Relationship Id="rId543" Type="http://schemas.openxmlformats.org/officeDocument/2006/relationships/hyperlink" Target="2019_12/17.12.2019/54196" TargetMode="External"/><Relationship Id="rId988" Type="http://schemas.openxmlformats.org/officeDocument/2006/relationships/hyperlink" Target="2020_01\27.01.2020\81822" TargetMode="External"/><Relationship Id="rId1173" Type="http://schemas.openxmlformats.org/officeDocument/2006/relationships/hyperlink" Target="2020_02\11.02.2020\90488" TargetMode="External"/><Relationship Id="rId1380" Type="http://schemas.openxmlformats.org/officeDocument/2006/relationships/hyperlink" Target="2020_02\28.02.2020\-9747" TargetMode="External"/><Relationship Id="rId2017" Type="http://schemas.openxmlformats.org/officeDocument/2006/relationships/hyperlink" Target="2020_05/21.05.2020/46626" TargetMode="External"/><Relationship Id="rId2224" Type="http://schemas.openxmlformats.org/officeDocument/2006/relationships/hyperlink" Target="2020_06/10.06.2020/45911" TargetMode="External"/><Relationship Id="rId2669" Type="http://schemas.openxmlformats.org/officeDocument/2006/relationships/hyperlink" Target="2020_06/30.06.2020/79487" TargetMode="External"/><Relationship Id="rId403" Type="http://schemas.openxmlformats.org/officeDocument/2006/relationships/hyperlink" Target="2019_11\27.11.2019\58929" TargetMode="External"/><Relationship Id="rId750" Type="http://schemas.openxmlformats.org/officeDocument/2006/relationships/hyperlink" Target="2019_12/31.12.2019/79778" TargetMode="External"/><Relationship Id="rId848" Type="http://schemas.openxmlformats.org/officeDocument/2006/relationships/hyperlink" Target="2020_01/15.01.2020/83278" TargetMode="External"/><Relationship Id="rId1033" Type="http://schemas.openxmlformats.org/officeDocument/2006/relationships/hyperlink" Target="2020_01\29.01.2020\83935" TargetMode="External"/><Relationship Id="rId1478" Type="http://schemas.openxmlformats.org/officeDocument/2006/relationships/hyperlink" Target="2020_03\10.03.2020\-9818" TargetMode="External"/><Relationship Id="rId1685" Type="http://schemas.openxmlformats.org/officeDocument/2006/relationships/hyperlink" Target="2020_03\26.03.2020\24635" TargetMode="External"/><Relationship Id="rId1892" Type="http://schemas.openxmlformats.org/officeDocument/2006/relationships/hyperlink" Target="2020_05/18.05.2020/33030" TargetMode="External"/><Relationship Id="rId2431" Type="http://schemas.openxmlformats.org/officeDocument/2006/relationships/hyperlink" Target="2020_06/16.06.2020/64445" TargetMode="External"/><Relationship Id="rId2529" Type="http://schemas.openxmlformats.org/officeDocument/2006/relationships/hyperlink" Target="2020_06/19.06.2020/67807" TargetMode="External"/><Relationship Id="rId610" Type="http://schemas.openxmlformats.org/officeDocument/2006/relationships/hyperlink" Target="2019_12\23.12.2019\74396" TargetMode="External"/><Relationship Id="rId708" Type="http://schemas.openxmlformats.org/officeDocument/2006/relationships/hyperlink" Target="2019_12/27.12.2019/78181" TargetMode="External"/><Relationship Id="rId915" Type="http://schemas.openxmlformats.org/officeDocument/2006/relationships/hyperlink" Target="2020_01\21.01.2020\79087" TargetMode="External"/><Relationship Id="rId1240" Type="http://schemas.openxmlformats.org/officeDocument/2006/relationships/hyperlink" Target="2020_02\18.02.2020\-2373" TargetMode="External"/><Relationship Id="rId1338" Type="http://schemas.openxmlformats.org/officeDocument/2006/relationships/hyperlink" Target="2020_02/26.02.2020/-7351" TargetMode="External"/><Relationship Id="rId1545" Type="http://schemas.openxmlformats.org/officeDocument/2006/relationships/hyperlink" Target="2020_03\16.03.2020\26736" TargetMode="External"/><Relationship Id="rId1100" Type="http://schemas.openxmlformats.org/officeDocument/2006/relationships/hyperlink" Target="2020_02\04.02.2020\86993" TargetMode="External"/><Relationship Id="rId1405" Type="http://schemas.openxmlformats.org/officeDocument/2006/relationships/hyperlink" Target="2020_03/02.03.2020/10029" TargetMode="External"/><Relationship Id="rId1752" Type="http://schemas.openxmlformats.org/officeDocument/2006/relationships/hyperlink" Target="2020_04\07.04.2020\36270" TargetMode="External"/><Relationship Id="rId44" Type="http://schemas.openxmlformats.org/officeDocument/2006/relationships/hyperlink" Target="https://smp.sfurf.office/sd/operator/" TargetMode="External"/><Relationship Id="rId1612" Type="http://schemas.openxmlformats.org/officeDocument/2006/relationships/hyperlink" Target="2020_03\20.03.2020\21267" TargetMode="External"/><Relationship Id="rId1917" Type="http://schemas.openxmlformats.org/officeDocument/2006/relationships/hyperlink" Target="2020_05/19.05.2020/33846" TargetMode="External"/><Relationship Id="rId193" Type="http://schemas.openxmlformats.org/officeDocument/2006/relationships/hyperlink" Target="2019_11\13.11.2019\42981" TargetMode="External"/><Relationship Id="rId498" Type="http://schemas.openxmlformats.org/officeDocument/2006/relationships/hyperlink" Target="2019_12\12.12.2019\60381" TargetMode="External"/><Relationship Id="rId2081" Type="http://schemas.openxmlformats.org/officeDocument/2006/relationships/hyperlink" Target="2020_06/01.06.2020/62316" TargetMode="External"/><Relationship Id="rId2179" Type="http://schemas.openxmlformats.org/officeDocument/2006/relationships/hyperlink" Target="2020_06/15.06.2020/48837" TargetMode="External"/><Relationship Id="rId260" Type="http://schemas.openxmlformats.org/officeDocument/2006/relationships/hyperlink" Target="2019_11\06.11.2019\46325" TargetMode="External"/><Relationship Id="rId2386" Type="http://schemas.openxmlformats.org/officeDocument/2006/relationships/hyperlink" Target="2020_06/16.06.2020/56574" TargetMode="External"/><Relationship Id="rId2593" Type="http://schemas.openxmlformats.org/officeDocument/2006/relationships/hyperlink" Target="2020_06/23.06.2020/76037" TargetMode="External"/><Relationship Id="rId120" Type="http://schemas.openxmlformats.org/officeDocument/2006/relationships/hyperlink" Target="https://smp.sfurf.office/sd/operator/index.jsp;jsessionid=4B56FDB405CD332F2E4AE6AEC0BFEE05" TargetMode="External"/><Relationship Id="rId358" Type="http://schemas.openxmlformats.org/officeDocument/2006/relationships/hyperlink" Target="https://smp.sfurf.office/sd/operator/" TargetMode="External"/><Relationship Id="rId565" Type="http://schemas.openxmlformats.org/officeDocument/2006/relationships/hyperlink" Target="2019_12/18.12.2019/73375" TargetMode="External"/><Relationship Id="rId772" Type="http://schemas.openxmlformats.org/officeDocument/2006/relationships/hyperlink" Target="2020_01\09.01.2020\72337" TargetMode="External"/><Relationship Id="rId1195" Type="http://schemas.openxmlformats.org/officeDocument/2006/relationships/hyperlink" Target="2020_02/11.02.2020/90716" TargetMode="External"/><Relationship Id="rId2039" Type="http://schemas.openxmlformats.org/officeDocument/2006/relationships/hyperlink" Target="2020_05/26.05.2020/49407" TargetMode="External"/><Relationship Id="rId2246" Type="http://schemas.openxmlformats.org/officeDocument/2006/relationships/hyperlink" Target="2020_06\02.06.2020\65916" TargetMode="External"/><Relationship Id="rId2453" Type="http://schemas.openxmlformats.org/officeDocument/2006/relationships/hyperlink" Target="2020_06/16.06.2020/64468" TargetMode="External"/><Relationship Id="rId2660" Type="http://schemas.openxmlformats.org/officeDocument/2006/relationships/hyperlink" Target="2020_06/29.06.2020/79096" TargetMode="External"/><Relationship Id="rId218" Type="http://schemas.openxmlformats.org/officeDocument/2006/relationships/hyperlink" Target="2019_11\15.11.2019\44813" TargetMode="External"/><Relationship Id="rId425" Type="http://schemas.openxmlformats.org/officeDocument/2006/relationships/hyperlink" Target="2019_12\05.12.2019\64813" TargetMode="External"/><Relationship Id="rId632" Type="http://schemas.openxmlformats.org/officeDocument/2006/relationships/hyperlink" Target="2019_12/24.12.2019/75141" TargetMode="External"/><Relationship Id="rId1055" Type="http://schemas.openxmlformats.org/officeDocument/2006/relationships/hyperlink" Target="2020_01\31.01.2020\85184" TargetMode="External"/><Relationship Id="rId1262" Type="http://schemas.openxmlformats.org/officeDocument/2006/relationships/hyperlink" Target="2020_02\19.02.2020\-3086" TargetMode="External"/><Relationship Id="rId2106" Type="http://schemas.openxmlformats.org/officeDocument/2006/relationships/hyperlink" Target="2020_06/08.06.2020/44626" TargetMode="External"/><Relationship Id="rId2313" Type="http://schemas.openxmlformats.org/officeDocument/2006/relationships/hyperlink" Target="2020_06/03.06.2020/67306" TargetMode="External"/><Relationship Id="rId2520" Type="http://schemas.openxmlformats.org/officeDocument/2006/relationships/hyperlink" Target="2020_06/19.06.2020/67728" TargetMode="External"/><Relationship Id="rId937" Type="http://schemas.openxmlformats.org/officeDocument/2006/relationships/hyperlink" Target="2020_01\22.01.2020\80189" TargetMode="External"/><Relationship Id="rId1122" Type="http://schemas.openxmlformats.org/officeDocument/2006/relationships/hyperlink" Target="2020_02\05.02.2020\88742" TargetMode="External"/><Relationship Id="rId1567" Type="http://schemas.openxmlformats.org/officeDocument/2006/relationships/hyperlink" Target="2020_03\17.03.2020\27276" TargetMode="External"/><Relationship Id="rId1774" Type="http://schemas.openxmlformats.org/officeDocument/2006/relationships/hyperlink" Target="2020_04/08.04.2020/28389" TargetMode="External"/><Relationship Id="rId1981" Type="http://schemas.openxmlformats.org/officeDocument/2006/relationships/hyperlink" Target="2020_05/21.05.2020/46837" TargetMode="External"/><Relationship Id="rId2618" Type="http://schemas.openxmlformats.org/officeDocument/2006/relationships/hyperlink" Target="2020_06/25.06.2020/77497" TargetMode="External"/><Relationship Id="rId66" Type="http://schemas.openxmlformats.org/officeDocument/2006/relationships/hyperlink" Target="https://smp.sfurf.office/sd/operator/" TargetMode="External"/><Relationship Id="rId1427" Type="http://schemas.openxmlformats.org/officeDocument/2006/relationships/hyperlink" Target="2020_03/04.03.2020/11546" TargetMode="External"/><Relationship Id="rId1634" Type="http://schemas.openxmlformats.org/officeDocument/2006/relationships/hyperlink" Target="2020_03\23.03.2020\30951" TargetMode="External"/><Relationship Id="rId1841" Type="http://schemas.openxmlformats.org/officeDocument/2006/relationships/hyperlink" Target="2020_05/14.05.2020/40923" TargetMode="External"/><Relationship Id="rId1939" Type="http://schemas.openxmlformats.org/officeDocument/2006/relationships/hyperlink" Target="2020_05/19.05.2020/34147" TargetMode="External"/><Relationship Id="rId1701" Type="http://schemas.openxmlformats.org/officeDocument/2006/relationships/hyperlink" Target="2020_03\27.03.2020\25846" TargetMode="External"/><Relationship Id="rId282" Type="http://schemas.openxmlformats.org/officeDocument/2006/relationships/hyperlink" Target="https://smp.sfurf.office/sd/operator/" TargetMode="External"/><Relationship Id="rId587" Type="http://schemas.openxmlformats.org/officeDocument/2006/relationships/hyperlink" Target="2019_12\19.12.2019\73360" TargetMode="External"/><Relationship Id="rId2170" Type="http://schemas.openxmlformats.org/officeDocument/2006/relationships/hyperlink" Target="2020_06\11.06.2020\48054" TargetMode="External"/><Relationship Id="rId2268" Type="http://schemas.openxmlformats.org/officeDocument/2006/relationships/hyperlink" Target="2020_06/16.06.2020/50808" TargetMode="External"/><Relationship Id="rId8" Type="http://schemas.openxmlformats.org/officeDocument/2006/relationships/hyperlink" Target="https://smp.sfurf.office/sd/operator/index.jsp;jsessionid=4B56FDB405CD332F2E4AE6AEC0BFEE05" TargetMode="External"/><Relationship Id="rId142" Type="http://schemas.openxmlformats.org/officeDocument/2006/relationships/hyperlink" Target="..\Users\shilyaevan\AppData\Roaming\Microsoft\Excel\2019_10\23.10.2019\32435" TargetMode="External"/><Relationship Id="rId447" Type="http://schemas.openxmlformats.org/officeDocument/2006/relationships/hyperlink" Target="https://smp.sfurf.office/sd/operator/" TargetMode="External"/><Relationship Id="rId794" Type="http://schemas.openxmlformats.org/officeDocument/2006/relationships/hyperlink" Target="2020_01\10.01.2020\81084" TargetMode="External"/><Relationship Id="rId1077" Type="http://schemas.openxmlformats.org/officeDocument/2006/relationships/hyperlink" Target="2020_01\31.01.2020\0-919" TargetMode="External"/><Relationship Id="rId2030" Type="http://schemas.openxmlformats.org/officeDocument/2006/relationships/hyperlink" Target="2020_05\25.05.2020\48057" TargetMode="External"/><Relationship Id="rId2128" Type="http://schemas.openxmlformats.org/officeDocument/2006/relationships/hyperlink" Target="2020_06\01.06.2020\61593" TargetMode="External"/><Relationship Id="rId2475" Type="http://schemas.openxmlformats.org/officeDocument/2006/relationships/hyperlink" Target="2020_06\16.06.2020\52897" TargetMode="External"/><Relationship Id="rId654" Type="http://schemas.openxmlformats.org/officeDocument/2006/relationships/hyperlink" Target="2019_12/25.12.2019/76459" TargetMode="External"/><Relationship Id="rId861" Type="http://schemas.openxmlformats.org/officeDocument/2006/relationships/hyperlink" Target="2020_01/16.01.2020/76375" TargetMode="External"/><Relationship Id="rId959" Type="http://schemas.openxmlformats.org/officeDocument/2006/relationships/hyperlink" Target="2020_01\23.01.2020\80445" TargetMode="External"/><Relationship Id="rId1284" Type="http://schemas.openxmlformats.org/officeDocument/2006/relationships/hyperlink" Target="2020_02/21.02.2020/-4977" TargetMode="External"/><Relationship Id="rId1491" Type="http://schemas.openxmlformats.org/officeDocument/2006/relationships/hyperlink" Target="2020_03\12.03.2020\16439" TargetMode="External"/><Relationship Id="rId1589" Type="http://schemas.openxmlformats.org/officeDocument/2006/relationships/hyperlink" Target="2020_03\19.03.2020\19633" TargetMode="External"/><Relationship Id="rId2335" Type="http://schemas.openxmlformats.org/officeDocument/2006/relationships/hyperlink" Target="2020_06/04.06.2020/67380" TargetMode="External"/><Relationship Id="rId2542" Type="http://schemas.openxmlformats.org/officeDocument/2006/relationships/hyperlink" Target="2020_06/16.06.2020/73750" TargetMode="External"/><Relationship Id="rId307" Type="http://schemas.openxmlformats.org/officeDocument/2006/relationships/hyperlink" Target="2019_11\29.11.2019\52571" TargetMode="External"/><Relationship Id="rId514" Type="http://schemas.openxmlformats.org/officeDocument/2006/relationships/hyperlink" Target="2019_12\16.12.2019\61737" TargetMode="External"/><Relationship Id="rId721" Type="http://schemas.openxmlformats.org/officeDocument/2006/relationships/hyperlink" Target="2019_12/31.12.2019/80031" TargetMode="External"/><Relationship Id="rId1144" Type="http://schemas.openxmlformats.org/officeDocument/2006/relationships/hyperlink" Target="2020_02\06.02.2020\88812" TargetMode="External"/><Relationship Id="rId1351" Type="http://schemas.openxmlformats.org/officeDocument/2006/relationships/hyperlink" Target="2020_02/27.02.2020/-8540" TargetMode="External"/><Relationship Id="rId1449" Type="http://schemas.openxmlformats.org/officeDocument/2006/relationships/hyperlink" Target="2020_03\05.03.2020\11996" TargetMode="External"/><Relationship Id="rId1796" Type="http://schemas.openxmlformats.org/officeDocument/2006/relationships/hyperlink" Target="2020_04/07.04.2020/27434" TargetMode="External"/><Relationship Id="rId2402" Type="http://schemas.openxmlformats.org/officeDocument/2006/relationships/hyperlink" Target="2020_06/16.06.2020/57094" TargetMode="External"/><Relationship Id="rId88" Type="http://schemas.openxmlformats.org/officeDocument/2006/relationships/hyperlink" Target="../Users/shilyaevan/AppData/Roaming/Microsoft/Excel/2019_10/16.10.2019/22638" TargetMode="External"/><Relationship Id="rId819" Type="http://schemas.openxmlformats.org/officeDocument/2006/relationships/hyperlink" Target="2020_01/14.01.2020/82895" TargetMode="External"/><Relationship Id="rId1004" Type="http://schemas.openxmlformats.org/officeDocument/2006/relationships/hyperlink" Target="2020_01\27.01.2020\82851" TargetMode="External"/><Relationship Id="rId1211" Type="http://schemas.openxmlformats.org/officeDocument/2006/relationships/hyperlink" Target="2020_02\12.02.2020\91825" TargetMode="External"/><Relationship Id="rId1656" Type="http://schemas.openxmlformats.org/officeDocument/2006/relationships/hyperlink" Target="2020_03\24.03.2020\32338" TargetMode="External"/><Relationship Id="rId1863" Type="http://schemas.openxmlformats.org/officeDocument/2006/relationships/hyperlink" Target="2020_05/14.05.2020/31016" TargetMode="External"/><Relationship Id="rId1309" Type="http://schemas.openxmlformats.org/officeDocument/2006/relationships/hyperlink" Target="2020_02/25.02.2020/15094" TargetMode="External"/><Relationship Id="rId1516" Type="http://schemas.openxmlformats.org/officeDocument/2006/relationships/hyperlink" Target="2020_03\12.03.2020\15224" TargetMode="External"/><Relationship Id="rId1723" Type="http://schemas.openxmlformats.org/officeDocument/2006/relationships/hyperlink" Target="2020_04\06.04.2020\36773" TargetMode="External"/><Relationship Id="rId1930" Type="http://schemas.openxmlformats.org/officeDocument/2006/relationships/hyperlink" Target="2020_05/19.05.2020/34291" TargetMode="External"/><Relationship Id="rId15" Type="http://schemas.openxmlformats.org/officeDocument/2006/relationships/hyperlink" Target="https://smp.sfurf.office/sd/operator/index.jsp;jsessionid=4B56FDB405CD332F2E4AE6AEC0BFEE05" TargetMode="External"/><Relationship Id="rId2192" Type="http://schemas.openxmlformats.org/officeDocument/2006/relationships/hyperlink" Target="2020_06/09.06.2020/45598" TargetMode="External"/><Relationship Id="rId164" Type="http://schemas.openxmlformats.org/officeDocument/2006/relationships/hyperlink" Target="2019_11\11.11.2019\41538" TargetMode="External"/><Relationship Id="rId371" Type="http://schemas.openxmlformats.org/officeDocument/2006/relationships/hyperlink" Target="2019_11\25.11.2019\58419" TargetMode="External"/><Relationship Id="rId2052" Type="http://schemas.openxmlformats.org/officeDocument/2006/relationships/hyperlink" Target="2020_05/21.05.2020/46465" TargetMode="External"/><Relationship Id="rId2497" Type="http://schemas.openxmlformats.org/officeDocument/2006/relationships/hyperlink" Target="2020_06\17.06.2020\74158" TargetMode="External"/><Relationship Id="rId469" Type="http://schemas.openxmlformats.org/officeDocument/2006/relationships/hyperlink" Target="2019_12\10.12.2019\67283" TargetMode="External"/><Relationship Id="rId676" Type="http://schemas.openxmlformats.org/officeDocument/2006/relationships/hyperlink" Target="2019_12/26.12.2019/77108" TargetMode="External"/><Relationship Id="rId883" Type="http://schemas.openxmlformats.org/officeDocument/2006/relationships/hyperlink" Target="2020_01/17.01.2020/85417" TargetMode="External"/><Relationship Id="rId1099" Type="http://schemas.openxmlformats.org/officeDocument/2006/relationships/hyperlink" Target="2020_02\04.02.2020\86933" TargetMode="External"/><Relationship Id="rId2357" Type="http://schemas.openxmlformats.org/officeDocument/2006/relationships/hyperlink" Target="2020_06/16.06.2020/59663" TargetMode="External"/><Relationship Id="rId2564" Type="http://schemas.openxmlformats.org/officeDocument/2006/relationships/hyperlink" Target="2020_06/23.06.2020/76939" TargetMode="External"/><Relationship Id="rId231" Type="http://schemas.openxmlformats.org/officeDocument/2006/relationships/hyperlink" Target="https://smp.sfurf.office/sd/operator/" TargetMode="External"/><Relationship Id="rId329" Type="http://schemas.openxmlformats.org/officeDocument/2006/relationships/hyperlink" Target="2019_12\04.12.2019\55619" TargetMode="External"/><Relationship Id="rId536" Type="http://schemas.openxmlformats.org/officeDocument/2006/relationships/hyperlink" Target="2019_12\17.12.2019\62461" TargetMode="External"/><Relationship Id="rId1166" Type="http://schemas.openxmlformats.org/officeDocument/2006/relationships/hyperlink" Target="2020_02\07.02.2020\-5154" TargetMode="External"/><Relationship Id="rId1373" Type="http://schemas.openxmlformats.org/officeDocument/2006/relationships/hyperlink" Target="2020_02/28.02.2020/17456" TargetMode="External"/><Relationship Id="rId2217" Type="http://schemas.openxmlformats.org/officeDocument/2006/relationships/hyperlink" Target="2020_06/02.06.2020/66357" TargetMode="External"/><Relationship Id="rId743" Type="http://schemas.openxmlformats.org/officeDocument/2006/relationships/hyperlink" Target="2019_12\31.12.2019\70896" TargetMode="External"/><Relationship Id="rId950" Type="http://schemas.openxmlformats.org/officeDocument/2006/relationships/hyperlink" Target="2020_01\22.01.2020\87766" TargetMode="External"/><Relationship Id="rId1026" Type="http://schemas.openxmlformats.org/officeDocument/2006/relationships/hyperlink" Target="2020_01\29.01.2020\83308" TargetMode="External"/><Relationship Id="rId1580" Type="http://schemas.openxmlformats.org/officeDocument/2006/relationships/hyperlink" Target="2020_03\18.03.2020\19363" TargetMode="External"/><Relationship Id="rId1678" Type="http://schemas.openxmlformats.org/officeDocument/2006/relationships/hyperlink" Target="2020_03\25.03.2020\33449" TargetMode="External"/><Relationship Id="rId1885" Type="http://schemas.openxmlformats.org/officeDocument/2006/relationships/hyperlink" Target="2020_05\15.05.2020\41502" TargetMode="External"/><Relationship Id="rId2424" Type="http://schemas.openxmlformats.org/officeDocument/2006/relationships/hyperlink" Target="2020_06/16.06.2020/61576" TargetMode="External"/><Relationship Id="rId2631" Type="http://schemas.openxmlformats.org/officeDocument/2006/relationships/hyperlink" Target="2020_06/26.06.2020/70541" TargetMode="External"/><Relationship Id="rId603" Type="http://schemas.openxmlformats.org/officeDocument/2006/relationships/hyperlink" Target="2019_12\23.12.2019\74592" TargetMode="External"/><Relationship Id="rId810" Type="http://schemas.openxmlformats.org/officeDocument/2006/relationships/hyperlink" Target="2020_01\13.01.2020\82960" TargetMode="External"/><Relationship Id="rId908" Type="http://schemas.openxmlformats.org/officeDocument/2006/relationships/hyperlink" Target="2020_01/21.01.2020/79044" TargetMode="External"/><Relationship Id="rId1233" Type="http://schemas.openxmlformats.org/officeDocument/2006/relationships/hyperlink" Target="2020_02\12.02.2020\-8339" TargetMode="External"/><Relationship Id="rId1440" Type="http://schemas.openxmlformats.org/officeDocument/2006/relationships/hyperlink" Target="2020_03\05.03.2020\12602" TargetMode="External"/><Relationship Id="rId1538" Type="http://schemas.openxmlformats.org/officeDocument/2006/relationships/hyperlink" Target="2020_03\16.03.2020\17371" TargetMode="External"/><Relationship Id="rId1300" Type="http://schemas.openxmlformats.org/officeDocument/2006/relationships/hyperlink" Target="2020_02/25.02.2020/-6431" TargetMode="External"/><Relationship Id="rId1745" Type="http://schemas.openxmlformats.org/officeDocument/2006/relationships/hyperlink" Target="2020_04/07.04.2020/27007" TargetMode="External"/><Relationship Id="rId1952" Type="http://schemas.openxmlformats.org/officeDocument/2006/relationships/hyperlink" Target="2020_05/20.05.2020/44238" TargetMode="External"/><Relationship Id="rId37" Type="http://schemas.openxmlformats.org/officeDocument/2006/relationships/hyperlink" Target="https://smp.sfurf.office/sd/operator/" TargetMode="External"/><Relationship Id="rId1605" Type="http://schemas.openxmlformats.org/officeDocument/2006/relationships/hyperlink" Target="2020_03/19.03.2020/28529" TargetMode="External"/><Relationship Id="rId1812" Type="http://schemas.openxmlformats.org/officeDocument/2006/relationships/hyperlink" Target="2020_05/13.05.2020/30387" TargetMode="External"/><Relationship Id="rId186" Type="http://schemas.openxmlformats.org/officeDocument/2006/relationships/hyperlink" Target="https://smp.sfurf.office/sd/operator/index.jsp;jsessionid=4B56FDB405CD332F2E4AE6AEC0BFEE05" TargetMode="External"/><Relationship Id="rId393" Type="http://schemas.openxmlformats.org/officeDocument/2006/relationships/hyperlink" Target="2019_11\28.11.2019\60339" TargetMode="External"/><Relationship Id="rId2074" Type="http://schemas.openxmlformats.org/officeDocument/2006/relationships/hyperlink" Target="2020_06/01.06.2020/59650" TargetMode="External"/><Relationship Id="rId2281" Type="http://schemas.openxmlformats.org/officeDocument/2006/relationships/hyperlink" Target="2020_06/16.06.2020/52630" TargetMode="External"/><Relationship Id="rId253" Type="http://schemas.openxmlformats.org/officeDocument/2006/relationships/hyperlink" Target="2019_11\18.11.2019\44902" TargetMode="External"/><Relationship Id="rId460" Type="http://schemas.openxmlformats.org/officeDocument/2006/relationships/hyperlink" Target="2019_12\09.12.2019\66336" TargetMode="External"/><Relationship Id="rId698" Type="http://schemas.openxmlformats.org/officeDocument/2006/relationships/hyperlink" Target="2019_12/27.12.2019/70085" TargetMode="External"/><Relationship Id="rId1090" Type="http://schemas.openxmlformats.org/officeDocument/2006/relationships/hyperlink" Target="2020_02\03.02.2020\87086" TargetMode="External"/><Relationship Id="rId2141" Type="http://schemas.openxmlformats.org/officeDocument/2006/relationships/hyperlink" Target="2020_06/09.06.2020/45088" TargetMode="External"/><Relationship Id="rId2379" Type="http://schemas.openxmlformats.org/officeDocument/2006/relationships/hyperlink" Target="2020_06\09.06.2020\69441" TargetMode="External"/><Relationship Id="rId2586" Type="http://schemas.openxmlformats.org/officeDocument/2006/relationships/hyperlink" Target="2020_06/23.06.2020/55952" TargetMode="External"/><Relationship Id="rId113" Type="http://schemas.openxmlformats.org/officeDocument/2006/relationships/hyperlink" Target="https://smp.sfurf.office/sd/operator/index.jsp;jsessionid=4B56FDB405CD332F2E4AE6AEC0BFEE05" TargetMode="External"/><Relationship Id="rId320" Type="http://schemas.openxmlformats.org/officeDocument/2006/relationships/hyperlink" Target="2019_12\03.12.2019\54150" TargetMode="External"/><Relationship Id="rId558" Type="http://schemas.openxmlformats.org/officeDocument/2006/relationships/hyperlink" Target="2019_12\18.12.2019\63600" TargetMode="External"/><Relationship Id="rId765" Type="http://schemas.openxmlformats.org/officeDocument/2006/relationships/hyperlink" Target="2020_01/09.01.2020/80426" TargetMode="External"/><Relationship Id="rId972" Type="http://schemas.openxmlformats.org/officeDocument/2006/relationships/hyperlink" Target="2020_01\24.01.2020\81962" TargetMode="External"/><Relationship Id="rId1188" Type="http://schemas.openxmlformats.org/officeDocument/2006/relationships/hyperlink" Target="2020_02/11.02.2020/-8106" TargetMode="External"/><Relationship Id="rId1395" Type="http://schemas.openxmlformats.org/officeDocument/2006/relationships/hyperlink" Target="2020_03\02.03.2020\10239" TargetMode="External"/><Relationship Id="rId2001" Type="http://schemas.openxmlformats.org/officeDocument/2006/relationships/hyperlink" Target="2020_05/27.05.2020/49375" TargetMode="External"/><Relationship Id="rId2239" Type="http://schemas.openxmlformats.org/officeDocument/2006/relationships/hyperlink" Target="2020_06/01.06.2020/65125" TargetMode="External"/><Relationship Id="rId2446" Type="http://schemas.openxmlformats.org/officeDocument/2006/relationships/hyperlink" Target="2020_06/16.06.2020/65280" TargetMode="External"/><Relationship Id="rId2653" Type="http://schemas.openxmlformats.org/officeDocument/2006/relationships/hyperlink" Target="2020_06\29.06.2020\79081" TargetMode="External"/><Relationship Id="rId418" Type="http://schemas.openxmlformats.org/officeDocument/2006/relationships/hyperlink" Target="2019_12\03.12.2019\62980" TargetMode="External"/><Relationship Id="rId625" Type="http://schemas.openxmlformats.org/officeDocument/2006/relationships/hyperlink" Target="2019_12\24.12.2019\68356" TargetMode="External"/><Relationship Id="rId832" Type="http://schemas.openxmlformats.org/officeDocument/2006/relationships/hyperlink" Target="2020_01/15.01.2020/83634" TargetMode="External"/><Relationship Id="rId1048" Type="http://schemas.openxmlformats.org/officeDocument/2006/relationships/hyperlink" Target="2020_01\30.01.2020\85034" TargetMode="External"/><Relationship Id="rId1255" Type="http://schemas.openxmlformats.org/officeDocument/2006/relationships/hyperlink" Target="2020_02/19.02.2020/91660" TargetMode="External"/><Relationship Id="rId1462" Type="http://schemas.openxmlformats.org/officeDocument/2006/relationships/hyperlink" Target="2020_03/06.03.2020/13129" TargetMode="External"/><Relationship Id="rId2306" Type="http://schemas.openxmlformats.org/officeDocument/2006/relationships/hyperlink" Target="2020_06/16.06.2020/50647" TargetMode="External"/><Relationship Id="rId2513" Type="http://schemas.openxmlformats.org/officeDocument/2006/relationships/hyperlink" Target="2020_06/16.06.2020/62633" TargetMode="External"/><Relationship Id="rId1115" Type="http://schemas.openxmlformats.org/officeDocument/2006/relationships/hyperlink" Target="2020_02\05.02.2020\87427" TargetMode="External"/><Relationship Id="rId1322" Type="http://schemas.openxmlformats.org/officeDocument/2006/relationships/hyperlink" Target="2020_02/26.02.2020/-7120" TargetMode="External"/><Relationship Id="rId1767" Type="http://schemas.openxmlformats.org/officeDocument/2006/relationships/hyperlink" Target="2020_04\08.04.2020\19283" TargetMode="External"/><Relationship Id="rId1974" Type="http://schemas.openxmlformats.org/officeDocument/2006/relationships/hyperlink" Target="2020_05\22.05.2020\36549" TargetMode="External"/><Relationship Id="rId59" Type="http://schemas.openxmlformats.org/officeDocument/2006/relationships/hyperlink" Target="https://smp.sfurf.office/sd/operator/" TargetMode="External"/><Relationship Id="rId1627" Type="http://schemas.openxmlformats.org/officeDocument/2006/relationships/hyperlink" Target="2020_03\23.03.2020\31455" TargetMode="External"/><Relationship Id="rId1834" Type="http://schemas.openxmlformats.org/officeDocument/2006/relationships/hyperlink" Target="2020_05\13.05.2020\39537" TargetMode="External"/><Relationship Id="rId2096" Type="http://schemas.openxmlformats.org/officeDocument/2006/relationships/hyperlink" Target="2020_06/05.06.2020/43135" TargetMode="External"/><Relationship Id="rId1901" Type="http://schemas.openxmlformats.org/officeDocument/2006/relationships/hyperlink" Target="2020_05/18.05.2020/42460" TargetMode="External"/><Relationship Id="rId275" Type="http://schemas.openxmlformats.org/officeDocument/2006/relationships/hyperlink" Target="2019_11\08.11.2019\48833" TargetMode="External"/><Relationship Id="rId482" Type="http://schemas.openxmlformats.org/officeDocument/2006/relationships/hyperlink" Target="2019_12\11.12.2019\68548" TargetMode="External"/><Relationship Id="rId2163" Type="http://schemas.openxmlformats.org/officeDocument/2006/relationships/hyperlink" Target="2020_06/03.06.2020/42945" TargetMode="External"/><Relationship Id="rId2370" Type="http://schemas.openxmlformats.org/officeDocument/2006/relationships/hyperlink" Target="2020_06\09.06.2020\70502" TargetMode="External"/><Relationship Id="rId135" Type="http://schemas.openxmlformats.org/officeDocument/2006/relationships/hyperlink" Target="2019_11\20.11.2019\32531" TargetMode="External"/><Relationship Id="rId342" Type="http://schemas.openxmlformats.org/officeDocument/2006/relationships/hyperlink" Target="https://smp.sfurf.office/sd/operator/" TargetMode="External"/><Relationship Id="rId787" Type="http://schemas.openxmlformats.org/officeDocument/2006/relationships/hyperlink" Target="2020_01/10.01.2020/73338" TargetMode="External"/><Relationship Id="rId994" Type="http://schemas.openxmlformats.org/officeDocument/2006/relationships/hyperlink" Target="2020_01\27.01.2020\89974" TargetMode="External"/><Relationship Id="rId2023" Type="http://schemas.openxmlformats.org/officeDocument/2006/relationships/hyperlink" Target="2020_05/22.05.2020/46274" TargetMode="External"/><Relationship Id="rId2230" Type="http://schemas.openxmlformats.org/officeDocument/2006/relationships/hyperlink" Target="2020_06/11.06.2020/47097" TargetMode="External"/><Relationship Id="rId2468" Type="http://schemas.openxmlformats.org/officeDocument/2006/relationships/hyperlink" Target="2020_06/16.06.2020/60871" TargetMode="External"/><Relationship Id="rId2675" Type="http://schemas.openxmlformats.org/officeDocument/2006/relationships/hyperlink" Target="2020_07/02.07.2020/73147" TargetMode="External"/><Relationship Id="rId202" Type="http://schemas.openxmlformats.org/officeDocument/2006/relationships/hyperlink" Target="2019_10\10.10.2019\26025" TargetMode="External"/><Relationship Id="rId647" Type="http://schemas.openxmlformats.org/officeDocument/2006/relationships/hyperlink" Target="2019_12/25.12.2019/76887" TargetMode="External"/><Relationship Id="rId854" Type="http://schemas.openxmlformats.org/officeDocument/2006/relationships/hyperlink" Target="2020_01\15.01.2020\83906" TargetMode="External"/><Relationship Id="rId1277" Type="http://schemas.openxmlformats.org/officeDocument/2006/relationships/hyperlink" Target="2020_02\20.02.2020\-3966" TargetMode="External"/><Relationship Id="rId1484" Type="http://schemas.openxmlformats.org/officeDocument/2006/relationships/hyperlink" Target="2020_03/11.03.2020/14332" TargetMode="External"/><Relationship Id="rId1691" Type="http://schemas.openxmlformats.org/officeDocument/2006/relationships/hyperlink" Target="2020_03/25.03.2020/32456" TargetMode="External"/><Relationship Id="rId2328" Type="http://schemas.openxmlformats.org/officeDocument/2006/relationships/hyperlink" Target="2020_06\16.06.2020\54874" TargetMode="External"/><Relationship Id="rId2535" Type="http://schemas.openxmlformats.org/officeDocument/2006/relationships/hyperlink" Target="2020_06/16.06.2020/64780" TargetMode="External"/><Relationship Id="rId507" Type="http://schemas.openxmlformats.org/officeDocument/2006/relationships/hyperlink" Target="2019_12\13.12.2019\60598" TargetMode="External"/><Relationship Id="rId714" Type="http://schemas.openxmlformats.org/officeDocument/2006/relationships/hyperlink" Target="2019_12/30.12.2019/70619" TargetMode="External"/><Relationship Id="rId921" Type="http://schemas.openxmlformats.org/officeDocument/2006/relationships/hyperlink" Target="2020_01\21.01.2020\86479" TargetMode="External"/><Relationship Id="rId1137" Type="http://schemas.openxmlformats.org/officeDocument/2006/relationships/hyperlink" Target="2020_02\06.02.2020\-4348" TargetMode="External"/><Relationship Id="rId1344" Type="http://schemas.openxmlformats.org/officeDocument/2006/relationships/hyperlink" Target="2020_02\27.02.2020\16278" TargetMode="External"/><Relationship Id="rId1551" Type="http://schemas.openxmlformats.org/officeDocument/2006/relationships/hyperlink" Target="2020_03/16.03.2020/26141" TargetMode="External"/><Relationship Id="rId1789" Type="http://schemas.openxmlformats.org/officeDocument/2006/relationships/hyperlink" Target="2020_04\09.04.2020\39326" TargetMode="External"/><Relationship Id="rId1996" Type="http://schemas.openxmlformats.org/officeDocument/2006/relationships/hyperlink" Target="2020_05\25.05.2020\33213" TargetMode="External"/><Relationship Id="rId2602" Type="http://schemas.openxmlformats.org/officeDocument/2006/relationships/hyperlink" Target="2020_06/25.06.2020/70225" TargetMode="External"/><Relationship Id="rId50" Type="http://schemas.openxmlformats.org/officeDocument/2006/relationships/hyperlink" Target="https://smp.sfurf.office/sd/operator/" TargetMode="External"/><Relationship Id="rId1204" Type="http://schemas.openxmlformats.org/officeDocument/2006/relationships/hyperlink" Target="2020_02\11.02.2020\-6912" TargetMode="External"/><Relationship Id="rId1411" Type="http://schemas.openxmlformats.org/officeDocument/2006/relationships/hyperlink" Target="2020_03/03.03.2020/19104" TargetMode="External"/><Relationship Id="rId1649" Type="http://schemas.openxmlformats.org/officeDocument/2006/relationships/hyperlink" Target="2020_03\24.03.2020\32016" TargetMode="External"/><Relationship Id="rId1856" Type="http://schemas.openxmlformats.org/officeDocument/2006/relationships/hyperlink" Target="2020_05/19.05.2020/43942" TargetMode="External"/><Relationship Id="rId1509" Type="http://schemas.openxmlformats.org/officeDocument/2006/relationships/hyperlink" Target="2020_03/12.03.2020/-7500" TargetMode="External"/><Relationship Id="rId1716" Type="http://schemas.openxmlformats.org/officeDocument/2006/relationships/hyperlink" Target="2020_03\27.03.2020\34996" TargetMode="External"/><Relationship Id="rId1923" Type="http://schemas.openxmlformats.org/officeDocument/2006/relationships/hyperlink" Target="2020_05/21.05.2020/45086" TargetMode="External"/><Relationship Id="rId297" Type="http://schemas.openxmlformats.org/officeDocument/2006/relationships/hyperlink" Target="2019_11\14.11.2019\51370" TargetMode="External"/><Relationship Id="rId2185" Type="http://schemas.openxmlformats.org/officeDocument/2006/relationships/hyperlink" Target="2020_06/08.06.2020/45105" TargetMode="External"/><Relationship Id="rId2392" Type="http://schemas.openxmlformats.org/officeDocument/2006/relationships/hyperlink" Target="2020_06/08.06.2020/68401" TargetMode="External"/><Relationship Id="rId157" Type="http://schemas.openxmlformats.org/officeDocument/2006/relationships/hyperlink" Target="2019_10\24.10.2019\40767" TargetMode="External"/><Relationship Id="rId364" Type="http://schemas.openxmlformats.org/officeDocument/2006/relationships/hyperlink" Target="https://smp.sfurf.office/sd/operator/" TargetMode="External"/><Relationship Id="rId2045" Type="http://schemas.openxmlformats.org/officeDocument/2006/relationships/hyperlink" Target="2020_05/21.05.2020/46195" TargetMode="External"/><Relationship Id="rId571" Type="http://schemas.openxmlformats.org/officeDocument/2006/relationships/hyperlink" Target="2019_12/18.12.2019/72900" TargetMode="External"/><Relationship Id="rId669" Type="http://schemas.openxmlformats.org/officeDocument/2006/relationships/hyperlink" Target="2019_12/26.12.2019/55760" TargetMode="External"/><Relationship Id="rId876" Type="http://schemas.openxmlformats.org/officeDocument/2006/relationships/hyperlink" Target="2020_01\16.01.2020\84488" TargetMode="External"/><Relationship Id="rId1299" Type="http://schemas.openxmlformats.org/officeDocument/2006/relationships/hyperlink" Target="2020_02\21.02.2020\13901" TargetMode="External"/><Relationship Id="rId2252" Type="http://schemas.openxmlformats.org/officeDocument/2006/relationships/hyperlink" Target="2020_06/02.06.2020/65780" TargetMode="External"/><Relationship Id="rId2557" Type="http://schemas.openxmlformats.org/officeDocument/2006/relationships/hyperlink" Target="2020_06/22.06.2020/75467" TargetMode="External"/><Relationship Id="rId224" Type="http://schemas.openxmlformats.org/officeDocument/2006/relationships/hyperlink" Target="2019_10\07.10.2019\17626" TargetMode="External"/><Relationship Id="rId431" Type="http://schemas.openxmlformats.org/officeDocument/2006/relationships/hyperlink" Target="https://smp.sfurf.office/sd/operator/" TargetMode="External"/><Relationship Id="rId529" Type="http://schemas.openxmlformats.org/officeDocument/2006/relationships/hyperlink" Target="2019_12/16.12.2019/70087" TargetMode="External"/><Relationship Id="rId736" Type="http://schemas.openxmlformats.org/officeDocument/2006/relationships/hyperlink" Target="2019_12/31.12.2019/79596" TargetMode="External"/><Relationship Id="rId1061" Type="http://schemas.openxmlformats.org/officeDocument/2006/relationships/hyperlink" Target="2020_01\31.01.2020\85558" TargetMode="External"/><Relationship Id="rId1159" Type="http://schemas.openxmlformats.org/officeDocument/2006/relationships/hyperlink" Target="2020_02\12.02.2020\-8165" TargetMode="External"/><Relationship Id="rId1366" Type="http://schemas.openxmlformats.org/officeDocument/2006/relationships/hyperlink" Target="2020_02\28.02.2020\-9689" TargetMode="External"/><Relationship Id="rId2112" Type="http://schemas.openxmlformats.org/officeDocument/2006/relationships/hyperlink" Target="2020_06\01.06.2020\51103" TargetMode="External"/><Relationship Id="rId2417" Type="http://schemas.openxmlformats.org/officeDocument/2006/relationships/hyperlink" Target="2020_06\16.06.2020\62312" TargetMode="External"/><Relationship Id="rId943" Type="http://schemas.openxmlformats.org/officeDocument/2006/relationships/hyperlink" Target="2020_01/22.01.2020/79903" TargetMode="External"/><Relationship Id="rId1019" Type="http://schemas.openxmlformats.org/officeDocument/2006/relationships/hyperlink" Target="2020_01/28.01.2020/82974" TargetMode="External"/><Relationship Id="rId1573" Type="http://schemas.openxmlformats.org/officeDocument/2006/relationships/hyperlink" Target="2020_03\18.03.2020\28365" TargetMode="External"/><Relationship Id="rId1780" Type="http://schemas.openxmlformats.org/officeDocument/2006/relationships/hyperlink" Target="2020_04\08.04.2020\27991" TargetMode="External"/><Relationship Id="rId1878" Type="http://schemas.openxmlformats.org/officeDocument/2006/relationships/hyperlink" Target="2020_05\14.05.2020\30979" TargetMode="External"/><Relationship Id="rId2624" Type="http://schemas.openxmlformats.org/officeDocument/2006/relationships/hyperlink" Target="2020_06/26.06.2020/70847" TargetMode="External"/><Relationship Id="rId72" Type="http://schemas.openxmlformats.org/officeDocument/2006/relationships/hyperlink" Target="https://smp.sfurf.office/sd/operator/index.jsp;jsessionid=4B56FDB405CD332F2E4AE6AEC0BFEE05" TargetMode="External"/><Relationship Id="rId803" Type="http://schemas.openxmlformats.org/officeDocument/2006/relationships/hyperlink" Target="2020_01/13.01.2020/82286" TargetMode="External"/><Relationship Id="rId1226" Type="http://schemas.openxmlformats.org/officeDocument/2006/relationships/hyperlink" Target="2020_02/12.02.2020/91852" TargetMode="External"/><Relationship Id="rId1433" Type="http://schemas.openxmlformats.org/officeDocument/2006/relationships/hyperlink" Target="2020_03\04.03.2020\20380" TargetMode="External"/><Relationship Id="rId1640" Type="http://schemas.openxmlformats.org/officeDocument/2006/relationships/hyperlink" Target="2020_03\23.03.2020\22697" TargetMode="External"/><Relationship Id="rId1738" Type="http://schemas.openxmlformats.org/officeDocument/2006/relationships/hyperlink" Target="2020_04/06.04.2020/26304" TargetMode="External"/><Relationship Id="rId1500" Type="http://schemas.openxmlformats.org/officeDocument/2006/relationships/hyperlink" Target="2020_03/10.03.2020/23088" TargetMode="External"/><Relationship Id="rId1945" Type="http://schemas.openxmlformats.org/officeDocument/2006/relationships/hyperlink" Target="2020_05/20.05.2020/45166" TargetMode="External"/><Relationship Id="rId1805" Type="http://schemas.openxmlformats.org/officeDocument/2006/relationships/hyperlink" Target="2020_05/12.05.2020/38597" TargetMode="External"/><Relationship Id="rId179" Type="http://schemas.openxmlformats.org/officeDocument/2006/relationships/hyperlink" Target="2019_11\12.11.2019\42131" TargetMode="External"/><Relationship Id="rId386" Type="http://schemas.openxmlformats.org/officeDocument/2006/relationships/hyperlink" Target="https://smp.sfurf.office/sd/operator/" TargetMode="External"/><Relationship Id="rId593" Type="http://schemas.openxmlformats.org/officeDocument/2006/relationships/hyperlink" Target="2019_12\20.12.2019\74332" TargetMode="External"/><Relationship Id="rId2067" Type="http://schemas.openxmlformats.org/officeDocument/2006/relationships/hyperlink" Target="2020_06/01.06.2020/59556" TargetMode="External"/><Relationship Id="rId2274" Type="http://schemas.openxmlformats.org/officeDocument/2006/relationships/hyperlink" Target="2020_06\16.06.2020\58170" TargetMode="External"/><Relationship Id="rId2481" Type="http://schemas.openxmlformats.org/officeDocument/2006/relationships/hyperlink" Target="2020_06/16.06.2020/51062" TargetMode="External"/><Relationship Id="rId246" Type="http://schemas.openxmlformats.org/officeDocument/2006/relationships/hyperlink" Target="https://smp.sfurf.office/sd/operator/" TargetMode="External"/><Relationship Id="rId453" Type="http://schemas.openxmlformats.org/officeDocument/2006/relationships/hyperlink" Target="https://smp.sfurf.office/sd/operator/index.jsp;jsessionid=4B56FDB405CD332F2E4AE6AEC0BFEE05" TargetMode="External"/><Relationship Id="rId660" Type="http://schemas.openxmlformats.org/officeDocument/2006/relationships/hyperlink" Target="2019_12/25.12.2019/68967" TargetMode="External"/><Relationship Id="rId898" Type="http://schemas.openxmlformats.org/officeDocument/2006/relationships/hyperlink" Target="2020_01\20.01.2020\73712" TargetMode="External"/><Relationship Id="rId1083" Type="http://schemas.openxmlformats.org/officeDocument/2006/relationships/hyperlink" Target="2020_02\03.02.2020\-1665" TargetMode="External"/><Relationship Id="rId1290" Type="http://schemas.openxmlformats.org/officeDocument/2006/relationships/hyperlink" Target="2020_02/21.02.2020/-5755" TargetMode="External"/><Relationship Id="rId2134" Type="http://schemas.openxmlformats.org/officeDocument/2006/relationships/hyperlink" Target="2020_06/01.06.2020/63264" TargetMode="External"/><Relationship Id="rId2341" Type="http://schemas.openxmlformats.org/officeDocument/2006/relationships/hyperlink" Target="2020_06\16.06.2020\60870" TargetMode="External"/><Relationship Id="rId2579" Type="http://schemas.openxmlformats.org/officeDocument/2006/relationships/hyperlink" Target="2020_06/23.06.2020/64324" TargetMode="External"/><Relationship Id="rId106" Type="http://schemas.openxmlformats.org/officeDocument/2006/relationships/hyperlink" Target="..\Users\shilyaevan\AppData\Roaming\Microsoft\Excel\2019_10\18.10.2019\37747" TargetMode="External"/><Relationship Id="rId313" Type="http://schemas.openxmlformats.org/officeDocument/2006/relationships/hyperlink" Target="https://smp.sfurf.office/sd/operator/index.jsp;jsessionid=4B56FDB405CD332F2E4AE6AEC0BFEE05" TargetMode="External"/><Relationship Id="rId758" Type="http://schemas.openxmlformats.org/officeDocument/2006/relationships/hyperlink" Target="2019_12/31.12.2019/80331" TargetMode="External"/><Relationship Id="rId965" Type="http://schemas.openxmlformats.org/officeDocument/2006/relationships/hyperlink" Target="2020_01/22.01.2020/88640" TargetMode="External"/><Relationship Id="rId1150" Type="http://schemas.openxmlformats.org/officeDocument/2006/relationships/hyperlink" Target="2020_02\07.02.2020\89636" TargetMode="External"/><Relationship Id="rId1388" Type="http://schemas.openxmlformats.org/officeDocument/2006/relationships/hyperlink" Target="2020_03\02.03.2020\18177" TargetMode="External"/><Relationship Id="rId1595" Type="http://schemas.openxmlformats.org/officeDocument/2006/relationships/hyperlink" Target="2020_03\19.03.2020\28662" TargetMode="External"/><Relationship Id="rId2439" Type="http://schemas.openxmlformats.org/officeDocument/2006/relationships/hyperlink" Target="2020_06\16.06.2020\54757" TargetMode="External"/><Relationship Id="rId2646" Type="http://schemas.openxmlformats.org/officeDocument/2006/relationships/hyperlink" Target="2020_06/29.06.2020/78627" TargetMode="External"/><Relationship Id="rId94" Type="http://schemas.openxmlformats.org/officeDocument/2006/relationships/hyperlink" Target="..\Users\shilyaevan\AppData\Roaming\Microsoft\Excel\2019_10\17.10.2019\37189" TargetMode="External"/><Relationship Id="rId520" Type="http://schemas.openxmlformats.org/officeDocument/2006/relationships/hyperlink" Target="2019_12\16.12.2019\71719" TargetMode="External"/><Relationship Id="rId618" Type="http://schemas.openxmlformats.org/officeDocument/2006/relationships/hyperlink" Target="2019_12/23.12.2019/66274" TargetMode="External"/><Relationship Id="rId825" Type="http://schemas.openxmlformats.org/officeDocument/2006/relationships/hyperlink" Target="2020_01\14.01.2020\74506" TargetMode="External"/><Relationship Id="rId1248" Type="http://schemas.openxmlformats.org/officeDocument/2006/relationships/hyperlink" Target="2020_02/18.02.2020/-2642" TargetMode="External"/><Relationship Id="rId1455" Type="http://schemas.openxmlformats.org/officeDocument/2006/relationships/hyperlink" Target="2020_03/05.03.2020/12287" TargetMode="External"/><Relationship Id="rId1662" Type="http://schemas.openxmlformats.org/officeDocument/2006/relationships/hyperlink" Target="2020_03\24.03.2020\32474" TargetMode="External"/><Relationship Id="rId2201" Type="http://schemas.openxmlformats.org/officeDocument/2006/relationships/hyperlink" Target="2020_06\16.06.2020\48882" TargetMode="External"/><Relationship Id="rId2506" Type="http://schemas.openxmlformats.org/officeDocument/2006/relationships/hyperlink" Target="2020_06\18.06.2020\66581" TargetMode="External"/><Relationship Id="rId1010" Type="http://schemas.openxmlformats.org/officeDocument/2006/relationships/hyperlink" Target="2020_01\28.01.2020\90491" TargetMode="External"/><Relationship Id="rId1108" Type="http://schemas.openxmlformats.org/officeDocument/2006/relationships/hyperlink" Target="2020_02/04.02.2020/86995" TargetMode="External"/><Relationship Id="rId1315" Type="http://schemas.openxmlformats.org/officeDocument/2006/relationships/hyperlink" Target="2020_02/25.02.2020/15584" TargetMode="External"/><Relationship Id="rId1967" Type="http://schemas.openxmlformats.org/officeDocument/2006/relationships/hyperlink" Target="2020_05\21.05.2020\36423" TargetMode="External"/><Relationship Id="rId1522" Type="http://schemas.openxmlformats.org/officeDocument/2006/relationships/hyperlink" Target="2020_03/13.03.2020/17364" TargetMode="External"/><Relationship Id="rId21" Type="http://schemas.openxmlformats.org/officeDocument/2006/relationships/hyperlink" Target="https://smp.sfurf.office/sd/operator/index.jsp;jsessionid=4B56FDB405CD332F2E4AE6AEC0BFEE05" TargetMode="External"/><Relationship Id="rId2089" Type="http://schemas.openxmlformats.org/officeDocument/2006/relationships/hyperlink" Target="2020_06/01.06.2020/60451" TargetMode="External"/><Relationship Id="rId2296" Type="http://schemas.openxmlformats.org/officeDocument/2006/relationships/hyperlink" Target="2020_06/08.06.2020/68665" TargetMode="External"/><Relationship Id="rId268" Type="http://schemas.openxmlformats.org/officeDocument/2006/relationships/hyperlink" Target="2019_11\07.11.2019\47531" TargetMode="External"/><Relationship Id="rId475" Type="http://schemas.openxmlformats.org/officeDocument/2006/relationships/hyperlink" Target="2019_12\11.12.2019\59775" TargetMode="External"/><Relationship Id="rId682" Type="http://schemas.openxmlformats.org/officeDocument/2006/relationships/hyperlink" Target="2019_12/26.12.2019/77100" TargetMode="External"/><Relationship Id="rId2156" Type="http://schemas.openxmlformats.org/officeDocument/2006/relationships/hyperlink" Target="2020_06/15.06.2020/49561" TargetMode="External"/><Relationship Id="rId2363" Type="http://schemas.openxmlformats.org/officeDocument/2006/relationships/hyperlink" Target="2020_06\16.06.2020\56667" TargetMode="External"/><Relationship Id="rId2570" Type="http://schemas.openxmlformats.org/officeDocument/2006/relationships/hyperlink" Target="2020_06/23.06.2020/76814" TargetMode="External"/><Relationship Id="rId128" Type="http://schemas.openxmlformats.org/officeDocument/2006/relationships/hyperlink" Target="2019_10\21.10.2019\38722" TargetMode="External"/><Relationship Id="rId335" Type="http://schemas.openxmlformats.org/officeDocument/2006/relationships/hyperlink" Target="2019_11\22.11.2019\56289" TargetMode="External"/><Relationship Id="rId542" Type="http://schemas.openxmlformats.org/officeDocument/2006/relationships/hyperlink" Target="2019_12\17.12.2019\71892" TargetMode="External"/><Relationship Id="rId1172" Type="http://schemas.openxmlformats.org/officeDocument/2006/relationships/hyperlink" Target="2020_02\11.02.2020\90485" TargetMode="External"/><Relationship Id="rId2016" Type="http://schemas.openxmlformats.org/officeDocument/2006/relationships/hyperlink" Target="2020_05\26.05.2020\49302" TargetMode="External"/><Relationship Id="rId2223" Type="http://schemas.openxmlformats.org/officeDocument/2006/relationships/hyperlink" Target="2020_06\10.06.2020\46348" TargetMode="External"/><Relationship Id="rId2430" Type="http://schemas.openxmlformats.org/officeDocument/2006/relationships/hyperlink" Target="2020_06/16.06.2020/60666" TargetMode="External"/><Relationship Id="rId402" Type="http://schemas.openxmlformats.org/officeDocument/2006/relationships/hyperlink" Target="2019_11\27.11.2019\50215" TargetMode="External"/><Relationship Id="rId1032" Type="http://schemas.openxmlformats.org/officeDocument/2006/relationships/hyperlink" Target="2020_01/29.01.2020/84596" TargetMode="External"/><Relationship Id="rId1989" Type="http://schemas.openxmlformats.org/officeDocument/2006/relationships/hyperlink" Target="2020_05/19.05.2020/43475" TargetMode="External"/><Relationship Id="rId1849" Type="http://schemas.openxmlformats.org/officeDocument/2006/relationships/hyperlink" Target="2020_05/15.05.2020/32147" TargetMode="External"/><Relationship Id="rId192" Type="http://schemas.openxmlformats.org/officeDocument/2006/relationships/hyperlink" Target="2019_11\27.11.2019\42971" TargetMode="External"/><Relationship Id="rId1709" Type="http://schemas.openxmlformats.org/officeDocument/2006/relationships/hyperlink" Target="2020_03\27.03.2020\25621" TargetMode="External"/><Relationship Id="rId1916" Type="http://schemas.openxmlformats.org/officeDocument/2006/relationships/hyperlink" Target="2020_05/19.05.2020/43461" TargetMode="External"/><Relationship Id="rId2080" Type="http://schemas.openxmlformats.org/officeDocument/2006/relationships/hyperlink" Target="2020_06\01.06.2020\62325" TargetMode="External"/><Relationship Id="rId869" Type="http://schemas.openxmlformats.org/officeDocument/2006/relationships/hyperlink" Target="2020_01\16.01.2020\76463" TargetMode="External"/><Relationship Id="rId1499" Type="http://schemas.openxmlformats.org/officeDocument/2006/relationships/hyperlink" Target="2020_03/11.03.2020/14887" TargetMode="External"/><Relationship Id="rId729" Type="http://schemas.openxmlformats.org/officeDocument/2006/relationships/hyperlink" Target="2019_12/30.12.2019/71068" TargetMode="External"/><Relationship Id="rId1359" Type="http://schemas.openxmlformats.org/officeDocument/2006/relationships/hyperlink" Target="2020_02\27.02.2020\-8685" TargetMode="External"/><Relationship Id="rId936" Type="http://schemas.openxmlformats.org/officeDocument/2006/relationships/hyperlink" Target="2020_01\22.01.2020\87436" TargetMode="External"/><Relationship Id="rId1219" Type="http://schemas.openxmlformats.org/officeDocument/2006/relationships/hyperlink" Target="2020_02/11.02.2020/-6453" TargetMode="External"/><Relationship Id="rId1566" Type="http://schemas.openxmlformats.org/officeDocument/2006/relationships/hyperlink" Target="2020_03\17.03.2020\27207" TargetMode="External"/><Relationship Id="rId1773" Type="http://schemas.openxmlformats.org/officeDocument/2006/relationships/hyperlink" Target="2020_04/08.04.2020/28382" TargetMode="External"/><Relationship Id="rId1980" Type="http://schemas.openxmlformats.org/officeDocument/2006/relationships/hyperlink" Target="2020_05\21.05.2020\45575" TargetMode="External"/><Relationship Id="rId2617" Type="http://schemas.openxmlformats.org/officeDocument/2006/relationships/hyperlink" Target="2020_06/25.06.2020/69350" TargetMode="External"/><Relationship Id="rId65" Type="http://schemas.openxmlformats.org/officeDocument/2006/relationships/hyperlink" Target="https://smp.sfurf.office/sd/operator/" TargetMode="External"/><Relationship Id="rId1426" Type="http://schemas.openxmlformats.org/officeDocument/2006/relationships/hyperlink" Target="2020_03/04.03.2020/11136" TargetMode="External"/><Relationship Id="rId1633" Type="http://schemas.openxmlformats.org/officeDocument/2006/relationships/hyperlink" Target="2020_03\23.03.2020\30825" TargetMode="External"/><Relationship Id="rId1840" Type="http://schemas.openxmlformats.org/officeDocument/2006/relationships/hyperlink" Target="2020_05/14.05.2020/41358" TargetMode="External"/><Relationship Id="rId1700" Type="http://schemas.openxmlformats.org/officeDocument/2006/relationships/hyperlink" Target="2020_03/27.03.2020/25404" TargetMode="External"/><Relationship Id="rId379" Type="http://schemas.openxmlformats.org/officeDocument/2006/relationships/hyperlink" Target="2019_11\26.11.2019\57831" TargetMode="External"/><Relationship Id="rId586" Type="http://schemas.openxmlformats.org/officeDocument/2006/relationships/hyperlink" Target="2019_12\19.12.2019\73318" TargetMode="External"/><Relationship Id="rId793" Type="http://schemas.openxmlformats.org/officeDocument/2006/relationships/hyperlink" Target="2020_01/10.01.2020/73368" TargetMode="External"/><Relationship Id="rId2267" Type="http://schemas.openxmlformats.org/officeDocument/2006/relationships/hyperlink" Target="2020_06/16.06.2020/52371" TargetMode="External"/><Relationship Id="rId2474" Type="http://schemas.openxmlformats.org/officeDocument/2006/relationships/hyperlink" Target="2020_06/16.06.2020/65725" TargetMode="External"/><Relationship Id="rId239" Type="http://schemas.openxmlformats.org/officeDocument/2006/relationships/hyperlink" Target="https://smp.sfurf.office/sd/operator/" TargetMode="External"/><Relationship Id="rId446" Type="http://schemas.openxmlformats.org/officeDocument/2006/relationships/hyperlink" Target="https://smp.sfurf.office/sd/operator/" TargetMode="External"/><Relationship Id="rId653" Type="http://schemas.openxmlformats.org/officeDocument/2006/relationships/hyperlink" Target="2019_12\25.12.2019\68075" TargetMode="External"/><Relationship Id="rId1076" Type="http://schemas.openxmlformats.org/officeDocument/2006/relationships/hyperlink" Target="2020_02\03.02.2020\-1836" TargetMode="External"/><Relationship Id="rId1283" Type="http://schemas.openxmlformats.org/officeDocument/2006/relationships/hyperlink" Target="2020_02/21.02.2020/-4976" TargetMode="External"/><Relationship Id="rId1490" Type="http://schemas.openxmlformats.org/officeDocument/2006/relationships/hyperlink" Target="2020_03\12.03.2020\15743" TargetMode="External"/><Relationship Id="rId2127" Type="http://schemas.openxmlformats.org/officeDocument/2006/relationships/hyperlink" Target="2020_05\27.05.2020\47027" TargetMode="External"/><Relationship Id="rId2334" Type="http://schemas.openxmlformats.org/officeDocument/2006/relationships/hyperlink" Target="2020_06\03.06.2020\66752" TargetMode="External"/><Relationship Id="rId306" Type="http://schemas.openxmlformats.org/officeDocument/2006/relationships/hyperlink" Target="2019_11\15.11.2019\52556" TargetMode="External"/><Relationship Id="rId860" Type="http://schemas.openxmlformats.org/officeDocument/2006/relationships/hyperlink" Target="2020_01/16.01.2020/85428" TargetMode="External"/><Relationship Id="rId1143" Type="http://schemas.openxmlformats.org/officeDocument/2006/relationships/hyperlink" Target="2020_02\06.02.2020\88811" TargetMode="External"/><Relationship Id="rId2541" Type="http://schemas.openxmlformats.org/officeDocument/2006/relationships/hyperlink" Target="2020_06/11.06.2020/71846" TargetMode="External"/><Relationship Id="rId513" Type="http://schemas.openxmlformats.org/officeDocument/2006/relationships/hyperlink" Target="2019_12/16.12.2019/57025" TargetMode="External"/><Relationship Id="rId720" Type="http://schemas.openxmlformats.org/officeDocument/2006/relationships/hyperlink" Target="2019_12/31.12.2019/80041" TargetMode="External"/><Relationship Id="rId1350" Type="http://schemas.openxmlformats.org/officeDocument/2006/relationships/hyperlink" Target="2020_02/27.02.2020/-8530" TargetMode="External"/><Relationship Id="rId2401" Type="http://schemas.openxmlformats.org/officeDocument/2006/relationships/hyperlink" Target="2020_06\16.06.2020\56763" TargetMode="External"/><Relationship Id="rId1003" Type="http://schemas.openxmlformats.org/officeDocument/2006/relationships/hyperlink" Target="2020_01/27.01.2020/83190" TargetMode="External"/><Relationship Id="rId1210" Type="http://schemas.openxmlformats.org/officeDocument/2006/relationships/hyperlink" Target="2020_02/11.02.2020/-7623" TargetMode="External"/><Relationship Id="rId2191" Type="http://schemas.openxmlformats.org/officeDocument/2006/relationships/hyperlink" Target="2020_06/09.06.2020/46672" TargetMode="External"/><Relationship Id="rId163" Type="http://schemas.openxmlformats.org/officeDocument/2006/relationships/hyperlink" Target="2019_11\11.11.2019\41539" TargetMode="External"/><Relationship Id="rId370" Type="http://schemas.openxmlformats.org/officeDocument/2006/relationships/hyperlink" Target="2019_11\25.11.2019\58341" TargetMode="External"/><Relationship Id="rId2051" Type="http://schemas.openxmlformats.org/officeDocument/2006/relationships/hyperlink" Target="2020_05/27.05.2020/50569" TargetMode="External"/><Relationship Id="rId230" Type="http://schemas.openxmlformats.org/officeDocument/2006/relationships/hyperlink" Target="https://smp.sfurf.office/sd/operator/" TargetMode="External"/><Relationship Id="rId1677" Type="http://schemas.openxmlformats.org/officeDocument/2006/relationships/hyperlink" Target="2020_03/25.03.2020/33392" TargetMode="External"/><Relationship Id="rId1884" Type="http://schemas.openxmlformats.org/officeDocument/2006/relationships/hyperlink" Target="2020_05/15.05.2020/32097" TargetMode="External"/><Relationship Id="rId907" Type="http://schemas.openxmlformats.org/officeDocument/2006/relationships/hyperlink" Target="2020_01/20.01.2020/78179" TargetMode="External"/><Relationship Id="rId1537" Type="http://schemas.openxmlformats.org/officeDocument/2006/relationships/hyperlink" Target="2020_03\13.03.2020\25577" TargetMode="External"/><Relationship Id="rId1744" Type="http://schemas.openxmlformats.org/officeDocument/2006/relationships/hyperlink" Target="2020_04\07.04.2020\27877" TargetMode="External"/><Relationship Id="rId1951" Type="http://schemas.openxmlformats.org/officeDocument/2006/relationships/hyperlink" Target="2020_05\20.05.2020\35805" TargetMode="External"/><Relationship Id="rId36" Type="http://schemas.openxmlformats.org/officeDocument/2006/relationships/hyperlink" Target="https://smp.sfurf.office/sd/operator/" TargetMode="External"/><Relationship Id="rId1604" Type="http://schemas.openxmlformats.org/officeDocument/2006/relationships/hyperlink" Target="2020_03/19.03.2020/20546" TargetMode="External"/><Relationship Id="rId1811" Type="http://schemas.openxmlformats.org/officeDocument/2006/relationships/hyperlink" Target="2020_05/08.05.2020/38887" TargetMode="External"/><Relationship Id="rId697" Type="http://schemas.openxmlformats.org/officeDocument/2006/relationships/hyperlink" Target="2019_12/27.12.2019/77545" TargetMode="External"/><Relationship Id="rId2378" Type="http://schemas.openxmlformats.org/officeDocument/2006/relationships/hyperlink" Target="2020_06\16.06.2020\59659" TargetMode="External"/><Relationship Id="rId1187" Type="http://schemas.openxmlformats.org/officeDocument/2006/relationships/hyperlink" Target="2020_02/11.02.2020/-8067" TargetMode="External"/><Relationship Id="rId2585" Type="http://schemas.openxmlformats.org/officeDocument/2006/relationships/hyperlink" Target="2020_06/23.06.2020/76206" TargetMode="External"/><Relationship Id="rId557" Type="http://schemas.openxmlformats.org/officeDocument/2006/relationships/hyperlink" Target="2019_12\18.12.2019\63593" TargetMode="External"/><Relationship Id="rId764" Type="http://schemas.openxmlformats.org/officeDocument/2006/relationships/hyperlink" Target="2020_01\09.01.2020\80427" TargetMode="External"/><Relationship Id="rId971" Type="http://schemas.openxmlformats.org/officeDocument/2006/relationships/hyperlink" Target="2020_01/24.01.2020/81937" TargetMode="External"/><Relationship Id="rId1394" Type="http://schemas.openxmlformats.org/officeDocument/2006/relationships/hyperlink" Target="2020_03\02.03.2020\10174" TargetMode="External"/><Relationship Id="rId2238" Type="http://schemas.openxmlformats.org/officeDocument/2006/relationships/hyperlink" Target="2020_06\03.06.2020\66688" TargetMode="External"/><Relationship Id="rId2445" Type="http://schemas.openxmlformats.org/officeDocument/2006/relationships/hyperlink" Target="2020_06/16.06.2020/65439" TargetMode="External"/><Relationship Id="rId2652" Type="http://schemas.openxmlformats.org/officeDocument/2006/relationships/hyperlink" Target="2020_06\29.06.2020\72113" TargetMode="External"/><Relationship Id="rId417" Type="http://schemas.openxmlformats.org/officeDocument/2006/relationships/hyperlink" Target="2019_12\02.12.2019\61506" TargetMode="External"/><Relationship Id="rId624" Type="http://schemas.openxmlformats.org/officeDocument/2006/relationships/hyperlink" Target="2019_12\24.12.2019\67016" TargetMode="External"/><Relationship Id="rId831" Type="http://schemas.openxmlformats.org/officeDocument/2006/relationships/hyperlink" Target="2020_01/15.01.2020/75453" TargetMode="External"/><Relationship Id="rId1047" Type="http://schemas.openxmlformats.org/officeDocument/2006/relationships/hyperlink" Target="2020_01\30.01.2020\85032" TargetMode="External"/><Relationship Id="rId1254" Type="http://schemas.openxmlformats.org/officeDocument/2006/relationships/hyperlink" Target="2020_02/19.02.2020/-4263" TargetMode="External"/><Relationship Id="rId1461" Type="http://schemas.openxmlformats.org/officeDocument/2006/relationships/hyperlink" Target="2020_03/06.03.2020/13408" TargetMode="External"/><Relationship Id="rId2305" Type="http://schemas.openxmlformats.org/officeDocument/2006/relationships/hyperlink" Target="2020_06/16.06.2020/61575" TargetMode="External"/><Relationship Id="rId2512" Type="http://schemas.openxmlformats.org/officeDocument/2006/relationships/hyperlink" Target="2020_06/16.06.2020/62635" TargetMode="External"/><Relationship Id="rId1114" Type="http://schemas.openxmlformats.org/officeDocument/2006/relationships/hyperlink" Target="2020_02/04.02.2020/-2457" TargetMode="External"/><Relationship Id="rId1321" Type="http://schemas.openxmlformats.org/officeDocument/2006/relationships/hyperlink" Target="2020_02\26.02.2020\-7611" TargetMode="External"/><Relationship Id="rId2095" Type="http://schemas.openxmlformats.org/officeDocument/2006/relationships/hyperlink" Target="2020_06\01.06.2020\61558" TargetMode="External"/><Relationship Id="rId274" Type="http://schemas.openxmlformats.org/officeDocument/2006/relationships/hyperlink" Target="2019_11\08.11.2019\48715" TargetMode="External"/><Relationship Id="rId481" Type="http://schemas.openxmlformats.org/officeDocument/2006/relationships/hyperlink" Target="2019_12/11.12.2019/68473" TargetMode="External"/><Relationship Id="rId2162" Type="http://schemas.openxmlformats.org/officeDocument/2006/relationships/hyperlink" Target="2020_06/04.06.2020/42634" TargetMode="External"/><Relationship Id="rId134" Type="http://schemas.openxmlformats.org/officeDocument/2006/relationships/hyperlink" Target="2019_11\06.11.2019\32569" TargetMode="External"/><Relationship Id="rId341" Type="http://schemas.openxmlformats.org/officeDocument/2006/relationships/hyperlink" Target="https://smp.sfurf.office/sd/operator/" TargetMode="External"/><Relationship Id="rId2022" Type="http://schemas.openxmlformats.org/officeDocument/2006/relationships/hyperlink" Target="2020_05/27.05.2020/39822" TargetMode="External"/><Relationship Id="rId201" Type="http://schemas.openxmlformats.org/officeDocument/2006/relationships/hyperlink" Target="2019_10\15.10.2019\35398" TargetMode="External"/><Relationship Id="rId1788" Type="http://schemas.openxmlformats.org/officeDocument/2006/relationships/hyperlink" Target="2020_04\09.04.2020\38442" TargetMode="External"/><Relationship Id="rId1995" Type="http://schemas.openxmlformats.org/officeDocument/2006/relationships/hyperlink" Target="2020_05/25.05.2020/48387" TargetMode="External"/><Relationship Id="rId1648" Type="http://schemas.openxmlformats.org/officeDocument/2006/relationships/hyperlink" Target="2020_03\24.03.2020\23172" TargetMode="External"/><Relationship Id="rId1508" Type="http://schemas.openxmlformats.org/officeDocument/2006/relationships/hyperlink" Target="2020_03/11.03.2020/14693" TargetMode="External"/><Relationship Id="rId1855" Type="http://schemas.openxmlformats.org/officeDocument/2006/relationships/hyperlink" Target="2020_05\13.05.2020\29607" TargetMode="External"/><Relationship Id="rId1715" Type="http://schemas.openxmlformats.org/officeDocument/2006/relationships/hyperlink" Target="2020_03\27.03.2020\34891" TargetMode="External"/><Relationship Id="rId1922" Type="http://schemas.openxmlformats.org/officeDocument/2006/relationships/hyperlink" Target="2020_05/21.05.2020/36302" TargetMode="External"/><Relationship Id="rId2489" Type="http://schemas.openxmlformats.org/officeDocument/2006/relationships/hyperlink" Target="2020_06\16.06.2020\73301" TargetMode="External"/><Relationship Id="rId668" Type="http://schemas.openxmlformats.org/officeDocument/2006/relationships/hyperlink" Target="2019_12/26.12.2019/69250" TargetMode="External"/><Relationship Id="rId875" Type="http://schemas.openxmlformats.org/officeDocument/2006/relationships/hyperlink" Target="2020_01/16.01.2020/84486" TargetMode="External"/><Relationship Id="rId1298" Type="http://schemas.openxmlformats.org/officeDocument/2006/relationships/hyperlink" Target="2020_02\21.02.2020\-4871" TargetMode="External"/><Relationship Id="rId2349" Type="http://schemas.openxmlformats.org/officeDocument/2006/relationships/hyperlink" Target="2020_06/10.06.2020/70450" TargetMode="External"/><Relationship Id="rId2556" Type="http://schemas.openxmlformats.org/officeDocument/2006/relationships/hyperlink" Target="2020_06/22.06.2020/68257" TargetMode="External"/><Relationship Id="rId528" Type="http://schemas.openxmlformats.org/officeDocument/2006/relationships/hyperlink" Target="2019_12\16.12.2019\70080" TargetMode="External"/><Relationship Id="rId735" Type="http://schemas.openxmlformats.org/officeDocument/2006/relationships/hyperlink" Target="2019_12/31.12.2019/72185" TargetMode="External"/><Relationship Id="rId942" Type="http://schemas.openxmlformats.org/officeDocument/2006/relationships/hyperlink" Target="2020_01\22.01.2020\87759" TargetMode="External"/><Relationship Id="rId1158" Type="http://schemas.openxmlformats.org/officeDocument/2006/relationships/hyperlink" Target="2020_02\12.02.2020\91775" TargetMode="External"/><Relationship Id="rId1365" Type="http://schemas.openxmlformats.org/officeDocument/2006/relationships/hyperlink" Target="2020_02\28.02.2020\-9834" TargetMode="External"/><Relationship Id="rId1572" Type="http://schemas.openxmlformats.org/officeDocument/2006/relationships/hyperlink" Target="2020_03\18.03.2020\28165" TargetMode="External"/><Relationship Id="rId2209" Type="http://schemas.openxmlformats.org/officeDocument/2006/relationships/hyperlink" Target="2020_06/11.06.2020/47630" TargetMode="External"/><Relationship Id="rId2416" Type="http://schemas.openxmlformats.org/officeDocument/2006/relationships/hyperlink" Target="2020_06/11.06.2020/71909" TargetMode="External"/><Relationship Id="rId2623" Type="http://schemas.openxmlformats.org/officeDocument/2006/relationships/hyperlink" Target="2020_06/26.06.2020/70895" TargetMode="External"/><Relationship Id="rId1018" Type="http://schemas.openxmlformats.org/officeDocument/2006/relationships/hyperlink" Target="2020_01\28.01.2020\90815" TargetMode="External"/><Relationship Id="rId1225" Type="http://schemas.openxmlformats.org/officeDocument/2006/relationships/hyperlink" Target="2020_02\12.02.2020\91185" TargetMode="External"/><Relationship Id="rId1432" Type="http://schemas.openxmlformats.org/officeDocument/2006/relationships/hyperlink" Target="2020_03\04.03.2020\12026" TargetMode="External"/><Relationship Id="rId71" Type="http://schemas.openxmlformats.org/officeDocument/2006/relationships/hyperlink" Target="https://smp.sfurf.office/sd/operator/index.jsp;jsessionid=4B56FDB405CD332F2E4AE6AEC0BFEE05" TargetMode="External"/><Relationship Id="rId802" Type="http://schemas.openxmlformats.org/officeDocument/2006/relationships/hyperlink" Target="2020_01/13.01.2020/74132" TargetMode="External"/><Relationship Id="rId178" Type="http://schemas.openxmlformats.org/officeDocument/2006/relationships/hyperlink" Target="2019_10\28.10.2019\34683" TargetMode="External"/><Relationship Id="rId385" Type="http://schemas.openxmlformats.org/officeDocument/2006/relationships/hyperlink" Target="2019_11\27.11.2019\60319" TargetMode="External"/><Relationship Id="rId592" Type="http://schemas.openxmlformats.org/officeDocument/2006/relationships/hyperlink" Target="2019_12\20.12.2019\65914" TargetMode="External"/><Relationship Id="rId2066" Type="http://schemas.openxmlformats.org/officeDocument/2006/relationships/hyperlink" Target="2020_05/27.05.2020/50206" TargetMode="External"/><Relationship Id="rId2273" Type="http://schemas.openxmlformats.org/officeDocument/2006/relationships/hyperlink" Target="2020_06/16.06.2020/59638" TargetMode="External"/><Relationship Id="rId2480" Type="http://schemas.openxmlformats.org/officeDocument/2006/relationships/hyperlink" Target="2020_06\16.06.2020\51573" TargetMode="External"/><Relationship Id="rId245" Type="http://schemas.openxmlformats.org/officeDocument/2006/relationships/hyperlink" Target="https://smp.sfurf.office/sd/operator/" TargetMode="External"/><Relationship Id="rId452" Type="http://schemas.openxmlformats.org/officeDocument/2006/relationships/hyperlink" Target="https://smp.sfurf.office/sd/operator/" TargetMode="External"/><Relationship Id="rId1082" Type="http://schemas.openxmlformats.org/officeDocument/2006/relationships/hyperlink" Target="2020_02\03.02.2020\86059" TargetMode="External"/><Relationship Id="rId2133" Type="http://schemas.openxmlformats.org/officeDocument/2006/relationships/hyperlink" Target="2020_06/01.06.2020/52553" TargetMode="External"/><Relationship Id="rId2340" Type="http://schemas.openxmlformats.org/officeDocument/2006/relationships/hyperlink" Target="2020_06/16.06.2020/59653" TargetMode="External"/><Relationship Id="rId105" Type="http://schemas.openxmlformats.org/officeDocument/2006/relationships/hyperlink" Target="2019_11\01.11.2019\37843" TargetMode="External"/><Relationship Id="rId312" Type="http://schemas.openxmlformats.org/officeDocument/2006/relationships/hyperlink" Target="2019_11\15.11.2019\55592" TargetMode="External"/><Relationship Id="rId2200" Type="http://schemas.openxmlformats.org/officeDocument/2006/relationships/hyperlink" Target="2020_06/16.06.2020/48966" TargetMode="External"/><Relationship Id="rId1899" Type="http://schemas.openxmlformats.org/officeDocument/2006/relationships/hyperlink" Target="2020_05/18.05.2020/33288" TargetMode="External"/><Relationship Id="rId1759" Type="http://schemas.openxmlformats.org/officeDocument/2006/relationships/hyperlink" Target="2020_04/07.04.2020/27707" TargetMode="External"/><Relationship Id="rId1966" Type="http://schemas.openxmlformats.org/officeDocument/2006/relationships/hyperlink" Target="2020_05/18.05.2020/33479" TargetMode="External"/><Relationship Id="rId1619" Type="http://schemas.openxmlformats.org/officeDocument/2006/relationships/hyperlink" Target="2020_03\23.03.2020\22878" TargetMode="External"/><Relationship Id="rId1826" Type="http://schemas.openxmlformats.org/officeDocument/2006/relationships/hyperlink" Target="2020_05/13.05.2020/39809" TargetMode="External"/><Relationship Id="rId779" Type="http://schemas.openxmlformats.org/officeDocument/2006/relationships/hyperlink" Target="2020_01/09.01.2020/80453" TargetMode="External"/><Relationship Id="rId986" Type="http://schemas.openxmlformats.org/officeDocument/2006/relationships/hyperlink" Target="2020_01/24.01.2020/89630" TargetMode="External"/><Relationship Id="rId2667" Type="http://schemas.openxmlformats.org/officeDocument/2006/relationships/hyperlink" Target="2020_07/02.07.2020/73151" TargetMode="External"/><Relationship Id="rId639" Type="http://schemas.openxmlformats.org/officeDocument/2006/relationships/hyperlink" Target="2019_12/24.12.2019/67151" TargetMode="External"/><Relationship Id="rId1269" Type="http://schemas.openxmlformats.org/officeDocument/2006/relationships/hyperlink" Target="2020_02/20.02.2020/12601" TargetMode="External"/><Relationship Id="rId1476" Type="http://schemas.openxmlformats.org/officeDocument/2006/relationships/hyperlink" Target="2020_03\10.03.2020\14120" TargetMode="External"/><Relationship Id="rId846" Type="http://schemas.openxmlformats.org/officeDocument/2006/relationships/hyperlink" Target="2020_01/15.01.2020/83757" TargetMode="External"/><Relationship Id="rId1129" Type="http://schemas.openxmlformats.org/officeDocument/2006/relationships/hyperlink" Target="2020_02/05.02.2020/-3503" TargetMode="External"/><Relationship Id="rId1683" Type="http://schemas.openxmlformats.org/officeDocument/2006/relationships/hyperlink" Target="2020_03\26.03.2020\34351" TargetMode="External"/><Relationship Id="rId1890" Type="http://schemas.openxmlformats.org/officeDocument/2006/relationships/hyperlink" Target="2020_05/15.05.2020/31510" TargetMode="External"/><Relationship Id="rId2527" Type="http://schemas.openxmlformats.org/officeDocument/2006/relationships/hyperlink" Target="2020_06/18.06.2020/74402" TargetMode="External"/><Relationship Id="rId706" Type="http://schemas.openxmlformats.org/officeDocument/2006/relationships/hyperlink" Target="2019_12\30.12.2019\70444" TargetMode="External"/><Relationship Id="rId913" Type="http://schemas.openxmlformats.org/officeDocument/2006/relationships/hyperlink" Target="2020_01/20.01.2020/86131" TargetMode="External"/><Relationship Id="rId1336" Type="http://schemas.openxmlformats.org/officeDocument/2006/relationships/hyperlink" Target="2020_02\26.02.2020\-7249" TargetMode="External"/><Relationship Id="rId1543" Type="http://schemas.openxmlformats.org/officeDocument/2006/relationships/hyperlink" Target="2020_03\16.03.2020\17668" TargetMode="External"/><Relationship Id="rId1750" Type="http://schemas.openxmlformats.org/officeDocument/2006/relationships/hyperlink" Target="2020_04\07.04.2020\27772" TargetMode="External"/><Relationship Id="rId42" Type="http://schemas.openxmlformats.org/officeDocument/2006/relationships/hyperlink" Target="https://smp.sfurf.office/sd/operator/" TargetMode="External"/><Relationship Id="rId1403" Type="http://schemas.openxmlformats.org/officeDocument/2006/relationships/hyperlink" Target="2020_03\03.03.2020\-2466" TargetMode="External"/><Relationship Id="rId1610" Type="http://schemas.openxmlformats.org/officeDocument/2006/relationships/hyperlink" Target="2020_03\20.03.2020\21808" TargetMode="External"/><Relationship Id="rId289" Type="http://schemas.openxmlformats.org/officeDocument/2006/relationships/hyperlink" Target="2019_11\26.11.2019\50089" TargetMode="External"/><Relationship Id="rId496" Type="http://schemas.openxmlformats.org/officeDocument/2006/relationships/hyperlink" Target="2019_12\12.12.2019\60346" TargetMode="External"/><Relationship Id="rId2177" Type="http://schemas.openxmlformats.org/officeDocument/2006/relationships/hyperlink" Target="2020_06/05.06.2020/43611" TargetMode="External"/><Relationship Id="rId2384" Type="http://schemas.openxmlformats.org/officeDocument/2006/relationships/hyperlink" Target="2020_06/16.06.2020/56897" TargetMode="External"/><Relationship Id="rId2591" Type="http://schemas.openxmlformats.org/officeDocument/2006/relationships/hyperlink" Target="2020_06\23.06.2020\49262" TargetMode="External"/><Relationship Id="rId149" Type="http://schemas.openxmlformats.org/officeDocument/2006/relationships/hyperlink" Target="2019_10\24.10.2019\26018" TargetMode="External"/><Relationship Id="rId356" Type="http://schemas.openxmlformats.org/officeDocument/2006/relationships/hyperlink" Target="2019_11\21.11.2019\39984" TargetMode="External"/><Relationship Id="rId563" Type="http://schemas.openxmlformats.org/officeDocument/2006/relationships/hyperlink" Target="2019_12\18.12.2019\64038" TargetMode="External"/><Relationship Id="rId770" Type="http://schemas.openxmlformats.org/officeDocument/2006/relationships/hyperlink" Target="2020_01/09.01.2020/81219" TargetMode="External"/><Relationship Id="rId1193" Type="http://schemas.openxmlformats.org/officeDocument/2006/relationships/hyperlink" Target="2020_02/11.02.2020/-8031" TargetMode="External"/><Relationship Id="rId2037" Type="http://schemas.openxmlformats.org/officeDocument/2006/relationships/hyperlink" Target="2020_05/27.05.2020/51641" TargetMode="External"/><Relationship Id="rId2244" Type="http://schemas.openxmlformats.org/officeDocument/2006/relationships/hyperlink" Target="2020_06/01.06.2020/64135" TargetMode="External"/><Relationship Id="rId2451" Type="http://schemas.openxmlformats.org/officeDocument/2006/relationships/hyperlink" Target="2020_06/16.06.2020/62932" TargetMode="External"/><Relationship Id="rId216" Type="http://schemas.openxmlformats.org/officeDocument/2006/relationships/hyperlink" Target="https://smp.sfurf.office/sd/operator/" TargetMode="External"/><Relationship Id="rId423" Type="http://schemas.openxmlformats.org/officeDocument/2006/relationships/hyperlink" Target="2019_12\04.12.2019\64007" TargetMode="External"/><Relationship Id="rId1053" Type="http://schemas.openxmlformats.org/officeDocument/2006/relationships/hyperlink" Target="2020_01\31.01.2020\85802" TargetMode="External"/><Relationship Id="rId1260" Type="http://schemas.openxmlformats.org/officeDocument/2006/relationships/hyperlink" Target="2020_02/19.02.2020/-4045" TargetMode="External"/><Relationship Id="rId2104" Type="http://schemas.openxmlformats.org/officeDocument/2006/relationships/hyperlink" Target="2020_05\28.05.2020\47198" TargetMode="External"/><Relationship Id="rId630" Type="http://schemas.openxmlformats.org/officeDocument/2006/relationships/hyperlink" Target="2019_12\24.12.2019\68112" TargetMode="External"/><Relationship Id="rId2311" Type="http://schemas.openxmlformats.org/officeDocument/2006/relationships/hyperlink" Target="2020_06/04.06.2020/67623" TargetMode="External"/><Relationship Id="rId1120" Type="http://schemas.openxmlformats.org/officeDocument/2006/relationships/hyperlink" Target="2020_02\05.02.2020\87758" TargetMode="External"/><Relationship Id="rId1937" Type="http://schemas.openxmlformats.org/officeDocument/2006/relationships/hyperlink" Target="2020_05/19.05.2020/43694" TargetMode="External"/><Relationship Id="rId280" Type="http://schemas.openxmlformats.org/officeDocument/2006/relationships/hyperlink" Target="https://smp.sfurf.office/sd/operator/" TargetMode="External"/><Relationship Id="rId140" Type="http://schemas.openxmlformats.org/officeDocument/2006/relationships/hyperlink" Target="../Users/shilyaevan/AppData/Roaming/Microsoft/Excel/2019_10/22.10.2019/39567" TargetMode="External"/><Relationship Id="rId6" Type="http://schemas.openxmlformats.org/officeDocument/2006/relationships/hyperlink" Target="https://smp.sfurf.office/sd/operator/index.jsp;jsessionid=4B56FDB405CD332F2E4AE6AEC0BFEE05" TargetMode="External"/><Relationship Id="rId957" Type="http://schemas.openxmlformats.org/officeDocument/2006/relationships/hyperlink" Target="2020_01\23.01.2020\80679" TargetMode="External"/><Relationship Id="rId1587" Type="http://schemas.openxmlformats.org/officeDocument/2006/relationships/hyperlink" Target="2020_03/18.03.2020/18991" TargetMode="External"/><Relationship Id="rId1794" Type="http://schemas.openxmlformats.org/officeDocument/2006/relationships/hyperlink" Target="2020_04\08.04.2020\37447" TargetMode="External"/><Relationship Id="rId2638" Type="http://schemas.openxmlformats.org/officeDocument/2006/relationships/hyperlink" Target="2020_06/25.06.2020/69590" TargetMode="External"/><Relationship Id="rId86" Type="http://schemas.openxmlformats.org/officeDocument/2006/relationships/hyperlink" Target="https://smp.sfurf.office/sd/operator/" TargetMode="External"/><Relationship Id="rId817" Type="http://schemas.openxmlformats.org/officeDocument/2006/relationships/hyperlink" Target="2020_01\13.01.2020\82752" TargetMode="External"/><Relationship Id="rId1447" Type="http://schemas.openxmlformats.org/officeDocument/2006/relationships/hyperlink" Target="2020_03\05.03.2020\20709" TargetMode="External"/><Relationship Id="rId1654" Type="http://schemas.openxmlformats.org/officeDocument/2006/relationships/hyperlink" Target="2020_03\24.03.2020\14146" TargetMode="External"/><Relationship Id="rId1861" Type="http://schemas.openxmlformats.org/officeDocument/2006/relationships/hyperlink" Target="2020_05\15.05.2020\41705" TargetMode="External"/><Relationship Id="rId1307" Type="http://schemas.openxmlformats.org/officeDocument/2006/relationships/hyperlink" Target="2020_02/25.02.2020/-6121" TargetMode="External"/><Relationship Id="rId1514" Type="http://schemas.openxmlformats.org/officeDocument/2006/relationships/hyperlink" Target="2020_03\12.03.2020\15605" TargetMode="External"/><Relationship Id="rId1721" Type="http://schemas.openxmlformats.org/officeDocument/2006/relationships/hyperlink" Target="2020_04\06.04.2020\35995" TargetMode="External"/><Relationship Id="rId13" Type="http://schemas.openxmlformats.org/officeDocument/2006/relationships/hyperlink" Target="https://smp.sfurf.office/sd/operator/index.jsp;jsessionid=4B56FDB405CD332F2E4AE6AEC0BFEE05" TargetMode="External"/><Relationship Id="rId2288" Type="http://schemas.openxmlformats.org/officeDocument/2006/relationships/hyperlink" Target="2020_06/04.06.2020/67330" TargetMode="External"/><Relationship Id="rId2495" Type="http://schemas.openxmlformats.org/officeDocument/2006/relationships/hyperlink" Target="2020_06/17.06.2020/74094" TargetMode="External"/><Relationship Id="rId467" Type="http://schemas.openxmlformats.org/officeDocument/2006/relationships/hyperlink" Target="2019_12\09.12.2019\58110" TargetMode="External"/><Relationship Id="rId1097" Type="http://schemas.openxmlformats.org/officeDocument/2006/relationships/hyperlink" Target="2020_02\05.02.2020\88207" TargetMode="External"/><Relationship Id="rId2148" Type="http://schemas.openxmlformats.org/officeDocument/2006/relationships/hyperlink" Target="2020_06\08.06.2020\44269" TargetMode="External"/><Relationship Id="rId674" Type="http://schemas.openxmlformats.org/officeDocument/2006/relationships/hyperlink" Target="2019_12/26.12.2019/69816" TargetMode="External"/><Relationship Id="rId881" Type="http://schemas.openxmlformats.org/officeDocument/2006/relationships/hyperlink" Target="2020_01/17.01.2020/77099" TargetMode="External"/><Relationship Id="rId2355" Type="http://schemas.openxmlformats.org/officeDocument/2006/relationships/hyperlink" Target="2020_06/16.06.2020/60889" TargetMode="External"/><Relationship Id="rId2562" Type="http://schemas.openxmlformats.org/officeDocument/2006/relationships/hyperlink" Target="2020_06\23.06.2020\69042" TargetMode="External"/><Relationship Id="rId327" Type="http://schemas.openxmlformats.org/officeDocument/2006/relationships/hyperlink" Target="2019_11\20.11.2019\55596" TargetMode="External"/><Relationship Id="rId534" Type="http://schemas.openxmlformats.org/officeDocument/2006/relationships/hyperlink" Target="2019_12\17.12.2019\62750" TargetMode="External"/><Relationship Id="rId741" Type="http://schemas.openxmlformats.org/officeDocument/2006/relationships/hyperlink" Target="2019_12/31.12.2019/80032" TargetMode="External"/><Relationship Id="rId1164" Type="http://schemas.openxmlformats.org/officeDocument/2006/relationships/hyperlink" Target="2020_02\10.02.2020\90149" TargetMode="External"/><Relationship Id="rId1371" Type="http://schemas.openxmlformats.org/officeDocument/2006/relationships/hyperlink" Target="2020_02/28.02.2020/-9170" TargetMode="External"/><Relationship Id="rId2008" Type="http://schemas.openxmlformats.org/officeDocument/2006/relationships/hyperlink" Target="2020_05/22.05.2020/36579" TargetMode="External"/><Relationship Id="rId2215" Type="http://schemas.openxmlformats.org/officeDocument/2006/relationships/hyperlink" Target="2020_06/08.06.2020/44704" TargetMode="External"/><Relationship Id="rId2422" Type="http://schemas.openxmlformats.org/officeDocument/2006/relationships/hyperlink" Target="2020_06/16.06.2020/56552" TargetMode="External"/><Relationship Id="rId601" Type="http://schemas.openxmlformats.org/officeDocument/2006/relationships/hyperlink" Target="2019_12\20.12.2019\73579" TargetMode="External"/><Relationship Id="rId1024" Type="http://schemas.openxmlformats.org/officeDocument/2006/relationships/hyperlink" Target="2020_01\29.01.2020\91853" TargetMode="External"/><Relationship Id="rId1231" Type="http://schemas.openxmlformats.org/officeDocument/2006/relationships/hyperlink" Target="2020_02/12.02.2020/-8296" TargetMode="External"/><Relationship Id="rId184" Type="http://schemas.openxmlformats.org/officeDocument/2006/relationships/hyperlink" Target="https://smp.sfurf.office/sd/operator/index.jsp;jsessionid=4B56FDB405CD332F2E4AE6AEC0BFEE05" TargetMode="External"/><Relationship Id="rId391" Type="http://schemas.openxmlformats.org/officeDocument/2006/relationships/hyperlink" Target="2019_11\28.11.2019\60330" TargetMode="External"/><Relationship Id="rId1908" Type="http://schemas.openxmlformats.org/officeDocument/2006/relationships/hyperlink" Target="2020_05\18.05.2020\32433" TargetMode="External"/><Relationship Id="rId2072" Type="http://schemas.openxmlformats.org/officeDocument/2006/relationships/hyperlink" Target="2020_06/01.06.2020/59665" TargetMode="External"/><Relationship Id="rId251" Type="http://schemas.openxmlformats.org/officeDocument/2006/relationships/hyperlink" Target="2019_11\01.11.2019\44891" TargetMode="External"/><Relationship Id="rId111" Type="http://schemas.openxmlformats.org/officeDocument/2006/relationships/hyperlink" Target="https://smp.sfurf.office/sd/operator/index.jsp;jsessionid=4B56FDB405CD332F2E4AE6AEC0BFEE05" TargetMode="External"/><Relationship Id="rId1698" Type="http://schemas.openxmlformats.org/officeDocument/2006/relationships/hyperlink" Target="2020_03\26.03.2020\34161" TargetMode="External"/><Relationship Id="rId928" Type="http://schemas.openxmlformats.org/officeDocument/2006/relationships/hyperlink" Target="2020_01/22.01.2020/79203" TargetMode="External"/><Relationship Id="rId1558" Type="http://schemas.openxmlformats.org/officeDocument/2006/relationships/hyperlink" Target="2020_03\17.03.2020\27072" TargetMode="External"/><Relationship Id="rId1765" Type="http://schemas.openxmlformats.org/officeDocument/2006/relationships/hyperlink" Target="2020_04/08.04.2020/28306" TargetMode="External"/><Relationship Id="rId2609" Type="http://schemas.openxmlformats.org/officeDocument/2006/relationships/hyperlink" Target="2020_06/25.06.2020/69312" TargetMode="External"/><Relationship Id="rId57" Type="http://schemas.openxmlformats.org/officeDocument/2006/relationships/hyperlink" Target="https://smp.sfurf.office/sd/operator/" TargetMode="External"/><Relationship Id="rId1418" Type="http://schemas.openxmlformats.org/officeDocument/2006/relationships/hyperlink" Target="2020_03/03.03.2020/10820" TargetMode="External"/><Relationship Id="rId1972" Type="http://schemas.openxmlformats.org/officeDocument/2006/relationships/hyperlink" Target="2020_05/21.05.2020/36508" TargetMode="External"/><Relationship Id="rId1625" Type="http://schemas.openxmlformats.org/officeDocument/2006/relationships/hyperlink" Target="2020_03/23.03.2020/22168" TargetMode="External"/><Relationship Id="rId1832" Type="http://schemas.openxmlformats.org/officeDocument/2006/relationships/hyperlink" Target="2020_05/12.05.2020/28781" TargetMode="External"/><Relationship Id="rId2399" Type="http://schemas.openxmlformats.org/officeDocument/2006/relationships/hyperlink" Target="2020_06/16.06.2020/55190" TargetMode="External"/><Relationship Id="rId578" Type="http://schemas.openxmlformats.org/officeDocument/2006/relationships/hyperlink" Target="2019_12\19.12.2019\73199" TargetMode="External"/><Relationship Id="rId785" Type="http://schemas.openxmlformats.org/officeDocument/2006/relationships/hyperlink" Target="2020_01\09.01.2020\80454" TargetMode="External"/><Relationship Id="rId992" Type="http://schemas.openxmlformats.org/officeDocument/2006/relationships/hyperlink" Target="2020_01\27.01.2020\82326" TargetMode="External"/><Relationship Id="rId2259" Type="http://schemas.openxmlformats.org/officeDocument/2006/relationships/hyperlink" Target="2020_06\15.06.2020\48257" TargetMode="External"/><Relationship Id="rId2466" Type="http://schemas.openxmlformats.org/officeDocument/2006/relationships/hyperlink" Target="2020_06/16.06.2020/52642" TargetMode="External"/><Relationship Id="rId2673" Type="http://schemas.openxmlformats.org/officeDocument/2006/relationships/hyperlink" Target="2020_07/02.07.2020/73292" TargetMode="External"/><Relationship Id="rId438" Type="http://schemas.openxmlformats.org/officeDocument/2006/relationships/hyperlink" Target="https://smp.sfurf.office/sd/operator/" TargetMode="External"/><Relationship Id="rId645" Type="http://schemas.openxmlformats.org/officeDocument/2006/relationships/hyperlink" Target="2019_12/24.12.2019/67950" TargetMode="External"/><Relationship Id="rId852" Type="http://schemas.openxmlformats.org/officeDocument/2006/relationships/hyperlink" Target="2020_01/15.01.2020/75547" TargetMode="External"/><Relationship Id="rId1068" Type="http://schemas.openxmlformats.org/officeDocument/2006/relationships/hyperlink" Target="2020_01\31.01.2020\0-207" TargetMode="External"/><Relationship Id="rId1275" Type="http://schemas.openxmlformats.org/officeDocument/2006/relationships/hyperlink" Target="2020_02/20.02.2020/13062" TargetMode="External"/><Relationship Id="rId1482" Type="http://schemas.openxmlformats.org/officeDocument/2006/relationships/hyperlink" Target="2020_03\10.03.2020\13717" TargetMode="External"/><Relationship Id="rId2119" Type="http://schemas.openxmlformats.org/officeDocument/2006/relationships/hyperlink" Target="2020_06/01.06.2020/60869" TargetMode="External"/><Relationship Id="rId2326" Type="http://schemas.openxmlformats.org/officeDocument/2006/relationships/hyperlink" Target="2020_06/16.06.2020/58263" TargetMode="External"/><Relationship Id="rId2533" Type="http://schemas.openxmlformats.org/officeDocument/2006/relationships/hyperlink" Target="2020_06/18.06.2020/66723" TargetMode="External"/><Relationship Id="rId505" Type="http://schemas.openxmlformats.org/officeDocument/2006/relationships/hyperlink" Target="2019_12\13.12.2019\61027" TargetMode="External"/><Relationship Id="rId712" Type="http://schemas.openxmlformats.org/officeDocument/2006/relationships/hyperlink" Target="2019_12/30.12.2019/70683" TargetMode="External"/><Relationship Id="rId1135" Type="http://schemas.openxmlformats.org/officeDocument/2006/relationships/hyperlink" Target="2020_02/06.02.2020/89371" TargetMode="External"/><Relationship Id="rId1342" Type="http://schemas.openxmlformats.org/officeDocument/2006/relationships/hyperlink" Target="2020_02/27.02.2020/-8272" TargetMode="External"/><Relationship Id="rId1202" Type="http://schemas.openxmlformats.org/officeDocument/2006/relationships/hyperlink" Target="2020_02/10.02.2020/-6171" TargetMode="External"/><Relationship Id="rId2600" Type="http://schemas.openxmlformats.org/officeDocument/2006/relationships/hyperlink" Target="2020_06/25.06.2020/69713" TargetMode="External"/><Relationship Id="rId295" Type="http://schemas.openxmlformats.org/officeDocument/2006/relationships/hyperlink" Target="2019_11\14.11.2019\36363" TargetMode="External"/><Relationship Id="rId2183" Type="http://schemas.openxmlformats.org/officeDocument/2006/relationships/hyperlink" Target="2020_06/09.06.2020/45461" TargetMode="External"/><Relationship Id="rId2390" Type="http://schemas.openxmlformats.org/officeDocument/2006/relationships/hyperlink" Target="2020_06\16.06.2020\54770" TargetMode="External"/><Relationship Id="rId155" Type="http://schemas.openxmlformats.org/officeDocument/2006/relationships/hyperlink" Target="2019_11\08.11.2019\40773" TargetMode="External"/><Relationship Id="rId362" Type="http://schemas.openxmlformats.org/officeDocument/2006/relationships/hyperlink" Target="2019_11\22.11.2019\48874" TargetMode="External"/><Relationship Id="rId2043" Type="http://schemas.openxmlformats.org/officeDocument/2006/relationships/hyperlink" Target="2020_05\25.05.2020\37291" TargetMode="External"/><Relationship Id="rId2250" Type="http://schemas.openxmlformats.org/officeDocument/2006/relationships/hyperlink" Target="2020_06/03.06.2020/66477" TargetMode="External"/><Relationship Id="rId222" Type="http://schemas.openxmlformats.org/officeDocument/2006/relationships/hyperlink" Target="https://smp.sfurf.office/sd/operator/index.jsp;jsessionid=4B56FDB405CD332F2E4AE6AEC0BFEE05" TargetMode="External"/><Relationship Id="rId2110" Type="http://schemas.openxmlformats.org/officeDocument/2006/relationships/hyperlink" Target="2020_06/16.06.2020/61570" TargetMode="External"/><Relationship Id="rId1669" Type="http://schemas.openxmlformats.org/officeDocument/2006/relationships/hyperlink" Target="2020_03\25.03.2020\32591" TargetMode="External"/><Relationship Id="rId1876" Type="http://schemas.openxmlformats.org/officeDocument/2006/relationships/hyperlink" Target="2020_05/18.05.2020/42345" TargetMode="External"/><Relationship Id="rId1529" Type="http://schemas.openxmlformats.org/officeDocument/2006/relationships/hyperlink" Target="2020_03/13.03.2020/16640" TargetMode="External"/><Relationship Id="rId1736" Type="http://schemas.openxmlformats.org/officeDocument/2006/relationships/hyperlink" Target="2020_04/06.04.2020/26757" TargetMode="External"/><Relationship Id="rId1943" Type="http://schemas.openxmlformats.org/officeDocument/2006/relationships/hyperlink" Target="2020_05/20.05.2020/44033" TargetMode="External"/><Relationship Id="rId28" Type="http://schemas.openxmlformats.org/officeDocument/2006/relationships/hyperlink" Target="https://smp.sfurf.office/sd/operator/index.jsp;jsessionid=4B56FDB405CD332F2E4AE6AEC0BFEE05" TargetMode="External"/><Relationship Id="rId1803" Type="http://schemas.openxmlformats.org/officeDocument/2006/relationships/hyperlink" Target="2020_05/08.05.2020/37284" TargetMode="External"/><Relationship Id="rId689" Type="http://schemas.openxmlformats.org/officeDocument/2006/relationships/hyperlink" Target="2019_12/26.12.2019/77071" TargetMode="External"/><Relationship Id="rId896" Type="http://schemas.openxmlformats.org/officeDocument/2006/relationships/hyperlink" Target="2020_01/17.01.2020/78245" TargetMode="External"/><Relationship Id="rId2577" Type="http://schemas.openxmlformats.org/officeDocument/2006/relationships/hyperlink" Target="2020_06/22.06.2020/67747" TargetMode="External"/><Relationship Id="rId549" Type="http://schemas.openxmlformats.org/officeDocument/2006/relationships/hyperlink" Target="2019_12\17.12.2019\62661" TargetMode="External"/><Relationship Id="rId756" Type="http://schemas.openxmlformats.org/officeDocument/2006/relationships/hyperlink" Target="2019_12\31.12.2019\79792" TargetMode="External"/><Relationship Id="rId1179" Type="http://schemas.openxmlformats.org/officeDocument/2006/relationships/hyperlink" Target="2020_02\10.02.2020\-7150" TargetMode="External"/><Relationship Id="rId1386" Type="http://schemas.openxmlformats.org/officeDocument/2006/relationships/hyperlink" Target="2020_03/02.03.2020/10088" TargetMode="External"/><Relationship Id="rId1593" Type="http://schemas.openxmlformats.org/officeDocument/2006/relationships/hyperlink" Target="2020_03\19.03.2020\19960" TargetMode="External"/><Relationship Id="rId2437" Type="http://schemas.openxmlformats.org/officeDocument/2006/relationships/hyperlink" Target="2020_06/10.06.2020/70525" TargetMode="External"/><Relationship Id="rId409" Type="http://schemas.openxmlformats.org/officeDocument/2006/relationships/hyperlink" Target="2019_11\28.11.2019\60326" TargetMode="External"/><Relationship Id="rId963" Type="http://schemas.openxmlformats.org/officeDocument/2006/relationships/hyperlink" Target="2020_01\23.01.2020\88905" TargetMode="External"/><Relationship Id="rId1039" Type="http://schemas.openxmlformats.org/officeDocument/2006/relationships/hyperlink" Target="2020_01\29.01.2020\91765" TargetMode="External"/><Relationship Id="rId1246" Type="http://schemas.openxmlformats.org/officeDocument/2006/relationships/hyperlink" Target="2020_02\18.02.2020\11347" TargetMode="External"/><Relationship Id="rId2644" Type="http://schemas.openxmlformats.org/officeDocument/2006/relationships/hyperlink" Target="2020_06/29.06.2020/78818" TargetMode="External"/><Relationship Id="rId92" Type="http://schemas.openxmlformats.org/officeDocument/2006/relationships/hyperlink" Target="2019_11\15.11.2019\37280" TargetMode="External"/><Relationship Id="rId616" Type="http://schemas.openxmlformats.org/officeDocument/2006/relationships/hyperlink" Target="2019_12\24.12.2019\67241" TargetMode="External"/><Relationship Id="rId823" Type="http://schemas.openxmlformats.org/officeDocument/2006/relationships/hyperlink" Target="2020_01/14.01.2020/74826" TargetMode="External"/><Relationship Id="rId1453" Type="http://schemas.openxmlformats.org/officeDocument/2006/relationships/hyperlink" Target="2020_03\05.03.2020\21335" TargetMode="External"/><Relationship Id="rId1660" Type="http://schemas.openxmlformats.org/officeDocument/2006/relationships/hyperlink" Target="2020_03\24.03.2020\23442" TargetMode="External"/><Relationship Id="rId2504" Type="http://schemas.openxmlformats.org/officeDocument/2006/relationships/hyperlink" Target="2020_06/17.06.2020/66365" TargetMode="External"/><Relationship Id="rId1106" Type="http://schemas.openxmlformats.org/officeDocument/2006/relationships/hyperlink" Target="2020_02\04.02.2020\-2119" TargetMode="External"/><Relationship Id="rId1313" Type="http://schemas.openxmlformats.org/officeDocument/2006/relationships/hyperlink" Target="2020_02/25.02.2020/-6176" TargetMode="External"/><Relationship Id="rId1520" Type="http://schemas.openxmlformats.org/officeDocument/2006/relationships/hyperlink" Target="2020_03\12.03.2020\24465" TargetMode="External"/><Relationship Id="rId199" Type="http://schemas.openxmlformats.org/officeDocument/2006/relationships/hyperlink" Target="2019_11\13.11.2019\43791" TargetMode="External"/><Relationship Id="rId2087" Type="http://schemas.openxmlformats.org/officeDocument/2006/relationships/hyperlink" Target="2020_06/04.06.2020/42918" TargetMode="External"/><Relationship Id="rId2294" Type="http://schemas.openxmlformats.org/officeDocument/2006/relationships/hyperlink" Target="2020_06/16.06.2020/54143" TargetMode="External"/><Relationship Id="rId266" Type="http://schemas.openxmlformats.org/officeDocument/2006/relationships/hyperlink" Target="2019_11\21.11.2019\47518" TargetMode="External"/><Relationship Id="rId473" Type="http://schemas.openxmlformats.org/officeDocument/2006/relationships/hyperlink" Target="2019_12\10.12.2019\57744" TargetMode="External"/><Relationship Id="rId680" Type="http://schemas.openxmlformats.org/officeDocument/2006/relationships/hyperlink" Target="2019_12/26.12.2019/69550" TargetMode="External"/><Relationship Id="rId2154" Type="http://schemas.openxmlformats.org/officeDocument/2006/relationships/hyperlink" Target="2020_06\01.06.2020\63959" TargetMode="External"/><Relationship Id="rId2361" Type="http://schemas.openxmlformats.org/officeDocument/2006/relationships/hyperlink" Target="2020_06\04.06.2020\67731" TargetMode="External"/><Relationship Id="rId126" Type="http://schemas.openxmlformats.org/officeDocument/2006/relationships/hyperlink" Target="https://smp.sfurf.office/sd/operator/index.jsp;jsessionid=4B56FDB405CD332F2E4AE6AEC0BFEE05" TargetMode="External"/><Relationship Id="rId333" Type="http://schemas.openxmlformats.org/officeDocument/2006/relationships/hyperlink" Target="2019_12\05.12.2019\56286" TargetMode="External"/><Relationship Id="rId540" Type="http://schemas.openxmlformats.org/officeDocument/2006/relationships/hyperlink" Target="2019_12\17.12.2019\62804" TargetMode="External"/><Relationship Id="rId1170" Type="http://schemas.openxmlformats.org/officeDocument/2006/relationships/hyperlink" Target="2020_02\11.02.2020\83850" TargetMode="External"/><Relationship Id="rId2014" Type="http://schemas.openxmlformats.org/officeDocument/2006/relationships/hyperlink" Target="2020_05/25.05.2020/36990" TargetMode="External"/><Relationship Id="rId2221" Type="http://schemas.openxmlformats.org/officeDocument/2006/relationships/hyperlink" Target="2020_06/02.06.2020/66822" TargetMode="External"/><Relationship Id="rId1030" Type="http://schemas.openxmlformats.org/officeDocument/2006/relationships/hyperlink" Target="2020_01\29.01.2020\91533" TargetMode="External"/><Relationship Id="rId400" Type="http://schemas.openxmlformats.org/officeDocument/2006/relationships/hyperlink" Target="2019_11\29.11.2019\61003" TargetMode="External"/><Relationship Id="rId1987" Type="http://schemas.openxmlformats.org/officeDocument/2006/relationships/hyperlink" Target="2020_05/21.05.2020/36941" TargetMode="External"/><Relationship Id="rId1847" Type="http://schemas.openxmlformats.org/officeDocument/2006/relationships/hyperlink" Target="2020_03/25.03.2020/33156" TargetMode="External"/><Relationship Id="rId1707" Type="http://schemas.openxmlformats.org/officeDocument/2006/relationships/hyperlink" Target="2020_03\27.03.2020\25176" TargetMode="External"/><Relationship Id="rId190" Type="http://schemas.openxmlformats.org/officeDocument/2006/relationships/hyperlink" Target="2019_10\29.10.2019\35540" TargetMode="External"/><Relationship Id="rId1914" Type="http://schemas.openxmlformats.org/officeDocument/2006/relationships/hyperlink" Target="2020_05/19.05.2020/43447" TargetMode="External"/><Relationship Id="rId867" Type="http://schemas.openxmlformats.org/officeDocument/2006/relationships/hyperlink" Target="2020_01/16.01.2020/76634" TargetMode="External"/><Relationship Id="rId1497" Type="http://schemas.openxmlformats.org/officeDocument/2006/relationships/hyperlink" Target="2020_03/11.03.2020/14909" TargetMode="External"/><Relationship Id="rId2548" Type="http://schemas.openxmlformats.org/officeDocument/2006/relationships/hyperlink" Target="2020_06/19.06.2020/67740" TargetMode="External"/><Relationship Id="rId727" Type="http://schemas.openxmlformats.org/officeDocument/2006/relationships/hyperlink" Target="2019_12/30.12.2019/79853" TargetMode="External"/><Relationship Id="rId934" Type="http://schemas.openxmlformats.org/officeDocument/2006/relationships/hyperlink" Target="2020_01/22.01.2020/79461" TargetMode="External"/><Relationship Id="rId1357" Type="http://schemas.openxmlformats.org/officeDocument/2006/relationships/hyperlink" Target="2020_02\27.02.2020\-8338" TargetMode="External"/><Relationship Id="rId1564" Type="http://schemas.openxmlformats.org/officeDocument/2006/relationships/hyperlink" Target="2020_03\17.03.2020\27009" TargetMode="External"/><Relationship Id="rId1771" Type="http://schemas.openxmlformats.org/officeDocument/2006/relationships/hyperlink" Target="2020_04\08.04.2020\38407" TargetMode="External"/><Relationship Id="rId2408" Type="http://schemas.openxmlformats.org/officeDocument/2006/relationships/hyperlink" Target="2020_06/16.06.2020/54766" TargetMode="External"/><Relationship Id="rId2615" Type="http://schemas.openxmlformats.org/officeDocument/2006/relationships/hyperlink" Target="2020_06/25.06.2020/69777" TargetMode="External"/><Relationship Id="rId63" Type="http://schemas.openxmlformats.org/officeDocument/2006/relationships/hyperlink" Target="https://smp.sfurf.office/sd/operator/" TargetMode="External"/><Relationship Id="rId1217" Type="http://schemas.openxmlformats.org/officeDocument/2006/relationships/hyperlink" Target="2020_02/12.02.2020/91012" TargetMode="External"/><Relationship Id="rId1424" Type="http://schemas.openxmlformats.org/officeDocument/2006/relationships/hyperlink" Target="2020_03/04.03.2020/19888" TargetMode="External"/><Relationship Id="rId1631" Type="http://schemas.openxmlformats.org/officeDocument/2006/relationships/hyperlink" Target="2020_03\23.03.2020\30647" TargetMode="External"/><Relationship Id="rId2198" Type="http://schemas.openxmlformats.org/officeDocument/2006/relationships/hyperlink" Target="2020_06\16.06.2020\49289" TargetMode="External"/><Relationship Id="rId377" Type="http://schemas.openxmlformats.org/officeDocument/2006/relationships/hyperlink" Target="https://smp.sfurf.office/sd/operator/" TargetMode="External"/><Relationship Id="rId584" Type="http://schemas.openxmlformats.org/officeDocument/2006/relationships/hyperlink" Target="2019_12\19.12.2019\73081" TargetMode="External"/><Relationship Id="rId2058" Type="http://schemas.openxmlformats.org/officeDocument/2006/relationships/hyperlink" Target="2020_05/27.05.2020/50558" TargetMode="External"/><Relationship Id="rId2265" Type="http://schemas.openxmlformats.org/officeDocument/2006/relationships/hyperlink" Target="2020_06/16.06.2020/56968" TargetMode="External"/><Relationship Id="rId237" Type="http://schemas.openxmlformats.org/officeDocument/2006/relationships/hyperlink" Target="https://smp.sfurf.office/sd/operator/" TargetMode="External"/><Relationship Id="rId791" Type="http://schemas.openxmlformats.org/officeDocument/2006/relationships/hyperlink" Target="2020_01/10.01.2020/73748" TargetMode="External"/><Relationship Id="rId1074" Type="http://schemas.openxmlformats.org/officeDocument/2006/relationships/hyperlink" Target="2020_02\03.02.2020\86281" TargetMode="External"/><Relationship Id="rId2472" Type="http://schemas.openxmlformats.org/officeDocument/2006/relationships/hyperlink" Target="2020_06/16.06.2020/64252" TargetMode="External"/><Relationship Id="rId444" Type="http://schemas.openxmlformats.org/officeDocument/2006/relationships/hyperlink" Target="https://smp.sfurf.office/sd/operator/" TargetMode="External"/><Relationship Id="rId651" Type="http://schemas.openxmlformats.org/officeDocument/2006/relationships/hyperlink" Target="2019_12/25.12.2019/76369" TargetMode="External"/><Relationship Id="rId1281" Type="http://schemas.openxmlformats.org/officeDocument/2006/relationships/hyperlink" Target="2020_02/20.02.2020/12694" TargetMode="External"/><Relationship Id="rId2125" Type="http://schemas.openxmlformats.org/officeDocument/2006/relationships/hyperlink" Target="2020_06\01.06.2020\62326" TargetMode="External"/><Relationship Id="rId2332" Type="http://schemas.openxmlformats.org/officeDocument/2006/relationships/hyperlink" Target="2020_06/05.06.2020/67804" TargetMode="External"/><Relationship Id="rId304" Type="http://schemas.openxmlformats.org/officeDocument/2006/relationships/hyperlink" Target="https://smp.sfurf.office/sd/operator/index.jsp;jsessionid=4B56FDB405CD332F2E4AE6AEC0BFEE05" TargetMode="External"/><Relationship Id="rId511" Type="http://schemas.openxmlformats.org/officeDocument/2006/relationships/hyperlink" Target="2019_12\16.12.2019\56847" TargetMode="External"/><Relationship Id="rId1141" Type="http://schemas.openxmlformats.org/officeDocument/2006/relationships/hyperlink" Target="2020_02\06.02.2020\88904" TargetMode="External"/><Relationship Id="rId1001" Type="http://schemas.openxmlformats.org/officeDocument/2006/relationships/hyperlink" Target="2020_01\28.01.2020\90486" TargetMode="External"/><Relationship Id="rId1958" Type="http://schemas.openxmlformats.org/officeDocument/2006/relationships/hyperlink" Target="2020_05/21.05.2020/35865" TargetMode="External"/><Relationship Id="rId1818" Type="http://schemas.openxmlformats.org/officeDocument/2006/relationships/hyperlink" Target="2020_05/13.05.2020/40204" TargetMode="External"/><Relationship Id="rId161" Type="http://schemas.openxmlformats.org/officeDocument/2006/relationships/hyperlink" Target="2019_10\25.10.2019\41542" TargetMode="External"/><Relationship Id="rId978" Type="http://schemas.openxmlformats.org/officeDocument/2006/relationships/hyperlink" Target="2020_01\24.01.2020\81035" TargetMode="External"/><Relationship Id="rId2659" Type="http://schemas.openxmlformats.org/officeDocument/2006/relationships/hyperlink" Target="2020_06\26.06.2020\78349" TargetMode="External"/><Relationship Id="rId838" Type="http://schemas.openxmlformats.org/officeDocument/2006/relationships/hyperlink" Target="2020_01/15.01.2020/84467" TargetMode="External"/><Relationship Id="rId1468" Type="http://schemas.openxmlformats.org/officeDocument/2006/relationships/hyperlink" Target="2020_03\06.03.2020\22129" TargetMode="External"/><Relationship Id="rId1675" Type="http://schemas.openxmlformats.org/officeDocument/2006/relationships/hyperlink" Target="2020_03/25.03.2020/32583" TargetMode="External"/><Relationship Id="rId1882" Type="http://schemas.openxmlformats.org/officeDocument/2006/relationships/hyperlink" Target="2020_05\12.05.2020\38142" TargetMode="External"/><Relationship Id="rId2519" Type="http://schemas.openxmlformats.org/officeDocument/2006/relationships/hyperlink" Target="2020_06\19.06.2020\74724" TargetMode="External"/><Relationship Id="rId1328" Type="http://schemas.openxmlformats.org/officeDocument/2006/relationships/hyperlink" Target="2020_02/25.02.2020/14531" TargetMode="External"/><Relationship Id="rId1535" Type="http://schemas.openxmlformats.org/officeDocument/2006/relationships/hyperlink" Target="2020_03\13.03.2020\26196" TargetMode="External"/><Relationship Id="rId905" Type="http://schemas.openxmlformats.org/officeDocument/2006/relationships/hyperlink" Target="2020_01/20.01.2020/77543" TargetMode="External"/><Relationship Id="rId1742" Type="http://schemas.openxmlformats.org/officeDocument/2006/relationships/hyperlink" Target="2020_04\06.04.2020\35383" TargetMode="External"/><Relationship Id="rId34" Type="http://schemas.openxmlformats.org/officeDocument/2006/relationships/hyperlink" Target="https://smp.sfurf.office/sd/operator/" TargetMode="External"/><Relationship Id="rId1602" Type="http://schemas.openxmlformats.org/officeDocument/2006/relationships/hyperlink" Target="2020_03/19.03.2020/19657" TargetMode="External"/><Relationship Id="rId488" Type="http://schemas.openxmlformats.org/officeDocument/2006/relationships/hyperlink" Target="2019_12\12.12.2019\60483" TargetMode="External"/><Relationship Id="rId695" Type="http://schemas.openxmlformats.org/officeDocument/2006/relationships/hyperlink" Target="2019_12\27.12.2019\69852" TargetMode="External"/><Relationship Id="rId2169" Type="http://schemas.openxmlformats.org/officeDocument/2006/relationships/hyperlink" Target="2020_06/01.06.2020/63647" TargetMode="External"/><Relationship Id="rId2376" Type="http://schemas.openxmlformats.org/officeDocument/2006/relationships/hyperlink" Target="2020_06/16.06.2020/55939" TargetMode="External"/><Relationship Id="rId2583" Type="http://schemas.openxmlformats.org/officeDocument/2006/relationships/hyperlink" Target="2020_06/23.06.2020/69945" TargetMode="External"/><Relationship Id="rId348" Type="http://schemas.openxmlformats.org/officeDocument/2006/relationships/hyperlink" Target="https://smp.sfurf.office/sd/operator/" TargetMode="External"/><Relationship Id="rId555" Type="http://schemas.openxmlformats.org/officeDocument/2006/relationships/hyperlink" Target="2019_12/17.12.2019/71353" TargetMode="External"/><Relationship Id="rId762" Type="http://schemas.openxmlformats.org/officeDocument/2006/relationships/hyperlink" Target="2019_12\31.12.2019\71156" TargetMode="External"/><Relationship Id="rId1185" Type="http://schemas.openxmlformats.org/officeDocument/2006/relationships/hyperlink" Target="2020_02\10.02.2020\-6175" TargetMode="External"/><Relationship Id="rId1392" Type="http://schemas.openxmlformats.org/officeDocument/2006/relationships/hyperlink" Target="2020_03\02.03.2020\18367" TargetMode="External"/><Relationship Id="rId2029" Type="http://schemas.openxmlformats.org/officeDocument/2006/relationships/hyperlink" Target="2020_05/25.05.2020/47607" TargetMode="External"/><Relationship Id="rId2236" Type="http://schemas.openxmlformats.org/officeDocument/2006/relationships/hyperlink" Target="2020_06\01.06.2020\63092" TargetMode="External"/><Relationship Id="rId2443" Type="http://schemas.openxmlformats.org/officeDocument/2006/relationships/hyperlink" Target="2020_06/16.06.2020/65227" TargetMode="External"/><Relationship Id="rId2650" Type="http://schemas.openxmlformats.org/officeDocument/2006/relationships/hyperlink" Target="2020_06/29.06.2020/78463" TargetMode="External"/><Relationship Id="rId208" Type="http://schemas.openxmlformats.org/officeDocument/2006/relationships/hyperlink" Target="https://smp.sfurf.office/sd/operator/" TargetMode="External"/><Relationship Id="rId415" Type="http://schemas.openxmlformats.org/officeDocument/2006/relationships/hyperlink" Target="https://smp.sfurf.office/sd/operator/" TargetMode="External"/><Relationship Id="rId622" Type="http://schemas.openxmlformats.org/officeDocument/2006/relationships/hyperlink" Target="2019_12\24.12.2019\66407" TargetMode="External"/><Relationship Id="rId1045" Type="http://schemas.openxmlformats.org/officeDocument/2006/relationships/hyperlink" Target="2020_01\30.01.2020\84790" TargetMode="External"/><Relationship Id="rId1252" Type="http://schemas.openxmlformats.org/officeDocument/2006/relationships/hyperlink" Target="2020_02/19.02.2020/-3742" TargetMode="External"/><Relationship Id="rId2303" Type="http://schemas.openxmlformats.org/officeDocument/2006/relationships/hyperlink" Target="2020_06\16.06.2020\61565" TargetMode="External"/><Relationship Id="rId2510" Type="http://schemas.openxmlformats.org/officeDocument/2006/relationships/hyperlink" Target="2020_06\16.06.2020\61349" TargetMode="External"/><Relationship Id="rId1112" Type="http://schemas.openxmlformats.org/officeDocument/2006/relationships/hyperlink" Target="2020_02\04.02.2020\87480" TargetMode="External"/><Relationship Id="rId1929" Type="http://schemas.openxmlformats.org/officeDocument/2006/relationships/hyperlink" Target="2020_05/19.05.2020/34319" TargetMode="External"/><Relationship Id="rId2093" Type="http://schemas.openxmlformats.org/officeDocument/2006/relationships/hyperlink" Target="2020_06/05.06.2020/43678" TargetMode="External"/><Relationship Id="rId272" Type="http://schemas.openxmlformats.org/officeDocument/2006/relationships/hyperlink" Target="https://smp.sfurf.office/sd/operator/" TargetMode="External"/><Relationship Id="rId2160" Type="http://schemas.openxmlformats.org/officeDocument/2006/relationships/hyperlink" Target="2020_06/03.06.2020/41114" TargetMode="External"/><Relationship Id="rId132" Type="http://schemas.openxmlformats.org/officeDocument/2006/relationships/hyperlink" Target="2019_10\21.10.2019\31805" TargetMode="External"/><Relationship Id="rId2020" Type="http://schemas.openxmlformats.org/officeDocument/2006/relationships/hyperlink" Target="2020_05/27.05.2020/39995" TargetMode="External"/><Relationship Id="rId1579" Type="http://schemas.openxmlformats.org/officeDocument/2006/relationships/hyperlink" Target="2020_03\18.03.2020\19318" TargetMode="External"/><Relationship Id="rId949" Type="http://schemas.openxmlformats.org/officeDocument/2006/relationships/hyperlink" Target="2020_01\22.01.2020\62799" TargetMode="External"/><Relationship Id="rId1786" Type="http://schemas.openxmlformats.org/officeDocument/2006/relationships/hyperlink" Target="2020_04\09.04.2020\29390" TargetMode="External"/><Relationship Id="rId1993" Type="http://schemas.openxmlformats.org/officeDocument/2006/relationships/hyperlink" Target="2020_05/25.05.2020/47602" TargetMode="Externa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ctrlProp" Target="../ctrlProps/ctrlProp5.xml"/><Relationship Id="rId18" Type="http://schemas.openxmlformats.org/officeDocument/2006/relationships/ctrlProp" Target="../ctrlProps/ctrlProp10.xml"/><Relationship Id="rId26" Type="http://schemas.openxmlformats.org/officeDocument/2006/relationships/ctrlProp" Target="../ctrlProps/ctrlProp18.xml"/><Relationship Id="rId3" Type="http://schemas.openxmlformats.org/officeDocument/2006/relationships/vmlDrawing" Target="../drawings/vmlDrawing2.vml"/><Relationship Id="rId21" Type="http://schemas.openxmlformats.org/officeDocument/2006/relationships/ctrlProp" Target="../ctrlProps/ctrlProp13.xml"/><Relationship Id="rId7" Type="http://schemas.openxmlformats.org/officeDocument/2006/relationships/image" Target="../media/image8.emf"/><Relationship Id="rId12" Type="http://schemas.openxmlformats.org/officeDocument/2006/relationships/image" Target="../media/image10.emf"/><Relationship Id="rId17" Type="http://schemas.openxmlformats.org/officeDocument/2006/relationships/ctrlProp" Target="../ctrlProps/ctrlProp9.xml"/><Relationship Id="rId25"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8.xml"/><Relationship Id="rId20" Type="http://schemas.openxmlformats.org/officeDocument/2006/relationships/ctrlProp" Target="../ctrlProps/ctrlProp12.xml"/><Relationship Id="rId29" Type="http://schemas.openxmlformats.org/officeDocument/2006/relationships/ctrlProp" Target="../ctrlProps/ctrlProp21.xml"/><Relationship Id="rId1" Type="http://schemas.openxmlformats.org/officeDocument/2006/relationships/printerSettings" Target="../printerSettings/printerSettings6.bin"/><Relationship Id="rId6" Type="http://schemas.openxmlformats.org/officeDocument/2006/relationships/control" Target="../activeX/activeX36.xml"/><Relationship Id="rId11" Type="http://schemas.openxmlformats.org/officeDocument/2006/relationships/control" Target="../activeX/activeX39.xml"/><Relationship Id="rId24" Type="http://schemas.openxmlformats.org/officeDocument/2006/relationships/ctrlProp" Target="../ctrlProps/ctrlProp16.xml"/><Relationship Id="rId5" Type="http://schemas.openxmlformats.org/officeDocument/2006/relationships/image" Target="../media/image7.emf"/><Relationship Id="rId15" Type="http://schemas.openxmlformats.org/officeDocument/2006/relationships/ctrlProp" Target="../ctrlProps/ctrlProp7.xml"/><Relationship Id="rId23" Type="http://schemas.openxmlformats.org/officeDocument/2006/relationships/ctrlProp" Target="../ctrlProps/ctrlProp15.xml"/><Relationship Id="rId28" Type="http://schemas.openxmlformats.org/officeDocument/2006/relationships/ctrlProp" Target="../ctrlProps/ctrlProp20.xml"/><Relationship Id="rId10" Type="http://schemas.openxmlformats.org/officeDocument/2006/relationships/control" Target="../activeX/activeX38.xml"/><Relationship Id="rId19" Type="http://schemas.openxmlformats.org/officeDocument/2006/relationships/ctrlProp" Target="../ctrlProps/ctrlProp11.xml"/><Relationship Id="rId31" Type="http://schemas.openxmlformats.org/officeDocument/2006/relationships/comments" Target="../comments1.xml"/><Relationship Id="rId4" Type="http://schemas.openxmlformats.org/officeDocument/2006/relationships/control" Target="../activeX/activeX35.xml"/><Relationship Id="rId9" Type="http://schemas.openxmlformats.org/officeDocument/2006/relationships/image" Target="../media/image9.emf"/><Relationship Id="rId14" Type="http://schemas.openxmlformats.org/officeDocument/2006/relationships/ctrlProp" Target="../ctrlProps/ctrlProp6.xml"/><Relationship Id="rId22" Type="http://schemas.openxmlformats.org/officeDocument/2006/relationships/ctrlProp" Target="../ctrlProps/ctrlProp14.xml"/><Relationship Id="rId27" Type="http://schemas.openxmlformats.org/officeDocument/2006/relationships/ctrlProp" Target="../ctrlProps/ctrlProp19.xml"/><Relationship Id="rId30" Type="http://schemas.openxmlformats.org/officeDocument/2006/relationships/ctrlProp" Target="../ctrlProps/ctrlProp2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otal"/>
  <dimension ref="A1:Q2"/>
  <sheetViews>
    <sheetView workbookViewId="0">
      <selection activeCell="E6" sqref="E6"/>
    </sheetView>
  </sheetViews>
  <sheetFormatPr defaultColWidth="8.7265625" defaultRowHeight="14.5" x14ac:dyDescent="0.35"/>
  <cols>
    <col min="1" max="6" width="12.54296875" style="3" customWidth="1"/>
    <col min="7" max="7" width="15.26953125" style="3" customWidth="1"/>
    <col min="8" max="15" width="12.54296875" style="3" customWidth="1"/>
    <col min="16" max="16" width="15.54296875" style="3" customWidth="1"/>
    <col min="17" max="17" width="14.26953125" style="3" customWidth="1"/>
    <col min="18" max="16384" width="8.7265625" style="3"/>
  </cols>
  <sheetData>
    <row r="1" spans="1:17" x14ac:dyDescent="0.35">
      <c r="A1" s="5" t="s">
        <v>27</v>
      </c>
      <c r="B1" s="5" t="s">
        <v>16</v>
      </c>
      <c r="C1" s="5" t="s">
        <v>37</v>
      </c>
      <c r="D1" s="5" t="s">
        <v>38</v>
      </c>
      <c r="E1" s="5" t="s">
        <v>108</v>
      </c>
      <c r="F1" s="5" t="s">
        <v>115</v>
      </c>
      <c r="G1" s="5" t="s">
        <v>558</v>
      </c>
      <c r="H1" s="5" t="s">
        <v>674</v>
      </c>
      <c r="I1" s="5" t="s">
        <v>675</v>
      </c>
      <c r="J1" s="5" t="s">
        <v>676</v>
      </c>
      <c r="K1" s="5" t="s">
        <v>677</v>
      </c>
      <c r="L1" s="5" t="s">
        <v>830</v>
      </c>
      <c r="M1" s="5" t="s">
        <v>831</v>
      </c>
      <c r="N1" s="5" t="s">
        <v>832</v>
      </c>
      <c r="O1" s="5" t="s">
        <v>833</v>
      </c>
      <c r="P1" s="5" t="s">
        <v>1016</v>
      </c>
      <c r="Q1" s="5" t="s">
        <v>1017</v>
      </c>
    </row>
    <row r="2" spans="1:17" x14ac:dyDescent="0.35">
      <c r="F2" s="6"/>
      <c r="G2" s="6"/>
      <c r="H2" s="6"/>
      <c r="N2" s="6"/>
      <c r="O2" s="6"/>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raft"/>
  <dimension ref="A1:AT220"/>
  <sheetViews>
    <sheetView topLeftCell="A15" workbookViewId="0">
      <selection activeCell="F31" sqref="F31"/>
    </sheetView>
  </sheetViews>
  <sheetFormatPr defaultRowHeight="14.5" x14ac:dyDescent="0.35"/>
  <cols>
    <col min="1" max="1" width="10.54296875" customWidth="1"/>
    <col min="2" max="2" width="12.26953125" customWidth="1"/>
    <col min="3" max="3" width="10.26953125" customWidth="1"/>
    <col min="6" max="6" width="25.7265625" customWidth="1"/>
    <col min="7" max="7" width="23.1796875" customWidth="1"/>
    <col min="8" max="8" width="23.81640625" customWidth="1"/>
    <col min="9" max="9" width="21.453125" customWidth="1"/>
    <col min="10" max="10" width="19" customWidth="1"/>
    <col min="11" max="11" width="17.453125" customWidth="1"/>
    <col min="12" max="12" width="22.81640625" customWidth="1"/>
    <col min="13" max="13" width="17.81640625" customWidth="1"/>
    <col min="14" max="14" width="16" customWidth="1"/>
    <col min="15" max="15" width="19.26953125" customWidth="1"/>
    <col min="16" max="16" width="25.26953125" customWidth="1"/>
    <col min="17" max="17" width="25.7265625" customWidth="1"/>
    <col min="18" max="18" width="21.453125" customWidth="1"/>
    <col min="19" max="20" width="15.54296875" customWidth="1"/>
    <col min="21" max="21" width="23.54296875" customWidth="1"/>
    <col min="22" max="22" width="23.1796875" customWidth="1"/>
    <col min="23" max="23" width="26.453125" customWidth="1"/>
    <col min="24" max="24" width="21.81640625" customWidth="1"/>
    <col min="25" max="25" width="24.1796875" customWidth="1"/>
    <col min="26" max="26" width="24.7265625" customWidth="1"/>
    <col min="27" max="27" width="58.54296875" customWidth="1"/>
    <col min="28" max="28" width="55" customWidth="1"/>
    <col min="29" max="29" width="21.1796875" customWidth="1"/>
    <col min="30" max="34" width="19.1796875" customWidth="1"/>
    <col min="35" max="35" width="16.1796875" customWidth="1"/>
    <col min="36" max="36" width="12.453125" customWidth="1"/>
    <col min="37" max="37" width="21.453125" customWidth="1"/>
    <col min="38" max="38" width="13.81640625" customWidth="1"/>
    <col min="39" max="39" width="12.7265625" customWidth="1"/>
    <col min="40" max="40" width="13.81640625" customWidth="1"/>
    <col min="41" max="43" width="12.7265625" customWidth="1"/>
    <col min="44" max="45" width="16.26953125" customWidth="1"/>
    <col min="46" max="46" width="19.54296875" customWidth="1"/>
  </cols>
  <sheetData>
    <row r="1" spans="1:46" ht="44.5" thickTop="1" thickBot="1" x14ac:dyDescent="0.4">
      <c r="A1" s="45" t="s">
        <v>39</v>
      </c>
      <c r="B1" s="45" t="s">
        <v>39</v>
      </c>
      <c r="C1" s="45" t="s">
        <v>38</v>
      </c>
      <c r="D1" s="45" t="s">
        <v>37</v>
      </c>
      <c r="E1" s="45" t="s">
        <v>571</v>
      </c>
      <c r="F1" s="45" t="s">
        <v>129</v>
      </c>
      <c r="G1" s="45" t="s">
        <v>128</v>
      </c>
      <c r="H1" s="45" t="s">
        <v>127</v>
      </c>
      <c r="I1" s="45" t="s">
        <v>768</v>
      </c>
      <c r="J1" s="45" t="s">
        <v>872</v>
      </c>
      <c r="K1" s="45" t="s">
        <v>629</v>
      </c>
      <c r="L1" s="175" t="s">
        <v>1247</v>
      </c>
      <c r="M1" s="175" t="s">
        <v>1254</v>
      </c>
      <c r="N1" s="175" t="s">
        <v>1300</v>
      </c>
      <c r="O1" s="175" t="s">
        <v>1299</v>
      </c>
      <c r="P1" s="175" t="s">
        <v>1428</v>
      </c>
      <c r="Q1" s="175" t="s">
        <v>905</v>
      </c>
      <c r="R1" s="175" t="s">
        <v>1429</v>
      </c>
      <c r="S1" s="175" t="s">
        <v>3567</v>
      </c>
      <c r="T1" s="175" t="s">
        <v>3568</v>
      </c>
      <c r="U1" s="175" t="s">
        <v>1723</v>
      </c>
      <c r="V1" s="175" t="s">
        <v>1753</v>
      </c>
      <c r="W1" s="175" t="s">
        <v>670</v>
      </c>
      <c r="X1" s="175" t="s">
        <v>145</v>
      </c>
      <c r="Y1" s="175" t="s">
        <v>1931</v>
      </c>
      <c r="Z1" s="175" t="s">
        <v>1987</v>
      </c>
      <c r="AA1" s="175" t="s">
        <v>3213</v>
      </c>
      <c r="AB1" s="175" t="s">
        <v>3225</v>
      </c>
      <c r="AC1" s="175" t="s">
        <v>3569</v>
      </c>
      <c r="AD1" s="175" t="s">
        <v>4934</v>
      </c>
      <c r="AE1" s="175" t="s">
        <v>4934</v>
      </c>
      <c r="AF1" s="175" t="s">
        <v>5183</v>
      </c>
      <c r="AG1" s="175" t="s">
        <v>5184</v>
      </c>
      <c r="AH1" s="175" t="s">
        <v>5197</v>
      </c>
      <c r="AI1" s="175" t="s">
        <v>5222</v>
      </c>
      <c r="AJ1" s="175" t="s">
        <v>5217</v>
      </c>
      <c r="AK1" s="175" t="s">
        <v>1429</v>
      </c>
      <c r="AL1" s="175" t="s">
        <v>5506</v>
      </c>
      <c r="AM1" s="175" t="s">
        <v>5505</v>
      </c>
      <c r="AN1" s="175" t="s">
        <v>5522</v>
      </c>
      <c r="AO1" s="175" t="s">
        <v>5523</v>
      </c>
      <c r="AP1" s="175" t="s">
        <v>5524</v>
      </c>
      <c r="AQ1" s="175" t="s">
        <v>5541</v>
      </c>
      <c r="AR1" s="175" t="s">
        <v>6043</v>
      </c>
      <c r="AS1" s="175"/>
      <c r="AT1" s="175" t="s">
        <v>6044</v>
      </c>
    </row>
    <row r="2" spans="1:46" ht="15" thickTop="1" x14ac:dyDescent="0.35">
      <c r="A2" t="s">
        <v>17</v>
      </c>
      <c r="B2" s="3" t="s">
        <v>28</v>
      </c>
      <c r="C2" t="s">
        <v>932</v>
      </c>
      <c r="D2" t="s">
        <v>31</v>
      </c>
      <c r="E2" t="s">
        <v>563</v>
      </c>
      <c r="F2" s="8" t="s">
        <v>48</v>
      </c>
      <c r="G2" t="s">
        <v>49</v>
      </c>
      <c r="H2" t="s">
        <v>4940</v>
      </c>
      <c r="I2" t="s">
        <v>5515</v>
      </c>
      <c r="J2" t="s">
        <v>4943</v>
      </c>
      <c r="K2" t="s">
        <v>4943</v>
      </c>
      <c r="L2" s="7" t="s">
        <v>1248</v>
      </c>
      <c r="M2" s="7" t="s">
        <v>1255</v>
      </c>
      <c r="N2" s="7" t="s">
        <v>1301</v>
      </c>
      <c r="O2" s="252" t="s">
        <v>864</v>
      </c>
      <c r="P2" s="7" t="s">
        <v>220</v>
      </c>
      <c r="Q2" t="s">
        <v>1430</v>
      </c>
      <c r="R2" t="s">
        <v>1512</v>
      </c>
      <c r="S2">
        <v>3696</v>
      </c>
      <c r="T2">
        <v>3612</v>
      </c>
      <c r="U2" s="7" t="s">
        <v>1636</v>
      </c>
      <c r="V2" s="7" t="s">
        <v>1754</v>
      </c>
      <c r="W2" s="7" t="s">
        <v>2025</v>
      </c>
      <c r="X2" s="4">
        <v>42005</v>
      </c>
      <c r="Y2" t="s">
        <v>669</v>
      </c>
      <c r="Z2" t="s">
        <v>1988</v>
      </c>
      <c r="AA2" t="s">
        <v>681</v>
      </c>
      <c r="AB2" t="s">
        <v>681</v>
      </c>
      <c r="AD2" t="s">
        <v>4935</v>
      </c>
      <c r="AE2" s="391" t="str">
        <f>IF(OR(ISBLANK(A23)),"",IF((B3-(EDATE(A24,36)))&gt;0,"СРОК ДАВНОСТИ",""))</f>
        <v/>
      </c>
      <c r="AF2" s="330">
        <v>120000</v>
      </c>
      <c r="AH2" t="s">
        <v>4941</v>
      </c>
      <c r="AI2">
        <v>3490</v>
      </c>
      <c r="AJ2" s="4">
        <v>43709</v>
      </c>
      <c r="AL2" t="s">
        <v>5507</v>
      </c>
      <c r="AM2" t="s">
        <v>5570</v>
      </c>
      <c r="AN2" t="s">
        <v>5165</v>
      </c>
      <c r="AO2" t="s">
        <v>1248</v>
      </c>
      <c r="AQ2" t="s">
        <v>5542</v>
      </c>
      <c r="AR2" t="s">
        <v>6046</v>
      </c>
      <c r="AS2" t="s">
        <v>6045</v>
      </c>
    </row>
    <row r="3" spans="1:46" x14ac:dyDescent="0.35">
      <c r="A3" t="s">
        <v>18</v>
      </c>
      <c r="B3" s="3" t="s">
        <v>29</v>
      </c>
      <c r="C3" t="s">
        <v>933</v>
      </c>
      <c r="D3" t="s">
        <v>32</v>
      </c>
      <c r="E3" t="s">
        <v>564</v>
      </c>
      <c r="F3" s="8" t="s">
        <v>50</v>
      </c>
      <c r="G3" t="s">
        <v>51</v>
      </c>
      <c r="H3" t="s">
        <v>4941</v>
      </c>
      <c r="I3" t="s">
        <v>4942</v>
      </c>
      <c r="J3" t="s">
        <v>4944</v>
      </c>
      <c r="K3" t="s">
        <v>4944</v>
      </c>
      <c r="L3" t="s">
        <v>1249</v>
      </c>
      <c r="M3" t="s">
        <v>611</v>
      </c>
      <c r="N3" s="7" t="s">
        <v>1302</v>
      </c>
      <c r="O3" s="252" t="s">
        <v>1303</v>
      </c>
      <c r="P3" s="7" t="s">
        <v>275</v>
      </c>
      <c r="Q3" t="s">
        <v>1431</v>
      </c>
      <c r="R3" t="s">
        <v>1518</v>
      </c>
      <c r="S3">
        <v>5318</v>
      </c>
      <c r="T3">
        <v>5197</v>
      </c>
      <c r="U3" s="4">
        <v>43617</v>
      </c>
      <c r="V3" t="s">
        <v>1755</v>
      </c>
      <c r="W3" t="s">
        <v>1758</v>
      </c>
      <c r="X3" s="4">
        <v>42006</v>
      </c>
      <c r="Y3" t="s">
        <v>670</v>
      </c>
      <c r="Z3" t="s">
        <v>1989</v>
      </c>
      <c r="AA3" t="s">
        <v>3214</v>
      </c>
      <c r="AB3" t="s">
        <v>3214</v>
      </c>
      <c r="AD3" t="s">
        <v>5195</v>
      </c>
      <c r="AE3" s="391" t="str">
        <f>IF(AND(NOT(ISBLANK(F11)),NOT(ISBLANK(F15)),NOT(E18="")),IF(J3=DRAFT!P2,IF(E18="К ВИНОВНИКУ",IF(A19=FALSE,IF(F15&gt;DRAFT!AG3,DRAFT!AF3,DRAFT!AF2),IF(F15&gt;DRAFT!AG6,DRAFT!AF6,DRAFT!AF5)),IF(A19=FALSE,IF(F11&gt;DRAFT!AG3,DRAFT!AF3,DRAFT!AF2),IF(F11&gt;DRAFT!AG6,DRAFT!AF6,DRAFT!AF5))),IF(OR(J3=DRAFT!P4,J3=DRAFT!P5),IF(E18="К ВИНОВНИКУ",IF(A19=FALSE,IF(F15&gt;DRAFT!AG4,DRAFT!AF4,DRAFT!AF7),"НЕ ТУДА"),"НЕ ТУДА"),"")),"")</f>
        <v/>
      </c>
      <c r="AF3" s="330">
        <v>400000</v>
      </c>
      <c r="AG3" s="4">
        <v>41913</v>
      </c>
      <c r="AH3" t="s">
        <v>93</v>
      </c>
      <c r="AI3">
        <v>5021</v>
      </c>
      <c r="AJ3" s="4">
        <v>43715</v>
      </c>
      <c r="AL3" t="s">
        <v>5509</v>
      </c>
      <c r="AM3" t="s">
        <v>5565</v>
      </c>
      <c r="AN3" t="s">
        <v>5162</v>
      </c>
      <c r="AO3" t="s">
        <v>1249</v>
      </c>
      <c r="AP3" t="s">
        <v>5526</v>
      </c>
      <c r="AQ3" t="s">
        <v>5543</v>
      </c>
      <c r="AR3" t="s">
        <v>895</v>
      </c>
    </row>
    <row r="4" spans="1:46" x14ac:dyDescent="0.35">
      <c r="A4" t="s">
        <v>19</v>
      </c>
      <c r="B4" s="3" t="s">
        <v>30</v>
      </c>
      <c r="C4" t="s">
        <v>934</v>
      </c>
      <c r="D4" t="s">
        <v>32</v>
      </c>
      <c r="E4" t="s">
        <v>565</v>
      </c>
      <c r="F4" t="s">
        <v>52</v>
      </c>
      <c r="G4" t="s">
        <v>53</v>
      </c>
      <c r="H4" t="s">
        <v>54</v>
      </c>
      <c r="I4" t="s">
        <v>769</v>
      </c>
      <c r="J4" t="s">
        <v>4945</v>
      </c>
      <c r="K4" t="s">
        <v>4945</v>
      </c>
      <c r="L4" t="s">
        <v>1250</v>
      </c>
      <c r="M4" t="s">
        <v>463</v>
      </c>
      <c r="N4" t="s">
        <v>1348</v>
      </c>
      <c r="O4" s="252" t="s">
        <v>1349</v>
      </c>
      <c r="P4" t="s">
        <v>652</v>
      </c>
      <c r="Q4" t="s">
        <v>1432</v>
      </c>
      <c r="R4" t="s">
        <v>1519</v>
      </c>
      <c r="S4">
        <v>3270</v>
      </c>
      <c r="T4">
        <v>3196</v>
      </c>
      <c r="U4" s="4">
        <v>43466</v>
      </c>
      <c r="V4" t="s">
        <v>1756</v>
      </c>
      <c r="W4" t="s">
        <v>1759</v>
      </c>
      <c r="X4" s="4">
        <v>42007</v>
      </c>
      <c r="Y4" t="s">
        <v>862</v>
      </c>
      <c r="Z4" t="s">
        <v>1990</v>
      </c>
      <c r="AA4" t="s">
        <v>3201</v>
      </c>
      <c r="AB4" t="s">
        <v>3201</v>
      </c>
      <c r="AF4" s="330">
        <v>500000</v>
      </c>
      <c r="AG4" s="4">
        <v>42095</v>
      </c>
      <c r="AH4" t="s">
        <v>5204</v>
      </c>
      <c r="AI4">
        <v>3088</v>
      </c>
      <c r="AJ4" s="4">
        <v>43716</v>
      </c>
      <c r="AL4" t="s">
        <v>5508</v>
      </c>
      <c r="AM4" t="s">
        <v>5567</v>
      </c>
      <c r="AN4" t="s">
        <v>5163</v>
      </c>
      <c r="AO4" t="s">
        <v>5525</v>
      </c>
      <c r="AP4" t="s">
        <v>5529</v>
      </c>
      <c r="AQ4" t="s">
        <v>5544</v>
      </c>
    </row>
    <row r="5" spans="1:46" x14ac:dyDescent="0.35">
      <c r="E5" t="s">
        <v>566</v>
      </c>
      <c r="F5" t="s">
        <v>55</v>
      </c>
      <c r="G5" t="s">
        <v>56</v>
      </c>
      <c r="H5" t="s">
        <v>57</v>
      </c>
      <c r="I5" t="s">
        <v>770</v>
      </c>
      <c r="J5" t="s">
        <v>4946</v>
      </c>
      <c r="K5" t="s">
        <v>4946</v>
      </c>
      <c r="L5" t="s">
        <v>1251</v>
      </c>
      <c r="M5" t="s">
        <v>1256</v>
      </c>
      <c r="N5" t="s">
        <v>1617</v>
      </c>
      <c r="O5" s="252" t="s">
        <v>1616</v>
      </c>
      <c r="P5" t="s">
        <v>981</v>
      </c>
      <c r="Q5" t="s">
        <v>1433</v>
      </c>
      <c r="R5" t="s">
        <v>1520</v>
      </c>
      <c r="S5">
        <v>3013</v>
      </c>
      <c r="T5">
        <v>2945</v>
      </c>
      <c r="U5" s="4">
        <v>43281</v>
      </c>
      <c r="V5" t="s">
        <v>1757</v>
      </c>
      <c r="W5" t="s">
        <v>1760</v>
      </c>
      <c r="X5" s="4">
        <v>42008</v>
      </c>
      <c r="Y5" t="s">
        <v>1296</v>
      </c>
      <c r="Z5" t="s">
        <v>1991</v>
      </c>
      <c r="AA5" t="s">
        <v>82</v>
      </c>
      <c r="AB5" t="s">
        <v>82</v>
      </c>
      <c r="AF5" s="330">
        <v>50000</v>
      </c>
      <c r="AH5" t="s">
        <v>5219</v>
      </c>
      <c r="AI5">
        <v>2845</v>
      </c>
      <c r="AJ5" s="4">
        <v>43722</v>
      </c>
      <c r="AL5" t="s">
        <v>5510</v>
      </c>
      <c r="AM5" t="s">
        <v>5566</v>
      </c>
      <c r="AN5" t="s">
        <v>5166</v>
      </c>
      <c r="AO5" t="s">
        <v>5528</v>
      </c>
      <c r="AP5" t="s">
        <v>5527</v>
      </c>
    </row>
    <row r="6" spans="1:46" x14ac:dyDescent="0.35">
      <c r="A6" t="s">
        <v>34</v>
      </c>
      <c r="B6" s="4" t="s">
        <v>725</v>
      </c>
      <c r="C6" s="7" t="s">
        <v>130</v>
      </c>
      <c r="D6" t="s">
        <v>3103</v>
      </c>
      <c r="E6" t="s">
        <v>221</v>
      </c>
      <c r="F6" s="8" t="s">
        <v>58</v>
      </c>
      <c r="G6" t="s">
        <v>59</v>
      </c>
      <c r="H6" t="s">
        <v>60</v>
      </c>
      <c r="I6" t="s">
        <v>771</v>
      </c>
      <c r="J6" t="s">
        <v>873</v>
      </c>
      <c r="K6" t="s">
        <v>1363</v>
      </c>
      <c r="M6" t="s">
        <v>1257</v>
      </c>
      <c r="N6" t="s">
        <v>1618</v>
      </c>
      <c r="O6" s="252" t="s">
        <v>1619</v>
      </c>
      <c r="Q6" t="s">
        <v>1434</v>
      </c>
      <c r="R6" t="s">
        <v>1146</v>
      </c>
      <c r="S6">
        <v>6216</v>
      </c>
      <c r="T6">
        <v>6216</v>
      </c>
      <c r="V6" t="s">
        <v>4918</v>
      </c>
      <c r="W6" t="s">
        <v>6055</v>
      </c>
      <c r="X6" s="4">
        <v>42009</v>
      </c>
      <c r="Y6" t="s">
        <v>699</v>
      </c>
      <c r="AA6" t="s">
        <v>3202</v>
      </c>
      <c r="AB6" t="s">
        <v>3226</v>
      </c>
      <c r="AF6" s="387">
        <v>100000</v>
      </c>
      <c r="AG6" s="4">
        <v>43252</v>
      </c>
      <c r="AI6">
        <v>6005</v>
      </c>
      <c r="AJ6" s="4">
        <v>43723</v>
      </c>
      <c r="AL6" t="s">
        <v>5513</v>
      </c>
      <c r="AM6" t="s">
        <v>5569</v>
      </c>
      <c r="AN6" t="s">
        <v>5164</v>
      </c>
      <c r="AO6" t="s">
        <v>1251</v>
      </c>
      <c r="AP6" t="s">
        <v>5530</v>
      </c>
    </row>
    <row r="7" spans="1:46" x14ac:dyDescent="0.35">
      <c r="A7" t="s">
        <v>4</v>
      </c>
      <c r="B7" t="s">
        <v>726</v>
      </c>
      <c r="C7" s="7" t="s">
        <v>131</v>
      </c>
      <c r="D7" s="7" t="s">
        <v>3104</v>
      </c>
      <c r="E7" t="s">
        <v>567</v>
      </c>
      <c r="F7" s="8" t="s">
        <v>61</v>
      </c>
      <c r="G7" t="s">
        <v>62</v>
      </c>
      <c r="H7" t="s">
        <v>60</v>
      </c>
      <c r="I7" t="s">
        <v>1374</v>
      </c>
      <c r="J7" t="s">
        <v>873</v>
      </c>
      <c r="K7" t="s">
        <v>1371</v>
      </c>
      <c r="M7" t="s">
        <v>1126</v>
      </c>
      <c r="N7" t="s">
        <v>1642</v>
      </c>
      <c r="O7" s="260">
        <f>FILLING!D179</f>
        <v>0</v>
      </c>
      <c r="Q7" t="s">
        <v>1435</v>
      </c>
      <c r="R7" t="s">
        <v>1521</v>
      </c>
      <c r="S7">
        <v>4851</v>
      </c>
      <c r="T7">
        <v>4851</v>
      </c>
      <c r="X7" s="4">
        <v>42010</v>
      </c>
      <c r="Y7" t="s">
        <v>700</v>
      </c>
      <c r="AA7" t="s">
        <v>3205</v>
      </c>
      <c r="AB7" t="s">
        <v>3227</v>
      </c>
      <c r="AF7" s="387">
        <v>160000</v>
      </c>
      <c r="AI7">
        <v>4686</v>
      </c>
      <c r="AJ7" s="4">
        <v>43729</v>
      </c>
      <c r="AL7" t="s">
        <v>5511</v>
      </c>
      <c r="AM7" t="s">
        <v>5504</v>
      </c>
    </row>
    <row r="8" spans="1:46" s="3" customFormat="1" x14ac:dyDescent="0.35">
      <c r="A8" s="3" t="s">
        <v>33</v>
      </c>
      <c r="E8" s="3" t="s">
        <v>487</v>
      </c>
      <c r="F8" s="356" t="s">
        <v>111</v>
      </c>
      <c r="G8" s="3" t="s">
        <v>63</v>
      </c>
      <c r="H8" s="3" t="s">
        <v>64</v>
      </c>
      <c r="I8" s="3" t="s">
        <v>772</v>
      </c>
      <c r="J8" s="3" t="s">
        <v>874</v>
      </c>
      <c r="K8" s="3" t="s">
        <v>1364</v>
      </c>
      <c r="M8" s="3" t="s">
        <v>1258</v>
      </c>
      <c r="N8" s="3" t="s">
        <v>618</v>
      </c>
      <c r="O8" s="252" t="s">
        <v>1427</v>
      </c>
      <c r="Q8" s="3" t="s">
        <v>1436</v>
      </c>
      <c r="R8" s="3" t="s">
        <v>1522</v>
      </c>
      <c r="S8" s="3">
        <v>6366</v>
      </c>
      <c r="T8" s="3">
        <v>6366</v>
      </c>
      <c r="X8" s="357">
        <v>42011</v>
      </c>
      <c r="Y8" s="3" t="s">
        <v>701</v>
      </c>
      <c r="AA8" s="3" t="s">
        <v>3203</v>
      </c>
      <c r="AB8" s="3" t="s">
        <v>3228</v>
      </c>
      <c r="AI8" s="3">
        <v>6151</v>
      </c>
      <c r="AJ8" s="4">
        <v>43730</v>
      </c>
      <c r="AL8" t="s">
        <v>5512</v>
      </c>
      <c r="AM8" t="s">
        <v>5568</v>
      </c>
    </row>
    <row r="9" spans="1:46" x14ac:dyDescent="0.35">
      <c r="A9" t="s">
        <v>841</v>
      </c>
      <c r="C9" t="s">
        <v>613</v>
      </c>
      <c r="D9" s="3" t="s">
        <v>613</v>
      </c>
      <c r="E9" t="s">
        <v>568</v>
      </c>
      <c r="F9" s="8" t="s">
        <v>65</v>
      </c>
      <c r="G9" t="s">
        <v>66</v>
      </c>
      <c r="H9" t="s">
        <v>64</v>
      </c>
      <c r="I9" t="s">
        <v>1375</v>
      </c>
      <c r="J9" t="s">
        <v>874</v>
      </c>
      <c r="K9" t="s">
        <v>1372</v>
      </c>
      <c r="M9" t="s">
        <v>1125</v>
      </c>
      <c r="N9" t="s">
        <v>1643</v>
      </c>
      <c r="O9" s="260">
        <f>FILLING!D183</f>
        <v>0</v>
      </c>
      <c r="Q9" t="s">
        <v>1437</v>
      </c>
      <c r="R9" t="s">
        <v>1286</v>
      </c>
      <c r="S9">
        <v>2907</v>
      </c>
      <c r="T9">
        <v>2841</v>
      </c>
      <c r="X9" s="4">
        <v>42012</v>
      </c>
      <c r="AA9" t="s">
        <v>3204</v>
      </c>
      <c r="AB9" t="s">
        <v>3229</v>
      </c>
      <c r="AI9" s="3">
        <v>2745</v>
      </c>
      <c r="AJ9" s="4">
        <v>43736</v>
      </c>
      <c r="AL9" s="3"/>
      <c r="AM9" s="3"/>
    </row>
    <row r="10" spans="1:46" x14ac:dyDescent="0.35">
      <c r="A10" t="s">
        <v>22</v>
      </c>
      <c r="C10" t="s">
        <v>614</v>
      </c>
      <c r="D10" s="3" t="s">
        <v>5193</v>
      </c>
      <c r="E10" t="s">
        <v>569</v>
      </c>
      <c r="F10" s="8" t="s">
        <v>67</v>
      </c>
      <c r="G10" t="s">
        <v>68</v>
      </c>
      <c r="H10" t="s">
        <v>69</v>
      </c>
      <c r="I10" t="s">
        <v>773</v>
      </c>
      <c r="J10" t="s">
        <v>875</v>
      </c>
      <c r="K10" t="s">
        <v>1365</v>
      </c>
      <c r="M10" t="s">
        <v>1127</v>
      </c>
      <c r="Q10" t="s">
        <v>1438</v>
      </c>
      <c r="R10" t="s">
        <v>1523</v>
      </c>
      <c r="S10">
        <v>3072</v>
      </c>
      <c r="T10">
        <v>3003</v>
      </c>
      <c r="X10" s="4">
        <v>42058</v>
      </c>
      <c r="AA10" t="s">
        <v>3206</v>
      </c>
      <c r="AB10" t="s">
        <v>3230</v>
      </c>
      <c r="AI10">
        <v>2901</v>
      </c>
      <c r="AJ10" s="4">
        <v>43737</v>
      </c>
    </row>
    <row r="11" spans="1:46" x14ac:dyDescent="0.35">
      <c r="A11" t="s">
        <v>23</v>
      </c>
      <c r="C11" t="s">
        <v>615</v>
      </c>
      <c r="E11" t="s">
        <v>570</v>
      </c>
      <c r="F11" s="8" t="s">
        <v>70</v>
      </c>
      <c r="G11" t="s">
        <v>71</v>
      </c>
      <c r="H11" t="s">
        <v>69</v>
      </c>
      <c r="I11" t="s">
        <v>1376</v>
      </c>
      <c r="J11" t="s">
        <v>875</v>
      </c>
      <c r="K11" t="s">
        <v>1373</v>
      </c>
      <c r="M11" t="s">
        <v>1128</v>
      </c>
      <c r="Q11" t="s">
        <v>1439</v>
      </c>
      <c r="R11" t="s">
        <v>1524</v>
      </c>
      <c r="S11">
        <v>4573</v>
      </c>
      <c r="T11">
        <v>4573</v>
      </c>
      <c r="X11" s="4">
        <v>42071</v>
      </c>
      <c r="AA11" t="s">
        <v>3207</v>
      </c>
      <c r="AB11" t="s">
        <v>3231</v>
      </c>
      <c r="AI11">
        <v>4418</v>
      </c>
      <c r="AJ11" s="4">
        <v>43743</v>
      </c>
    </row>
    <row r="12" spans="1:46" x14ac:dyDescent="0.35">
      <c r="A12" t="s">
        <v>35</v>
      </c>
      <c r="C12" t="s">
        <v>616</v>
      </c>
      <c r="E12" t="s">
        <v>473</v>
      </c>
      <c r="F12" s="8" t="s">
        <v>72</v>
      </c>
      <c r="G12" t="s">
        <v>73</v>
      </c>
      <c r="H12" t="s">
        <v>64</v>
      </c>
      <c r="I12" t="s">
        <v>772</v>
      </c>
      <c r="J12" t="s">
        <v>874</v>
      </c>
      <c r="K12" t="s">
        <v>1364</v>
      </c>
      <c r="M12" t="s">
        <v>1129</v>
      </c>
      <c r="Q12" t="s">
        <v>1441</v>
      </c>
      <c r="R12" t="s">
        <v>1525</v>
      </c>
      <c r="S12" s="258" t="s">
        <v>1547</v>
      </c>
      <c r="T12" s="5" t="s">
        <v>1547</v>
      </c>
      <c r="X12" s="4">
        <v>42125</v>
      </c>
      <c r="AA12" t="s">
        <v>3208</v>
      </c>
      <c r="AB12" t="s">
        <v>3232</v>
      </c>
      <c r="AI12" s="5" t="s">
        <v>1547</v>
      </c>
      <c r="AJ12" s="4">
        <v>43744</v>
      </c>
    </row>
    <row r="13" spans="1:46" x14ac:dyDescent="0.35">
      <c r="A13" t="s">
        <v>24</v>
      </c>
      <c r="E13" t="s">
        <v>211</v>
      </c>
      <c r="F13" s="8" t="s">
        <v>74</v>
      </c>
      <c r="G13" t="s">
        <v>75</v>
      </c>
      <c r="H13" t="s">
        <v>76</v>
      </c>
      <c r="I13" t="s">
        <v>1377</v>
      </c>
      <c r="J13" t="s">
        <v>876</v>
      </c>
      <c r="K13" t="s">
        <v>1366</v>
      </c>
      <c r="M13" t="s">
        <v>1259</v>
      </c>
      <c r="Q13" t="s">
        <v>1442</v>
      </c>
      <c r="R13" t="s">
        <v>1526</v>
      </c>
      <c r="S13">
        <v>4254</v>
      </c>
      <c r="T13">
        <v>4158</v>
      </c>
      <c r="X13" s="4">
        <v>42133</v>
      </c>
      <c r="AA13" t="s">
        <v>3211</v>
      </c>
      <c r="AB13" t="s">
        <v>3233</v>
      </c>
      <c r="AI13">
        <v>4017</v>
      </c>
      <c r="AJ13" s="4">
        <v>43750</v>
      </c>
    </row>
    <row r="14" spans="1:46" x14ac:dyDescent="0.35">
      <c r="A14" t="s">
        <v>23</v>
      </c>
      <c r="C14" t="s">
        <v>17</v>
      </c>
      <c r="F14" s="8" t="s">
        <v>77</v>
      </c>
      <c r="G14" t="s">
        <v>62</v>
      </c>
      <c r="H14" t="s">
        <v>60</v>
      </c>
      <c r="I14" t="s">
        <v>1374</v>
      </c>
      <c r="J14" t="s">
        <v>873</v>
      </c>
      <c r="K14" t="s">
        <v>1371</v>
      </c>
      <c r="M14" t="s">
        <v>101</v>
      </c>
      <c r="Q14" t="s">
        <v>1443</v>
      </c>
      <c r="R14" s="101" t="s">
        <v>1527</v>
      </c>
      <c r="S14">
        <v>4643</v>
      </c>
      <c r="T14">
        <v>4643</v>
      </c>
      <c r="X14" s="4">
        <v>42167</v>
      </c>
      <c r="AA14" t="s">
        <v>3209</v>
      </c>
      <c r="AB14" t="s">
        <v>3234</v>
      </c>
      <c r="AI14">
        <v>4485</v>
      </c>
      <c r="AJ14" s="4">
        <v>43751</v>
      </c>
      <c r="AK14" s="101"/>
    </row>
    <row r="15" spans="1:46" x14ac:dyDescent="0.35">
      <c r="A15" t="s">
        <v>25</v>
      </c>
      <c r="C15" t="s">
        <v>18</v>
      </c>
      <c r="F15" s="8" t="s">
        <v>78</v>
      </c>
      <c r="G15" t="s">
        <v>79</v>
      </c>
      <c r="H15" t="s">
        <v>64</v>
      </c>
      <c r="I15" t="s">
        <v>1375</v>
      </c>
      <c r="J15" t="s">
        <v>874</v>
      </c>
      <c r="K15" t="s">
        <v>1372</v>
      </c>
      <c r="M15" t="s">
        <v>2913</v>
      </c>
      <c r="Q15" t="s">
        <v>1444</v>
      </c>
      <c r="R15" t="s">
        <v>1550</v>
      </c>
      <c r="S15">
        <v>4653</v>
      </c>
      <c r="T15">
        <v>4547</v>
      </c>
      <c r="X15" s="4">
        <v>42312</v>
      </c>
      <c r="AA15" t="s">
        <v>3212</v>
      </c>
      <c r="AB15" t="s">
        <v>3235</v>
      </c>
      <c r="AI15">
        <v>4393</v>
      </c>
      <c r="AJ15" s="4">
        <v>43757</v>
      </c>
    </row>
    <row r="16" spans="1:46" x14ac:dyDescent="0.35">
      <c r="A16" t="s">
        <v>26</v>
      </c>
      <c r="C16" t="s">
        <v>19</v>
      </c>
      <c r="F16" s="8" t="s">
        <v>80</v>
      </c>
      <c r="G16" t="s">
        <v>81</v>
      </c>
      <c r="H16" t="s">
        <v>82</v>
      </c>
      <c r="I16" t="s">
        <v>81</v>
      </c>
      <c r="J16" t="s">
        <v>877</v>
      </c>
      <c r="K16" t="s">
        <v>1367</v>
      </c>
      <c r="M16" t="s">
        <v>100</v>
      </c>
      <c r="Q16" t="s">
        <v>1445</v>
      </c>
      <c r="R16" t="s">
        <v>1551</v>
      </c>
      <c r="S16" s="258" t="s">
        <v>1547</v>
      </c>
      <c r="T16" s="5" t="s">
        <v>1547</v>
      </c>
      <c r="X16" s="4">
        <v>42370</v>
      </c>
      <c r="AA16" t="s">
        <v>1360</v>
      </c>
      <c r="AB16" t="s">
        <v>3236</v>
      </c>
      <c r="AI16">
        <v>6695</v>
      </c>
      <c r="AJ16" s="4">
        <v>43758</v>
      </c>
    </row>
    <row r="17" spans="1:39" x14ac:dyDescent="0.35">
      <c r="A17" s="6" t="s">
        <v>36</v>
      </c>
      <c r="F17" s="8" t="s">
        <v>1715</v>
      </c>
      <c r="G17" t="s">
        <v>84</v>
      </c>
      <c r="H17" t="s">
        <v>85</v>
      </c>
      <c r="I17" t="s">
        <v>84</v>
      </c>
      <c r="J17" t="s">
        <v>878</v>
      </c>
      <c r="K17" t="s">
        <v>878</v>
      </c>
      <c r="M17" t="s">
        <v>1260</v>
      </c>
      <c r="Q17" t="s">
        <v>1446</v>
      </c>
      <c r="R17" t="s">
        <v>1552</v>
      </c>
      <c r="S17">
        <v>3638</v>
      </c>
      <c r="T17">
        <v>3556</v>
      </c>
      <c r="X17" s="4">
        <v>42371</v>
      </c>
      <c r="AA17" t="s">
        <v>3210</v>
      </c>
      <c r="AB17" t="s">
        <v>3237</v>
      </c>
      <c r="AI17">
        <v>3435</v>
      </c>
      <c r="AJ17" s="4">
        <v>43764</v>
      </c>
    </row>
    <row r="18" spans="1:39" x14ac:dyDescent="0.35">
      <c r="A18" s="101" t="s">
        <v>844</v>
      </c>
      <c r="C18" t="s">
        <v>667</v>
      </c>
      <c r="D18" t="s">
        <v>7816</v>
      </c>
      <c r="F18" t="s">
        <v>1714</v>
      </c>
      <c r="G18" t="s">
        <v>86</v>
      </c>
      <c r="H18" t="s">
        <v>87</v>
      </c>
      <c r="I18" t="s">
        <v>86</v>
      </c>
      <c r="J18" t="s">
        <v>879</v>
      </c>
      <c r="K18" t="s">
        <v>879</v>
      </c>
      <c r="M18" t="s">
        <v>5194</v>
      </c>
      <c r="Q18" t="s">
        <v>1447</v>
      </c>
      <c r="R18" t="s">
        <v>1553</v>
      </c>
      <c r="S18">
        <v>6150</v>
      </c>
      <c r="T18">
        <v>6150</v>
      </c>
      <c r="X18" s="4">
        <v>42372</v>
      </c>
      <c r="AA18" s="3"/>
      <c r="AI18">
        <v>5942</v>
      </c>
      <c r="AJ18" s="4">
        <v>43765</v>
      </c>
    </row>
    <row r="19" spans="1:39" x14ac:dyDescent="0.35">
      <c r="A19" t="s">
        <v>40</v>
      </c>
      <c r="C19" t="s">
        <v>1252</v>
      </c>
      <c r="D19" t="s">
        <v>7817</v>
      </c>
      <c r="F19" t="s">
        <v>1712</v>
      </c>
      <c r="G19" t="s">
        <v>88</v>
      </c>
      <c r="H19" t="s">
        <v>89</v>
      </c>
      <c r="I19" t="s">
        <v>88</v>
      </c>
      <c r="J19" t="s">
        <v>880</v>
      </c>
      <c r="K19" t="s">
        <v>880</v>
      </c>
      <c r="Q19" t="s">
        <v>1448</v>
      </c>
      <c r="R19" t="s">
        <v>1549</v>
      </c>
      <c r="S19">
        <v>11167</v>
      </c>
      <c r="T19">
        <v>10914</v>
      </c>
      <c r="X19" s="4">
        <v>42373</v>
      </c>
      <c r="AA19" s="3"/>
      <c r="AI19">
        <v>10544</v>
      </c>
      <c r="AJ19" s="4">
        <v>43771</v>
      </c>
    </row>
    <row r="20" spans="1:39" x14ac:dyDescent="0.35">
      <c r="A20" t="s">
        <v>41</v>
      </c>
      <c r="C20" t="s">
        <v>1253</v>
      </c>
      <c r="F20" t="s">
        <v>1713</v>
      </c>
      <c r="G20" t="s">
        <v>90</v>
      </c>
      <c r="H20" t="s">
        <v>91</v>
      </c>
      <c r="I20" t="s">
        <v>90</v>
      </c>
      <c r="J20" t="s">
        <v>881</v>
      </c>
      <c r="K20" t="s">
        <v>881</v>
      </c>
      <c r="Q20" t="s">
        <v>1449</v>
      </c>
      <c r="R20" t="s">
        <v>1554</v>
      </c>
      <c r="S20">
        <v>5197</v>
      </c>
      <c r="T20">
        <v>5197</v>
      </c>
      <c r="X20" s="4">
        <v>42374</v>
      </c>
      <c r="AI20">
        <v>5021</v>
      </c>
      <c r="AJ20" s="4">
        <v>43772</v>
      </c>
    </row>
    <row r="21" spans="1:39" x14ac:dyDescent="0.35">
      <c r="A21" t="s">
        <v>109</v>
      </c>
      <c r="C21" t="s">
        <v>3111</v>
      </c>
      <c r="F21" t="s">
        <v>1125</v>
      </c>
      <c r="G21" t="s">
        <v>92</v>
      </c>
      <c r="H21" t="s">
        <v>93</v>
      </c>
      <c r="I21" t="s">
        <v>92</v>
      </c>
      <c r="J21" t="s">
        <v>882</v>
      </c>
      <c r="K21" t="s">
        <v>882</v>
      </c>
      <c r="Q21" t="s">
        <v>1450</v>
      </c>
      <c r="R21" t="s">
        <v>1555</v>
      </c>
      <c r="S21">
        <v>3559</v>
      </c>
      <c r="T21">
        <v>3478</v>
      </c>
      <c r="X21" s="4">
        <v>42375</v>
      </c>
      <c r="AI21">
        <v>3360</v>
      </c>
      <c r="AJ21" s="4">
        <v>43773</v>
      </c>
    </row>
    <row r="22" spans="1:39" x14ac:dyDescent="0.35">
      <c r="A22" t="s">
        <v>110</v>
      </c>
      <c r="C22" t="s">
        <v>1870</v>
      </c>
      <c r="F22" t="s">
        <v>1126</v>
      </c>
      <c r="G22" t="s">
        <v>5204</v>
      </c>
      <c r="H22" t="s">
        <v>5204</v>
      </c>
      <c r="I22" t="s">
        <v>5205</v>
      </c>
      <c r="J22" t="s">
        <v>5206</v>
      </c>
      <c r="K22" t="s">
        <v>5206</v>
      </c>
      <c r="Q22" t="s">
        <v>1451</v>
      </c>
      <c r="R22" t="s">
        <v>1556</v>
      </c>
      <c r="S22">
        <v>2302</v>
      </c>
      <c r="T22">
        <v>2302</v>
      </c>
      <c r="X22" s="4">
        <v>42376</v>
      </c>
      <c r="AI22">
        <v>2224</v>
      </c>
      <c r="AJ22" s="4">
        <v>43778</v>
      </c>
    </row>
    <row r="23" spans="1:39" x14ac:dyDescent="0.35">
      <c r="F23" t="s">
        <v>1127</v>
      </c>
      <c r="G23" t="s">
        <v>94</v>
      </c>
      <c r="H23" t="s">
        <v>95</v>
      </c>
      <c r="I23" t="s">
        <v>94</v>
      </c>
      <c r="J23" t="s">
        <v>883</v>
      </c>
      <c r="K23" t="s">
        <v>883</v>
      </c>
      <c r="Q23" t="s">
        <v>1452</v>
      </c>
      <c r="R23" t="s">
        <v>1557</v>
      </c>
      <c r="S23">
        <v>5717</v>
      </c>
      <c r="T23">
        <v>5717</v>
      </c>
      <c r="X23" s="4">
        <v>42377</v>
      </c>
      <c r="AI23">
        <v>5523</v>
      </c>
      <c r="AJ23" s="4">
        <v>43779</v>
      </c>
    </row>
    <row r="24" spans="1:39" x14ac:dyDescent="0.35">
      <c r="A24" t="s">
        <v>113</v>
      </c>
      <c r="F24" t="s">
        <v>1128</v>
      </c>
      <c r="G24" t="s">
        <v>96</v>
      </c>
      <c r="H24" t="s">
        <v>97</v>
      </c>
      <c r="I24" t="s">
        <v>96</v>
      </c>
      <c r="J24" t="s">
        <v>884</v>
      </c>
      <c r="K24" t="s">
        <v>884</v>
      </c>
      <c r="Q24" t="s">
        <v>1453</v>
      </c>
      <c r="R24" t="s">
        <v>1558</v>
      </c>
      <c r="S24">
        <v>4909</v>
      </c>
      <c r="T24">
        <v>4797</v>
      </c>
      <c r="X24" s="4">
        <v>42423</v>
      </c>
      <c r="AA24" s="3"/>
      <c r="AI24">
        <v>4635</v>
      </c>
      <c r="AJ24" s="4">
        <v>43785</v>
      </c>
    </row>
    <row r="25" spans="1:39" x14ac:dyDescent="0.35">
      <c r="A25" t="s">
        <v>2911</v>
      </c>
      <c r="F25" t="s">
        <v>1129</v>
      </c>
      <c r="G25" t="s">
        <v>98</v>
      </c>
      <c r="H25" t="s">
        <v>99</v>
      </c>
      <c r="I25" t="s">
        <v>98</v>
      </c>
      <c r="J25" t="s">
        <v>885</v>
      </c>
      <c r="K25" t="s">
        <v>885</v>
      </c>
      <c r="Q25" t="s">
        <v>1454</v>
      </c>
      <c r="R25" t="s">
        <v>1559</v>
      </c>
      <c r="S25">
        <v>5141</v>
      </c>
      <c r="T25">
        <v>5024</v>
      </c>
      <c r="X25" s="4">
        <v>42437</v>
      </c>
      <c r="AI25">
        <v>4854</v>
      </c>
      <c r="AJ25" s="4">
        <v>43786</v>
      </c>
    </row>
    <row r="26" spans="1:39" x14ac:dyDescent="0.35">
      <c r="A26" t="s">
        <v>4</v>
      </c>
      <c r="F26" t="s">
        <v>100</v>
      </c>
      <c r="G26" t="s">
        <v>1359</v>
      </c>
      <c r="H26" t="s">
        <v>1360</v>
      </c>
      <c r="I26" t="s">
        <v>1359</v>
      </c>
      <c r="J26" t="s">
        <v>1361</v>
      </c>
      <c r="K26" t="s">
        <v>1368</v>
      </c>
      <c r="Q26" t="s">
        <v>1455</v>
      </c>
      <c r="R26" t="s">
        <v>1560</v>
      </c>
      <c r="S26">
        <v>3545</v>
      </c>
      <c r="T26">
        <v>3465</v>
      </c>
      <c r="X26" s="4">
        <v>42491</v>
      </c>
      <c r="AI26">
        <v>3347</v>
      </c>
      <c r="AJ26" s="4">
        <v>43792</v>
      </c>
    </row>
    <row r="27" spans="1:39" x14ac:dyDescent="0.35">
      <c r="A27" s="3" t="s">
        <v>2912</v>
      </c>
      <c r="F27" t="s">
        <v>101</v>
      </c>
      <c r="G27" t="s">
        <v>102</v>
      </c>
      <c r="H27" t="s">
        <v>103</v>
      </c>
      <c r="I27" t="s">
        <v>102</v>
      </c>
      <c r="J27" t="s">
        <v>886</v>
      </c>
      <c r="K27" t="s">
        <v>886</v>
      </c>
      <c r="Q27" t="s">
        <v>1456</v>
      </c>
      <c r="R27" t="s">
        <v>1561</v>
      </c>
      <c r="S27">
        <v>4158</v>
      </c>
      <c r="T27">
        <v>4158</v>
      </c>
      <c r="X27" s="4">
        <v>42499</v>
      </c>
      <c r="AI27">
        <v>4017</v>
      </c>
      <c r="AJ27" s="4">
        <v>43793</v>
      </c>
    </row>
    <row r="28" spans="1:39" x14ac:dyDescent="0.35">
      <c r="A28" s="3" t="s">
        <v>913</v>
      </c>
      <c r="F28" t="s">
        <v>104</v>
      </c>
      <c r="G28" t="s">
        <v>112</v>
      </c>
      <c r="H28" t="s">
        <v>112</v>
      </c>
      <c r="I28" t="s">
        <v>112</v>
      </c>
      <c r="K28" t="s">
        <v>1369</v>
      </c>
      <c r="Q28" t="s">
        <v>1457</v>
      </c>
      <c r="R28" t="s">
        <v>1562</v>
      </c>
      <c r="S28">
        <v>3204</v>
      </c>
      <c r="T28">
        <v>3131</v>
      </c>
      <c r="X28" s="4">
        <v>42533</v>
      </c>
      <c r="AI28">
        <v>3025</v>
      </c>
      <c r="AJ28" s="4">
        <v>43799</v>
      </c>
    </row>
    <row r="29" spans="1:39" x14ac:dyDescent="0.35">
      <c r="A29" s="3" t="s">
        <v>3097</v>
      </c>
      <c r="B29" s="63" t="s">
        <v>3098</v>
      </c>
      <c r="F29" t="s">
        <v>105</v>
      </c>
      <c r="G29" t="s">
        <v>106</v>
      </c>
      <c r="H29" t="s">
        <v>107</v>
      </c>
      <c r="I29" t="s">
        <v>106</v>
      </c>
      <c r="K29" t="s">
        <v>107</v>
      </c>
      <c r="Q29" s="3" t="s">
        <v>1458</v>
      </c>
      <c r="R29" s="3" t="s">
        <v>1563</v>
      </c>
      <c r="S29">
        <v>6323</v>
      </c>
      <c r="T29">
        <v>6323</v>
      </c>
      <c r="X29" s="4">
        <v>42678</v>
      </c>
      <c r="AI29">
        <v>6109</v>
      </c>
      <c r="AJ29" s="4">
        <v>43800</v>
      </c>
      <c r="AK29" s="3"/>
    </row>
    <row r="30" spans="1:39" ht="15" thickBot="1" x14ac:dyDescent="0.4">
      <c r="A30" t="s">
        <v>114</v>
      </c>
      <c r="F30" t="s">
        <v>1108</v>
      </c>
      <c r="G30" t="s">
        <v>1109</v>
      </c>
      <c r="H30" t="s">
        <v>1110</v>
      </c>
      <c r="I30" t="s">
        <v>1109</v>
      </c>
      <c r="J30" t="s">
        <v>1111</v>
      </c>
      <c r="K30" t="s">
        <v>1370</v>
      </c>
      <c r="Q30" t="s">
        <v>1459</v>
      </c>
      <c r="R30" t="s">
        <v>1564</v>
      </c>
      <c r="S30" s="258" t="s">
        <v>1547</v>
      </c>
      <c r="T30" s="5" t="s">
        <v>1547</v>
      </c>
      <c r="X30" s="4">
        <v>42736</v>
      </c>
      <c r="AI30" s="5" t="s">
        <v>1547</v>
      </c>
      <c r="AJ30" s="4">
        <v>43806</v>
      </c>
    </row>
    <row r="31" spans="1:39" s="3" customFormat="1" ht="15.5" thickTop="1" thickBot="1" x14ac:dyDescent="0.4">
      <c r="A31" s="46" t="s">
        <v>559</v>
      </c>
      <c r="B31" s="46" t="s">
        <v>562</v>
      </c>
      <c r="F31" s="3" t="s">
        <v>1652</v>
      </c>
      <c r="G31" s="3" t="s">
        <v>3122</v>
      </c>
      <c r="H31" s="3" t="s">
        <v>1654</v>
      </c>
      <c r="I31" s="3" t="s">
        <v>1656</v>
      </c>
      <c r="J31" s="3" t="s">
        <v>1658</v>
      </c>
      <c r="M31"/>
      <c r="Q31" t="s">
        <v>1440</v>
      </c>
      <c r="R31" t="s">
        <v>1513</v>
      </c>
      <c r="S31">
        <v>5710</v>
      </c>
      <c r="T31" s="3">
        <v>5710</v>
      </c>
      <c r="X31" s="4">
        <v>42737</v>
      </c>
      <c r="Y31"/>
      <c r="AA31"/>
      <c r="AI31" s="3">
        <v>5516</v>
      </c>
      <c r="AJ31" s="357">
        <v>43807</v>
      </c>
      <c r="AK31"/>
      <c r="AL31"/>
      <c r="AM31"/>
    </row>
    <row r="32" spans="1:39" ht="15" thickTop="1" x14ac:dyDescent="0.35">
      <c r="A32" t="s">
        <v>132</v>
      </c>
      <c r="D32" t="s">
        <v>1264</v>
      </c>
      <c r="F32" s="3" t="s">
        <v>1653</v>
      </c>
      <c r="G32" s="3" t="s">
        <v>3123</v>
      </c>
      <c r="H32" s="3" t="s">
        <v>1655</v>
      </c>
      <c r="I32" s="3" t="s">
        <v>1657</v>
      </c>
      <c r="J32" s="3" t="s">
        <v>1659</v>
      </c>
      <c r="M32" s="3"/>
      <c r="Q32" t="s">
        <v>1460</v>
      </c>
      <c r="R32" t="s">
        <v>1565</v>
      </c>
      <c r="S32">
        <v>5710</v>
      </c>
      <c r="T32">
        <v>5710</v>
      </c>
      <c r="X32" s="4">
        <v>42738</v>
      </c>
      <c r="Y32" s="3"/>
      <c r="AI32" s="3">
        <v>5516</v>
      </c>
      <c r="AJ32" s="4">
        <v>43813</v>
      </c>
      <c r="AL32" s="3"/>
      <c r="AM32" s="3"/>
    </row>
    <row r="33" spans="1:39" x14ac:dyDescent="0.35">
      <c r="A33" t="s">
        <v>842</v>
      </c>
      <c r="D33" t="s">
        <v>1265</v>
      </c>
      <c r="F33" t="s">
        <v>2913</v>
      </c>
      <c r="G33" t="s">
        <v>2914</v>
      </c>
      <c r="H33" t="s">
        <v>2915</v>
      </c>
      <c r="I33" t="s">
        <v>2914</v>
      </c>
      <c r="J33" t="s">
        <v>2916</v>
      </c>
      <c r="K33" t="s">
        <v>2916</v>
      </c>
      <c r="Q33" t="s">
        <v>1461</v>
      </c>
      <c r="R33" t="s">
        <v>1566</v>
      </c>
      <c r="S33">
        <v>4303</v>
      </c>
      <c r="T33">
        <v>4205</v>
      </c>
      <c r="X33" s="4">
        <v>42739</v>
      </c>
      <c r="AI33" s="3">
        <v>4062</v>
      </c>
      <c r="AJ33" s="4">
        <v>43814</v>
      </c>
    </row>
    <row r="34" spans="1:39" x14ac:dyDescent="0.35">
      <c r="A34" t="s">
        <v>133</v>
      </c>
      <c r="F34" t="s">
        <v>5194</v>
      </c>
      <c r="G34" t="s">
        <v>5219</v>
      </c>
      <c r="H34" t="s">
        <v>5219</v>
      </c>
      <c r="I34" t="s">
        <v>5220</v>
      </c>
      <c r="J34" t="s">
        <v>5221</v>
      </c>
      <c r="K34" t="s">
        <v>5221</v>
      </c>
      <c r="Q34" t="s">
        <v>1462</v>
      </c>
      <c r="R34" t="s">
        <v>1567</v>
      </c>
      <c r="S34" s="258" t="s">
        <v>1547</v>
      </c>
      <c r="T34" s="5" t="s">
        <v>1547</v>
      </c>
      <c r="X34" s="4">
        <v>42740</v>
      </c>
      <c r="AI34" s="5" t="s">
        <v>1547</v>
      </c>
      <c r="AJ34" s="4">
        <v>43820</v>
      </c>
    </row>
    <row r="35" spans="1:39" x14ac:dyDescent="0.35">
      <c r="A35" t="s">
        <v>134</v>
      </c>
      <c r="Q35" t="s">
        <v>1463</v>
      </c>
      <c r="R35" t="s">
        <v>1568</v>
      </c>
      <c r="S35">
        <v>3756</v>
      </c>
      <c r="T35">
        <v>3756</v>
      </c>
      <c r="X35" s="4">
        <v>42741</v>
      </c>
      <c r="AI35">
        <v>3629</v>
      </c>
      <c r="AJ35" s="4">
        <v>43821</v>
      </c>
    </row>
    <row r="36" spans="1:39" x14ac:dyDescent="0.35">
      <c r="A36" t="s">
        <v>560</v>
      </c>
      <c r="Q36" s="3" t="s">
        <v>1464</v>
      </c>
      <c r="R36" s="3" t="s">
        <v>1571</v>
      </c>
      <c r="S36">
        <v>2127</v>
      </c>
      <c r="T36">
        <v>2079</v>
      </c>
      <c r="X36" s="4">
        <v>42742</v>
      </c>
      <c r="AI36">
        <v>2008</v>
      </c>
      <c r="AJ36" s="4">
        <v>43827</v>
      </c>
      <c r="AK36" s="3"/>
    </row>
    <row r="37" spans="1:39" s="3" customFormat="1" x14ac:dyDescent="0.35">
      <c r="A37" s="3" t="s">
        <v>135</v>
      </c>
      <c r="M37"/>
      <c r="Q37" t="s">
        <v>1465</v>
      </c>
      <c r="R37" t="s">
        <v>1569</v>
      </c>
      <c r="S37" s="3">
        <v>3635</v>
      </c>
      <c r="T37" s="3">
        <v>3553</v>
      </c>
      <c r="X37" s="4">
        <v>42743</v>
      </c>
      <c r="Y37"/>
      <c r="AA37"/>
      <c r="AI37" s="3">
        <v>3433</v>
      </c>
      <c r="AJ37" s="357">
        <v>43828</v>
      </c>
      <c r="AK37"/>
      <c r="AL37"/>
      <c r="AM37"/>
    </row>
    <row r="38" spans="1:39" x14ac:dyDescent="0.35">
      <c r="A38" s="3" t="s">
        <v>136</v>
      </c>
      <c r="M38" s="3"/>
      <c r="Q38" t="s">
        <v>1466</v>
      </c>
      <c r="R38" t="s">
        <v>1570</v>
      </c>
      <c r="S38" s="3">
        <v>3629</v>
      </c>
      <c r="T38">
        <v>3546</v>
      </c>
      <c r="X38" s="4">
        <v>42789</v>
      </c>
      <c r="Y38" s="3"/>
      <c r="AI38" s="3">
        <v>3426</v>
      </c>
      <c r="AJ38" s="4">
        <v>43831</v>
      </c>
      <c r="AL38" s="3"/>
      <c r="AM38" s="3"/>
    </row>
    <row r="39" spans="1:39" x14ac:dyDescent="0.35">
      <c r="A39" s="3" t="s">
        <v>1273</v>
      </c>
      <c r="Q39" t="s">
        <v>1467</v>
      </c>
      <c r="R39" t="s">
        <v>1572</v>
      </c>
      <c r="S39">
        <v>3638</v>
      </c>
      <c r="T39">
        <v>3638</v>
      </c>
      <c r="X39" s="4">
        <v>42802</v>
      </c>
      <c r="AI39">
        <v>3515</v>
      </c>
      <c r="AJ39" s="4">
        <v>43832</v>
      </c>
    </row>
    <row r="40" spans="1:39" x14ac:dyDescent="0.35">
      <c r="A40" s="3" t="s">
        <v>137</v>
      </c>
      <c r="Q40" t="s">
        <v>1468</v>
      </c>
      <c r="R40" t="s">
        <v>1573</v>
      </c>
      <c r="S40">
        <v>5977</v>
      </c>
      <c r="T40">
        <v>5977</v>
      </c>
      <c r="X40" s="4">
        <v>42856</v>
      </c>
      <c r="AI40">
        <v>5774</v>
      </c>
      <c r="AJ40" s="4">
        <v>43833</v>
      </c>
    </row>
    <row r="41" spans="1:39" x14ac:dyDescent="0.35">
      <c r="A41" s="3" t="s">
        <v>138</v>
      </c>
      <c r="B41" t="s">
        <v>866</v>
      </c>
      <c r="Q41" t="s">
        <v>1469</v>
      </c>
      <c r="R41" t="s">
        <v>1574</v>
      </c>
      <c r="S41">
        <v>3307</v>
      </c>
      <c r="T41">
        <v>3307</v>
      </c>
      <c r="X41" s="4">
        <v>42864</v>
      </c>
      <c r="AI41">
        <v>3195</v>
      </c>
      <c r="AJ41" s="4">
        <v>43834</v>
      </c>
    </row>
    <row r="42" spans="1:39" x14ac:dyDescent="0.35">
      <c r="A42" s="3" t="s">
        <v>139</v>
      </c>
      <c r="B42" s="262" t="s">
        <v>1660</v>
      </c>
      <c r="C42" t="s">
        <v>1661</v>
      </c>
      <c r="Q42" t="s">
        <v>1470</v>
      </c>
      <c r="R42" t="s">
        <v>906</v>
      </c>
      <c r="S42">
        <v>3018</v>
      </c>
      <c r="T42">
        <v>3018</v>
      </c>
      <c r="X42" s="4">
        <v>42898</v>
      </c>
      <c r="AI42">
        <v>2916</v>
      </c>
      <c r="AJ42" s="4">
        <v>43835</v>
      </c>
    </row>
    <row r="43" spans="1:39" x14ac:dyDescent="0.35">
      <c r="A43" s="3" t="s">
        <v>561</v>
      </c>
      <c r="B43" s="63" t="s">
        <v>3218</v>
      </c>
      <c r="C43" s="276" t="s">
        <v>5168</v>
      </c>
      <c r="Q43" t="s">
        <v>1471</v>
      </c>
      <c r="R43" t="s">
        <v>1575</v>
      </c>
      <c r="S43">
        <v>9678</v>
      </c>
      <c r="T43">
        <v>9459</v>
      </c>
      <c r="X43" s="4">
        <v>43043</v>
      </c>
      <c r="AI43">
        <v>9138</v>
      </c>
      <c r="AJ43" s="4">
        <v>43836</v>
      </c>
    </row>
    <row r="44" spans="1:39" x14ac:dyDescent="0.35">
      <c r="A44" s="3" t="s">
        <v>140</v>
      </c>
      <c r="Q44" t="s">
        <v>1472</v>
      </c>
      <c r="R44" t="s">
        <v>1576</v>
      </c>
      <c r="S44">
        <v>4886</v>
      </c>
      <c r="T44">
        <v>4775</v>
      </c>
      <c r="X44" s="4">
        <v>43101</v>
      </c>
      <c r="AI44">
        <v>4613</v>
      </c>
      <c r="AJ44" s="4">
        <v>43837</v>
      </c>
    </row>
    <row r="45" spans="1:39" x14ac:dyDescent="0.35">
      <c r="A45" s="3" t="s">
        <v>141</v>
      </c>
      <c r="Q45" t="s">
        <v>1473</v>
      </c>
      <c r="R45" t="s">
        <v>1152</v>
      </c>
      <c r="S45">
        <v>5318</v>
      </c>
      <c r="T45">
        <v>5197</v>
      </c>
      <c r="X45" s="4">
        <v>43102</v>
      </c>
      <c r="AI45">
        <v>5021</v>
      </c>
      <c r="AJ45" s="4">
        <v>43838</v>
      </c>
    </row>
    <row r="46" spans="1:39" x14ac:dyDescent="0.35">
      <c r="A46" s="3" t="s">
        <v>843</v>
      </c>
      <c r="Q46" t="s">
        <v>1474</v>
      </c>
      <c r="R46" t="s">
        <v>1577</v>
      </c>
      <c r="S46">
        <v>2304</v>
      </c>
      <c r="T46">
        <v>2252</v>
      </c>
      <c r="X46" s="4">
        <v>43103</v>
      </c>
      <c r="AI46">
        <v>2176</v>
      </c>
      <c r="AJ46" s="4">
        <v>44176</v>
      </c>
    </row>
    <row r="47" spans="1:39" x14ac:dyDescent="0.35">
      <c r="A47" s="3" t="s">
        <v>142</v>
      </c>
      <c r="Q47" t="s">
        <v>1475</v>
      </c>
      <c r="R47" t="s">
        <v>1578</v>
      </c>
      <c r="S47">
        <v>3670</v>
      </c>
      <c r="T47">
        <v>3670</v>
      </c>
      <c r="X47" s="4">
        <v>43104</v>
      </c>
      <c r="AI47">
        <v>3546</v>
      </c>
      <c r="AJ47" s="4">
        <v>44177</v>
      </c>
    </row>
    <row r="48" spans="1:39" x14ac:dyDescent="0.35">
      <c r="A48" s="3" t="s">
        <v>143</v>
      </c>
      <c r="Q48" t="s">
        <v>1476</v>
      </c>
      <c r="R48" t="s">
        <v>1579</v>
      </c>
      <c r="S48">
        <v>3671</v>
      </c>
      <c r="T48">
        <v>3587</v>
      </c>
      <c r="X48" s="4">
        <v>43105</v>
      </c>
      <c r="AI48">
        <v>3466</v>
      </c>
      <c r="AJ48" s="4">
        <v>43848</v>
      </c>
    </row>
    <row r="49" spans="1:36" x14ac:dyDescent="0.35">
      <c r="A49" s="3" t="s">
        <v>147</v>
      </c>
      <c r="Q49" t="s">
        <v>1477</v>
      </c>
      <c r="R49" t="s">
        <v>1580</v>
      </c>
      <c r="S49">
        <v>6132</v>
      </c>
      <c r="T49">
        <v>6132</v>
      </c>
      <c r="X49" s="4">
        <v>43106</v>
      </c>
      <c r="AI49">
        <v>5925</v>
      </c>
      <c r="AJ49" s="4">
        <v>43849</v>
      </c>
    </row>
    <row r="50" spans="1:36" x14ac:dyDescent="0.35">
      <c r="A50" s="3" t="s">
        <v>148</v>
      </c>
      <c r="Q50" t="s">
        <v>1478</v>
      </c>
      <c r="R50" t="s">
        <v>1581</v>
      </c>
      <c r="S50">
        <v>3638</v>
      </c>
      <c r="T50">
        <v>3638</v>
      </c>
      <c r="X50" s="4">
        <v>43107</v>
      </c>
      <c r="AI50">
        <v>3515</v>
      </c>
      <c r="AJ50" s="4">
        <v>43855</v>
      </c>
    </row>
    <row r="51" spans="1:36" x14ac:dyDescent="0.35">
      <c r="A51" s="47" t="s">
        <v>575</v>
      </c>
      <c r="Q51" t="s">
        <v>1479</v>
      </c>
      <c r="R51" t="s">
        <v>1582</v>
      </c>
      <c r="S51">
        <v>3191</v>
      </c>
      <c r="T51">
        <v>3118</v>
      </c>
      <c r="X51" s="4">
        <v>43108</v>
      </c>
      <c r="AI51">
        <v>3013</v>
      </c>
      <c r="AJ51" s="4">
        <v>43856</v>
      </c>
    </row>
    <row r="52" spans="1:36" x14ac:dyDescent="0.35">
      <c r="A52" s="3" t="s">
        <v>572</v>
      </c>
      <c r="B52" s="3" t="s">
        <v>867</v>
      </c>
      <c r="Q52" t="s">
        <v>1480</v>
      </c>
      <c r="R52" t="s">
        <v>1583</v>
      </c>
      <c r="S52">
        <v>2309</v>
      </c>
      <c r="T52">
        <v>2257</v>
      </c>
      <c r="X52" s="4">
        <v>43154</v>
      </c>
      <c r="AI52">
        <v>2181</v>
      </c>
      <c r="AJ52" s="4">
        <v>43862</v>
      </c>
    </row>
    <row r="53" spans="1:36" x14ac:dyDescent="0.35">
      <c r="A53" s="3" t="s">
        <v>573</v>
      </c>
      <c r="B53" s="65" t="s">
        <v>1735</v>
      </c>
      <c r="Q53" t="s">
        <v>1481</v>
      </c>
      <c r="R53" t="s">
        <v>1584</v>
      </c>
      <c r="S53" s="258" t="s">
        <v>1547</v>
      </c>
      <c r="T53" s="5" t="s">
        <v>1547</v>
      </c>
      <c r="X53" s="4">
        <v>43167</v>
      </c>
      <c r="AI53">
        <v>6918</v>
      </c>
      <c r="AJ53" s="4">
        <v>43863</v>
      </c>
    </row>
    <row r="54" spans="1:36" x14ac:dyDescent="0.35">
      <c r="A54" s="3" t="s">
        <v>574</v>
      </c>
      <c r="Q54" t="s">
        <v>1482</v>
      </c>
      <c r="R54" t="s">
        <v>1585</v>
      </c>
      <c r="S54">
        <v>4847</v>
      </c>
      <c r="T54">
        <v>4737</v>
      </c>
      <c r="X54" s="4">
        <v>43221</v>
      </c>
      <c r="AI54">
        <v>4576</v>
      </c>
      <c r="AJ54" s="4">
        <v>43869</v>
      </c>
    </row>
    <row r="55" spans="1:36" x14ac:dyDescent="0.35">
      <c r="A55" s="3" t="s">
        <v>605</v>
      </c>
      <c r="B55" s="63" t="s">
        <v>5218</v>
      </c>
      <c r="Q55" t="s">
        <v>1483</v>
      </c>
      <c r="R55" t="s">
        <v>1586</v>
      </c>
      <c r="S55">
        <v>3984</v>
      </c>
      <c r="T55">
        <v>3984</v>
      </c>
      <c r="X55" s="4">
        <v>43229</v>
      </c>
      <c r="AI55">
        <v>3849</v>
      </c>
      <c r="AJ55" s="4">
        <v>43870</v>
      </c>
    </row>
    <row r="56" spans="1:36" x14ac:dyDescent="0.35">
      <c r="A56" s="47" t="s">
        <v>576</v>
      </c>
      <c r="Q56" t="s">
        <v>1484</v>
      </c>
      <c r="R56" t="s">
        <v>1587</v>
      </c>
      <c r="S56" s="258" t="s">
        <v>1547</v>
      </c>
      <c r="T56" s="5" t="s">
        <v>1547</v>
      </c>
      <c r="X56" s="4">
        <v>43263</v>
      </c>
      <c r="AI56">
        <v>8703</v>
      </c>
      <c r="AJ56" s="4">
        <v>43876</v>
      </c>
    </row>
    <row r="57" spans="1:36" x14ac:dyDescent="0.35">
      <c r="A57" s="3" t="s">
        <v>577</v>
      </c>
      <c r="Q57" t="s">
        <v>1485</v>
      </c>
      <c r="R57" t="s">
        <v>1588</v>
      </c>
      <c r="S57">
        <v>3191</v>
      </c>
      <c r="T57">
        <v>3118</v>
      </c>
      <c r="X57" s="4">
        <v>43408</v>
      </c>
      <c r="AI57">
        <v>3013</v>
      </c>
      <c r="AJ57" s="4">
        <v>43877</v>
      </c>
    </row>
    <row r="58" spans="1:36" x14ac:dyDescent="0.35">
      <c r="A58" s="3" t="s">
        <v>578</v>
      </c>
      <c r="Q58" t="s">
        <v>1486</v>
      </c>
      <c r="R58" t="s">
        <v>1589</v>
      </c>
      <c r="S58">
        <v>6236</v>
      </c>
      <c r="T58">
        <v>6236</v>
      </c>
      <c r="X58" s="4">
        <v>43466</v>
      </c>
      <c r="AI58">
        <v>6025</v>
      </c>
      <c r="AJ58" s="4">
        <v>43883</v>
      </c>
    </row>
    <row r="59" spans="1:36" x14ac:dyDescent="0.35">
      <c r="A59" s="47" t="s">
        <v>579</v>
      </c>
      <c r="B59" s="60" t="s">
        <v>767</v>
      </c>
      <c r="Q59" t="s">
        <v>1548</v>
      </c>
      <c r="R59" t="s">
        <v>1590</v>
      </c>
      <c r="S59">
        <v>4009</v>
      </c>
      <c r="T59">
        <v>4009</v>
      </c>
      <c r="X59" s="4">
        <v>43467</v>
      </c>
      <c r="AI59">
        <v>3873</v>
      </c>
      <c r="AJ59" s="4">
        <v>43884</v>
      </c>
    </row>
    <row r="60" spans="1:36" x14ac:dyDescent="0.35">
      <c r="A60" s="3" t="s">
        <v>646</v>
      </c>
      <c r="B60" t="s">
        <v>686</v>
      </c>
      <c r="C60" t="s">
        <v>5503</v>
      </c>
      <c r="Q60" t="s">
        <v>1487</v>
      </c>
      <c r="R60" t="s">
        <v>1591</v>
      </c>
      <c r="S60">
        <v>3722</v>
      </c>
      <c r="T60">
        <v>3638</v>
      </c>
      <c r="X60" s="4">
        <v>43468</v>
      </c>
      <c r="AI60">
        <v>3515</v>
      </c>
      <c r="AJ60" s="4">
        <v>43885</v>
      </c>
    </row>
    <row r="61" spans="1:36" x14ac:dyDescent="0.35">
      <c r="A61" s="3" t="s">
        <v>581</v>
      </c>
      <c r="B61" t="s">
        <v>580</v>
      </c>
      <c r="Q61" t="s">
        <v>1488</v>
      </c>
      <c r="R61" t="s">
        <v>1592</v>
      </c>
      <c r="S61">
        <v>2659</v>
      </c>
      <c r="T61">
        <v>2599</v>
      </c>
      <c r="X61" s="4">
        <v>43469</v>
      </c>
      <c r="AI61">
        <v>2511</v>
      </c>
      <c r="AJ61" s="4">
        <v>43890</v>
      </c>
    </row>
    <row r="62" spans="1:36" x14ac:dyDescent="0.35">
      <c r="A62" s="3" t="s">
        <v>644</v>
      </c>
      <c r="Q62" t="s">
        <v>1489</v>
      </c>
      <c r="R62" t="s">
        <v>1593</v>
      </c>
      <c r="S62">
        <v>5019</v>
      </c>
      <c r="T62">
        <v>4905</v>
      </c>
      <c r="X62" s="4">
        <v>43470</v>
      </c>
      <c r="AI62">
        <v>4739</v>
      </c>
      <c r="AJ62" s="4">
        <v>43891</v>
      </c>
    </row>
    <row r="63" spans="1:36" x14ac:dyDescent="0.35">
      <c r="A63" s="3" t="s">
        <v>4</v>
      </c>
      <c r="Q63" t="s">
        <v>1490</v>
      </c>
      <c r="R63" t="s">
        <v>1594</v>
      </c>
      <c r="S63">
        <v>4793</v>
      </c>
      <c r="T63">
        <v>4793</v>
      </c>
      <c r="X63" s="4">
        <v>43471</v>
      </c>
      <c r="AI63">
        <v>4630</v>
      </c>
      <c r="AJ63" s="4">
        <v>43897</v>
      </c>
    </row>
    <row r="64" spans="1:36" x14ac:dyDescent="0.35">
      <c r="A64" s="3" t="s">
        <v>645</v>
      </c>
      <c r="B64" t="s">
        <v>687</v>
      </c>
      <c r="C64" t="s">
        <v>5514</v>
      </c>
      <c r="Q64" t="s">
        <v>1491</v>
      </c>
      <c r="R64" t="s">
        <v>1595</v>
      </c>
      <c r="S64">
        <v>5803</v>
      </c>
      <c r="T64">
        <v>5803</v>
      </c>
      <c r="X64" s="4">
        <v>43472</v>
      </c>
      <c r="AI64">
        <v>5607</v>
      </c>
      <c r="AJ64" s="4">
        <v>43898</v>
      </c>
    </row>
    <row r="65" spans="1:36" x14ac:dyDescent="0.35">
      <c r="A65" s="3" t="s">
        <v>582</v>
      </c>
      <c r="Q65" t="s">
        <v>1517</v>
      </c>
      <c r="R65" t="s">
        <v>1514</v>
      </c>
      <c r="S65">
        <v>3204</v>
      </c>
      <c r="T65">
        <v>3131</v>
      </c>
      <c r="X65" s="4">
        <v>43473</v>
      </c>
      <c r="AI65">
        <v>3025</v>
      </c>
      <c r="AJ65" s="4">
        <v>43899</v>
      </c>
    </row>
    <row r="66" spans="1:36" x14ac:dyDescent="0.35">
      <c r="A66" s="3" t="s">
        <v>583</v>
      </c>
      <c r="Q66" t="s">
        <v>1492</v>
      </c>
      <c r="R66" t="s">
        <v>1596</v>
      </c>
      <c r="S66">
        <v>5197</v>
      </c>
      <c r="T66">
        <v>5197</v>
      </c>
      <c r="X66" s="4">
        <v>43519</v>
      </c>
      <c r="AI66">
        <v>5021</v>
      </c>
      <c r="AJ66" s="4">
        <v>43904</v>
      </c>
    </row>
    <row r="67" spans="1:36" x14ac:dyDescent="0.35">
      <c r="A67" s="3" t="s">
        <v>653</v>
      </c>
      <c r="Q67" t="s">
        <v>1493</v>
      </c>
      <c r="R67" t="s">
        <v>1597</v>
      </c>
      <c r="S67">
        <v>5318</v>
      </c>
      <c r="T67">
        <v>5197</v>
      </c>
      <c r="X67" s="4">
        <v>43532</v>
      </c>
      <c r="AI67">
        <v>5021</v>
      </c>
      <c r="AJ67" s="4">
        <v>43905</v>
      </c>
    </row>
    <row r="68" spans="1:36" x14ac:dyDescent="0.35">
      <c r="A68" s="3" t="s">
        <v>654</v>
      </c>
      <c r="B68" t="s">
        <v>1261</v>
      </c>
      <c r="Q68" t="s">
        <v>1494</v>
      </c>
      <c r="R68" t="s">
        <v>1598</v>
      </c>
      <c r="S68">
        <v>4645</v>
      </c>
      <c r="T68">
        <v>4540</v>
      </c>
      <c r="X68" s="4">
        <v>43586</v>
      </c>
      <c r="AI68">
        <v>4386</v>
      </c>
      <c r="AJ68" s="4">
        <v>43911</v>
      </c>
    </row>
    <row r="69" spans="1:36" x14ac:dyDescent="0.35">
      <c r="A69" s="3" t="s">
        <v>132</v>
      </c>
      <c r="Q69" t="s">
        <v>1516</v>
      </c>
      <c r="R69" t="s">
        <v>1515</v>
      </c>
      <c r="S69">
        <v>3457</v>
      </c>
      <c r="T69">
        <v>3378</v>
      </c>
      <c r="X69" s="4">
        <v>43594</v>
      </c>
      <c r="AI69">
        <v>3264</v>
      </c>
      <c r="AJ69" s="4">
        <v>43912</v>
      </c>
    </row>
    <row r="70" spans="1:36" x14ac:dyDescent="0.35">
      <c r="A70" s="3" t="s">
        <v>584</v>
      </c>
      <c r="Q70" t="s">
        <v>1495</v>
      </c>
      <c r="R70" t="s">
        <v>1599</v>
      </c>
      <c r="S70">
        <v>6132</v>
      </c>
      <c r="T70">
        <v>6132</v>
      </c>
      <c r="X70" s="4">
        <v>43628</v>
      </c>
      <c r="AI70">
        <v>5925</v>
      </c>
      <c r="AJ70" s="4">
        <v>43918</v>
      </c>
    </row>
    <row r="71" spans="1:36" x14ac:dyDescent="0.35">
      <c r="A71" s="3" t="s">
        <v>585</v>
      </c>
      <c r="Q71" t="s">
        <v>1496</v>
      </c>
      <c r="R71" t="s">
        <v>1600</v>
      </c>
      <c r="S71">
        <v>6236</v>
      </c>
      <c r="T71">
        <v>6236</v>
      </c>
      <c r="X71" s="4">
        <v>43773</v>
      </c>
      <c r="AI71">
        <v>6025</v>
      </c>
      <c r="AJ71" s="4">
        <v>43919</v>
      </c>
    </row>
    <row r="72" spans="1:36" x14ac:dyDescent="0.35">
      <c r="A72" s="3" t="s">
        <v>586</v>
      </c>
      <c r="Q72" t="s">
        <v>1497</v>
      </c>
      <c r="R72" t="s">
        <v>1601</v>
      </c>
      <c r="S72">
        <v>3786</v>
      </c>
      <c r="T72">
        <v>3786</v>
      </c>
      <c r="X72" s="4">
        <v>43831</v>
      </c>
      <c r="AI72">
        <v>3658</v>
      </c>
      <c r="AJ72" s="4">
        <v>43920</v>
      </c>
    </row>
    <row r="73" spans="1:36" x14ac:dyDescent="0.35">
      <c r="A73" s="47" t="s">
        <v>587</v>
      </c>
      <c r="Q73" t="s">
        <v>1498</v>
      </c>
      <c r="R73" t="s">
        <v>1602</v>
      </c>
      <c r="S73">
        <v>5197</v>
      </c>
      <c r="T73">
        <v>5197</v>
      </c>
      <c r="X73" s="4">
        <v>43832</v>
      </c>
      <c r="AI73">
        <v>5021</v>
      </c>
      <c r="AJ73" s="4">
        <v>43921</v>
      </c>
    </row>
    <row r="74" spans="1:36" x14ac:dyDescent="0.35">
      <c r="A74" s="3" t="s">
        <v>3224</v>
      </c>
      <c r="B74" t="s">
        <v>3215</v>
      </c>
      <c r="C74" t="s">
        <v>810</v>
      </c>
      <c r="D74" t="s">
        <v>5585</v>
      </c>
      <c r="Q74" t="s">
        <v>1499</v>
      </c>
      <c r="R74" t="s">
        <v>1603</v>
      </c>
      <c r="S74">
        <v>3571</v>
      </c>
      <c r="T74">
        <v>3489</v>
      </c>
      <c r="X74" s="4">
        <v>43833</v>
      </c>
      <c r="AI74">
        <v>3371</v>
      </c>
      <c r="AJ74" s="4">
        <v>43922</v>
      </c>
    </row>
    <row r="75" spans="1:36" x14ac:dyDescent="0.35">
      <c r="A75" s="3" t="s">
        <v>657</v>
      </c>
      <c r="Q75" t="s">
        <v>1500</v>
      </c>
      <c r="R75" t="s">
        <v>1604</v>
      </c>
      <c r="S75">
        <v>6266</v>
      </c>
      <c r="T75">
        <v>6266</v>
      </c>
      <c r="X75" s="4">
        <v>43834</v>
      </c>
      <c r="AI75">
        <v>6054</v>
      </c>
      <c r="AJ75" s="4">
        <v>43923</v>
      </c>
    </row>
    <row r="76" spans="1:36" x14ac:dyDescent="0.35">
      <c r="A76" s="3" t="s">
        <v>4</v>
      </c>
      <c r="Q76" t="s">
        <v>1501</v>
      </c>
      <c r="R76" t="s">
        <v>1605</v>
      </c>
      <c r="S76">
        <v>4389</v>
      </c>
      <c r="T76">
        <v>4290</v>
      </c>
      <c r="X76" s="4">
        <v>43835</v>
      </c>
      <c r="AI76">
        <v>4144</v>
      </c>
      <c r="AJ76" s="4">
        <v>43924</v>
      </c>
    </row>
    <row r="77" spans="1:36" x14ac:dyDescent="0.35">
      <c r="A77" s="47" t="s">
        <v>588</v>
      </c>
      <c r="Q77" t="s">
        <v>1502</v>
      </c>
      <c r="R77" t="s">
        <v>1606</v>
      </c>
      <c r="S77">
        <v>3846</v>
      </c>
      <c r="T77">
        <v>3846</v>
      </c>
      <c r="X77" s="4">
        <v>43836</v>
      </c>
      <c r="AI77">
        <v>3716</v>
      </c>
      <c r="AJ77" s="4">
        <v>43925</v>
      </c>
    </row>
    <row r="78" spans="1:36" x14ac:dyDescent="0.35">
      <c r="A78" s="3" t="s">
        <v>589</v>
      </c>
      <c r="Q78" t="s">
        <v>1503</v>
      </c>
      <c r="R78" t="s">
        <v>1607</v>
      </c>
      <c r="S78">
        <v>3415</v>
      </c>
      <c r="T78">
        <v>3415</v>
      </c>
      <c r="X78" s="4">
        <v>43837</v>
      </c>
      <c r="AI78">
        <v>3300</v>
      </c>
      <c r="AJ78" s="4">
        <v>43926</v>
      </c>
    </row>
    <row r="79" spans="1:36" x14ac:dyDescent="0.35">
      <c r="A79" s="3" t="s">
        <v>580</v>
      </c>
      <c r="Q79" t="s">
        <v>1504</v>
      </c>
      <c r="R79" t="s">
        <v>1608</v>
      </c>
      <c r="S79">
        <v>6204</v>
      </c>
      <c r="T79">
        <v>6063</v>
      </c>
      <c r="X79" s="4">
        <v>43838</v>
      </c>
      <c r="AI79">
        <v>5858</v>
      </c>
      <c r="AJ79" s="4">
        <v>43927</v>
      </c>
    </row>
    <row r="80" spans="1:36" x14ac:dyDescent="0.35">
      <c r="A80" s="3" t="s">
        <v>5518</v>
      </c>
      <c r="Q80" t="s">
        <v>1505</v>
      </c>
      <c r="R80" t="s">
        <v>1609</v>
      </c>
      <c r="S80">
        <v>6333</v>
      </c>
      <c r="T80">
        <v>6190</v>
      </c>
      <c r="X80" s="4">
        <v>43885</v>
      </c>
      <c r="AI80">
        <v>5980</v>
      </c>
      <c r="AJ80" s="4">
        <v>43928</v>
      </c>
    </row>
    <row r="81" spans="1:39" x14ac:dyDescent="0.35">
      <c r="A81" s="3" t="s">
        <v>590</v>
      </c>
      <c r="Q81" t="s">
        <v>1506</v>
      </c>
      <c r="R81" t="s">
        <v>1610</v>
      </c>
      <c r="S81">
        <v>5587</v>
      </c>
      <c r="T81">
        <v>5461</v>
      </c>
      <c r="X81" s="4">
        <v>43899</v>
      </c>
      <c r="AI81">
        <v>5276</v>
      </c>
      <c r="AJ81" s="4">
        <v>43929</v>
      </c>
      <c r="AM81" s="4"/>
    </row>
    <row r="82" spans="1:39" x14ac:dyDescent="0.35">
      <c r="A82" s="3" t="s">
        <v>5556</v>
      </c>
      <c r="B82" s="63" t="s">
        <v>5517</v>
      </c>
      <c r="C82" s="63" t="s">
        <v>5519</v>
      </c>
      <c r="Q82" t="s">
        <v>1507</v>
      </c>
      <c r="R82" t="s">
        <v>1611</v>
      </c>
      <c r="S82">
        <v>6106</v>
      </c>
      <c r="T82">
        <v>6106</v>
      </c>
      <c r="X82" s="4">
        <v>43920</v>
      </c>
      <c r="AI82">
        <v>5900</v>
      </c>
      <c r="AJ82" s="4">
        <v>43930</v>
      </c>
    </row>
    <row r="83" spans="1:39" x14ac:dyDescent="0.35">
      <c r="A83" s="3" t="s">
        <v>5555</v>
      </c>
      <c r="B83" s="63" t="s">
        <v>1887</v>
      </c>
      <c r="C83" s="63" t="s">
        <v>5557</v>
      </c>
      <c r="D83" s="63" t="s">
        <v>1888</v>
      </c>
      <c r="Q83" t="s">
        <v>1508</v>
      </c>
      <c r="R83" t="s">
        <v>1612</v>
      </c>
      <c r="S83">
        <v>4188</v>
      </c>
      <c r="T83">
        <v>4188</v>
      </c>
      <c r="X83" s="4">
        <v>43921</v>
      </c>
      <c r="AI83">
        <v>4046</v>
      </c>
      <c r="AJ83" s="4">
        <v>43931</v>
      </c>
    </row>
    <row r="84" spans="1:39" x14ac:dyDescent="0.35">
      <c r="A84" s="47" t="s">
        <v>591</v>
      </c>
      <c r="Q84" t="s">
        <v>1509</v>
      </c>
      <c r="R84" t="s">
        <v>1613</v>
      </c>
      <c r="S84" s="258" t="s">
        <v>1547</v>
      </c>
      <c r="T84" s="5" t="s">
        <v>1547</v>
      </c>
      <c r="X84" s="4">
        <v>43922</v>
      </c>
      <c r="AI84" s="5" t="s">
        <v>1547</v>
      </c>
      <c r="AJ84" s="4">
        <v>43932</v>
      </c>
    </row>
    <row r="85" spans="1:39" x14ac:dyDescent="0.35">
      <c r="A85" s="3" t="s">
        <v>671</v>
      </c>
      <c r="Q85" t="s">
        <v>1510</v>
      </c>
      <c r="R85" t="s">
        <v>1614</v>
      </c>
      <c r="S85">
        <v>2393</v>
      </c>
      <c r="T85">
        <v>2339</v>
      </c>
      <c r="X85" s="4">
        <v>43923</v>
      </c>
      <c r="AI85">
        <v>2259</v>
      </c>
      <c r="AJ85" s="4">
        <v>43933</v>
      </c>
    </row>
    <row r="86" spans="1:39" x14ac:dyDescent="0.35">
      <c r="A86" s="3" t="s">
        <v>592</v>
      </c>
      <c r="Q86" t="s">
        <v>1511</v>
      </c>
      <c r="R86" t="s">
        <v>1615</v>
      </c>
      <c r="S86">
        <v>5912</v>
      </c>
      <c r="T86">
        <v>5912</v>
      </c>
      <c r="X86" s="4">
        <v>43924</v>
      </c>
      <c r="AI86">
        <v>5711</v>
      </c>
      <c r="AJ86" s="4">
        <v>43934</v>
      </c>
    </row>
    <row r="87" spans="1:39" x14ac:dyDescent="0.35">
      <c r="A87" s="3" t="s">
        <v>593</v>
      </c>
      <c r="S87" s="4">
        <v>43647</v>
      </c>
      <c r="T87" s="4">
        <v>43504</v>
      </c>
      <c r="X87" s="4">
        <v>43925</v>
      </c>
      <c r="AI87" s="4">
        <v>43298</v>
      </c>
      <c r="AJ87" s="4">
        <v>43935</v>
      </c>
    </row>
    <row r="88" spans="1:39" x14ac:dyDescent="0.35">
      <c r="A88" s="3" t="s">
        <v>594</v>
      </c>
      <c r="S88" s="401" t="s">
        <v>5547</v>
      </c>
      <c r="T88" s="376" t="s">
        <v>3951</v>
      </c>
      <c r="X88" s="4">
        <v>43926</v>
      </c>
      <c r="AI88" s="401" t="s">
        <v>5546</v>
      </c>
      <c r="AJ88" s="4">
        <v>43936</v>
      </c>
    </row>
    <row r="89" spans="1:39" x14ac:dyDescent="0.35">
      <c r="A89" s="3" t="s">
        <v>595</v>
      </c>
      <c r="X89" s="4">
        <v>43927</v>
      </c>
      <c r="AJ89" s="4">
        <v>43937</v>
      </c>
    </row>
    <row r="90" spans="1:39" x14ac:dyDescent="0.35">
      <c r="A90" s="47" t="s">
        <v>672</v>
      </c>
      <c r="X90" s="4">
        <v>43928</v>
      </c>
      <c r="AJ90" s="4">
        <v>43938</v>
      </c>
    </row>
    <row r="91" spans="1:39" x14ac:dyDescent="0.35">
      <c r="A91" s="3" t="s">
        <v>774</v>
      </c>
      <c r="B91" s="63" t="s">
        <v>707</v>
      </c>
      <c r="C91" s="63" t="s">
        <v>708</v>
      </c>
      <c r="D91" s="63" t="s">
        <v>709</v>
      </c>
      <c r="E91" s="101" t="s">
        <v>580</v>
      </c>
      <c r="X91" s="4">
        <v>43929</v>
      </c>
      <c r="AJ91" s="4">
        <v>43939</v>
      </c>
    </row>
    <row r="92" spans="1:39" x14ac:dyDescent="0.35">
      <c r="A92" s="3" t="s">
        <v>598</v>
      </c>
      <c r="B92" s="60" t="s">
        <v>1926</v>
      </c>
      <c r="F92" s="60" t="s">
        <v>1296</v>
      </c>
      <c r="G92" s="60" t="s">
        <v>1943</v>
      </c>
      <c r="X92" s="4">
        <v>43930</v>
      </c>
      <c r="AJ92" s="4">
        <v>43940</v>
      </c>
    </row>
    <row r="93" spans="1:39" x14ac:dyDescent="0.35">
      <c r="A93" s="3" t="s">
        <v>599</v>
      </c>
      <c r="B93" s="63" t="s">
        <v>1925</v>
      </c>
      <c r="C93" s="63" t="s">
        <v>1927</v>
      </c>
      <c r="D93" s="63" t="s">
        <v>1928</v>
      </c>
      <c r="E93" s="63" t="s">
        <v>1929</v>
      </c>
      <c r="F93" s="276" t="s">
        <v>1930</v>
      </c>
      <c r="G93" s="63" t="s">
        <v>1944</v>
      </c>
      <c r="X93" s="4">
        <v>43931</v>
      </c>
      <c r="AJ93" s="4">
        <v>43941</v>
      </c>
    </row>
    <row r="94" spans="1:39" x14ac:dyDescent="0.35">
      <c r="A94" s="47" t="s">
        <v>596</v>
      </c>
      <c r="X94" s="4">
        <v>43932</v>
      </c>
      <c r="AJ94" s="4">
        <v>43942</v>
      </c>
    </row>
    <row r="95" spans="1:39" x14ac:dyDescent="0.35">
      <c r="A95" s="3" t="s">
        <v>572</v>
      </c>
      <c r="X95" s="4">
        <v>43933</v>
      </c>
      <c r="AJ95" s="4">
        <v>43943</v>
      </c>
    </row>
    <row r="96" spans="1:39" x14ac:dyDescent="0.35">
      <c r="A96" s="3" t="s">
        <v>597</v>
      </c>
      <c r="X96" s="4">
        <v>43934</v>
      </c>
      <c r="AJ96" s="4">
        <v>43944</v>
      </c>
    </row>
    <row r="97" spans="1:36" x14ac:dyDescent="0.35">
      <c r="A97" s="47" t="s">
        <v>663</v>
      </c>
      <c r="X97" s="4">
        <v>43935</v>
      </c>
      <c r="AJ97" s="4">
        <v>43945</v>
      </c>
    </row>
    <row r="98" spans="1:36" x14ac:dyDescent="0.35">
      <c r="A98" s="3" t="s">
        <v>132</v>
      </c>
      <c r="X98" s="4">
        <v>43936</v>
      </c>
      <c r="AJ98" s="4">
        <v>43946</v>
      </c>
    </row>
    <row r="99" spans="1:36" x14ac:dyDescent="0.35">
      <c r="A99" s="3" t="s">
        <v>584</v>
      </c>
      <c r="X99" s="4">
        <v>43937</v>
      </c>
      <c r="AJ99" s="4">
        <v>43947</v>
      </c>
    </row>
    <row r="100" spans="1:36" x14ac:dyDescent="0.35">
      <c r="A100" s="3" t="s">
        <v>585</v>
      </c>
      <c r="X100" s="4">
        <v>43938</v>
      </c>
      <c r="AJ100" s="4">
        <v>43948</v>
      </c>
    </row>
    <row r="101" spans="1:36" x14ac:dyDescent="0.35">
      <c r="A101" s="3" t="s">
        <v>673</v>
      </c>
      <c r="X101" s="4">
        <v>43939</v>
      </c>
      <c r="AJ101" s="4">
        <v>43949</v>
      </c>
    </row>
    <row r="102" spans="1:36" x14ac:dyDescent="0.35">
      <c r="A102" s="47" t="s">
        <v>614</v>
      </c>
      <c r="X102" s="4">
        <v>43940</v>
      </c>
      <c r="AJ102" s="4">
        <v>43950</v>
      </c>
    </row>
    <row r="103" spans="1:36" x14ac:dyDescent="0.35">
      <c r="A103" s="3"/>
      <c r="B103" s="3"/>
      <c r="X103" s="4">
        <v>43941</v>
      </c>
      <c r="AJ103" s="4">
        <v>43951</v>
      </c>
    </row>
    <row r="104" spans="1:36" x14ac:dyDescent="0.35">
      <c r="A104" s="65" t="s">
        <v>678</v>
      </c>
      <c r="B104" s="63" t="s">
        <v>712</v>
      </c>
      <c r="C104" s="63" t="s">
        <v>713</v>
      </c>
      <c r="D104" s="63" t="s">
        <v>714</v>
      </c>
      <c r="X104" s="4">
        <v>43942</v>
      </c>
      <c r="AJ104" s="4">
        <v>43952</v>
      </c>
    </row>
    <row r="105" spans="1:36" x14ac:dyDescent="0.35">
      <c r="A105" s="65" t="s">
        <v>679</v>
      </c>
      <c r="B105" s="63" t="s">
        <v>715</v>
      </c>
      <c r="C105" s="8"/>
      <c r="X105" s="4">
        <v>43943</v>
      </c>
      <c r="AJ105" s="4">
        <v>43953</v>
      </c>
    </row>
    <row r="106" spans="1:36" x14ac:dyDescent="0.35">
      <c r="A106" s="63" t="s">
        <v>680</v>
      </c>
      <c r="X106" s="4">
        <v>43944</v>
      </c>
      <c r="AJ106" s="4">
        <v>43954</v>
      </c>
    </row>
    <row r="107" spans="1:36" x14ac:dyDescent="0.35">
      <c r="A107" t="s">
        <v>681</v>
      </c>
      <c r="X107" s="4">
        <v>43945</v>
      </c>
      <c r="AJ107" s="4">
        <v>43955</v>
      </c>
    </row>
    <row r="108" spans="1:36" x14ac:dyDescent="0.35">
      <c r="A108" t="s">
        <v>682</v>
      </c>
      <c r="B108" t="s">
        <v>836</v>
      </c>
      <c r="X108" s="4">
        <v>43946</v>
      </c>
      <c r="AJ108" s="4">
        <v>43956</v>
      </c>
    </row>
    <row r="109" spans="1:36" x14ac:dyDescent="0.35">
      <c r="A109" t="s">
        <v>683</v>
      </c>
      <c r="B109" t="s">
        <v>684</v>
      </c>
      <c r="X109" s="4">
        <v>43947</v>
      </c>
      <c r="AJ109" s="4">
        <v>43957</v>
      </c>
    </row>
    <row r="110" spans="1:36" x14ac:dyDescent="0.35">
      <c r="A110" s="60" t="s">
        <v>685</v>
      </c>
      <c r="X110" s="4">
        <v>43948</v>
      </c>
      <c r="AJ110" s="4">
        <v>43958</v>
      </c>
    </row>
    <row r="111" spans="1:36" x14ac:dyDescent="0.35">
      <c r="A111" t="s">
        <v>686</v>
      </c>
      <c r="X111" s="4">
        <v>43949</v>
      </c>
      <c r="AJ111" s="4">
        <v>43959</v>
      </c>
    </row>
    <row r="112" spans="1:36" x14ac:dyDescent="0.35">
      <c r="A112" t="s">
        <v>580</v>
      </c>
      <c r="X112" s="4">
        <v>43950</v>
      </c>
      <c r="AJ112" s="4">
        <v>43960</v>
      </c>
    </row>
    <row r="113" spans="1:36" x14ac:dyDescent="0.35">
      <c r="A113" t="s">
        <v>4</v>
      </c>
      <c r="X113" s="4">
        <v>43951</v>
      </c>
      <c r="AJ113" s="4">
        <v>43961</v>
      </c>
    </row>
    <row r="114" spans="1:36" x14ac:dyDescent="0.35">
      <c r="A114" t="s">
        <v>687</v>
      </c>
      <c r="X114" s="4">
        <v>43952</v>
      </c>
      <c r="AJ114" s="4">
        <v>43962</v>
      </c>
    </row>
    <row r="115" spans="1:36" x14ac:dyDescent="0.35">
      <c r="A115" s="3" t="s">
        <v>582</v>
      </c>
      <c r="X115" s="4">
        <v>43955</v>
      </c>
      <c r="AJ115" s="4">
        <v>43967</v>
      </c>
    </row>
    <row r="116" spans="1:36" x14ac:dyDescent="0.35">
      <c r="A116" s="3" t="s">
        <v>583</v>
      </c>
      <c r="X116" s="4">
        <v>43956</v>
      </c>
      <c r="AJ116" s="4">
        <v>43968</v>
      </c>
    </row>
    <row r="117" spans="1:36" x14ac:dyDescent="0.35">
      <c r="A117" s="3" t="s">
        <v>653</v>
      </c>
      <c r="X117" s="4">
        <v>43957</v>
      </c>
      <c r="AJ117" s="4">
        <v>43974</v>
      </c>
    </row>
    <row r="118" spans="1:36" x14ac:dyDescent="0.35">
      <c r="A118" s="3" t="s">
        <v>654</v>
      </c>
      <c r="X118" s="4">
        <v>43958</v>
      </c>
      <c r="AJ118" s="4">
        <v>43975</v>
      </c>
    </row>
    <row r="119" spans="1:36" x14ac:dyDescent="0.35">
      <c r="A119" s="47" t="s">
        <v>705</v>
      </c>
      <c r="X119" s="4">
        <v>43959</v>
      </c>
      <c r="AJ119" s="4">
        <v>43981</v>
      </c>
    </row>
    <row r="120" spans="1:36" x14ac:dyDescent="0.35">
      <c r="A120" s="3" t="s">
        <v>706</v>
      </c>
      <c r="B120" s="63" t="s">
        <v>707</v>
      </c>
      <c r="C120" s="63" t="s">
        <v>708</v>
      </c>
      <c r="D120" s="63" t="s">
        <v>709</v>
      </c>
      <c r="X120" s="4">
        <v>43960</v>
      </c>
      <c r="AJ120" s="4">
        <v>43982</v>
      </c>
    </row>
    <row r="121" spans="1:36" x14ac:dyDescent="0.35">
      <c r="A121" s="3" t="s">
        <v>710</v>
      </c>
      <c r="X121" s="4">
        <v>43962</v>
      </c>
      <c r="AJ121" s="4">
        <v>43988</v>
      </c>
    </row>
    <row r="122" spans="1:36" x14ac:dyDescent="0.35">
      <c r="A122" s="3" t="s">
        <v>711</v>
      </c>
      <c r="X122" s="4">
        <v>43994</v>
      </c>
      <c r="AJ122" s="4">
        <v>43989</v>
      </c>
    </row>
    <row r="123" spans="1:36" x14ac:dyDescent="0.35">
      <c r="A123" s="47" t="s">
        <v>723</v>
      </c>
      <c r="X123" s="4">
        <v>44139</v>
      </c>
      <c r="AJ123" s="4">
        <v>43994</v>
      </c>
    </row>
    <row r="124" spans="1:36" x14ac:dyDescent="0.35">
      <c r="A124" s="3" t="s">
        <v>613</v>
      </c>
      <c r="AJ124" s="4">
        <v>43995</v>
      </c>
    </row>
    <row r="125" spans="1:36" x14ac:dyDescent="0.35">
      <c r="A125" s="3" t="s">
        <v>766</v>
      </c>
      <c r="AJ125" s="4">
        <v>43996</v>
      </c>
    </row>
    <row r="126" spans="1:36" x14ac:dyDescent="0.35">
      <c r="A126" s="47" t="s">
        <v>775</v>
      </c>
      <c r="AJ126" s="4">
        <v>44002</v>
      </c>
    </row>
    <row r="127" spans="1:36" x14ac:dyDescent="0.35">
      <c r="A127" s="3" t="s">
        <v>1537</v>
      </c>
      <c r="AJ127" s="4">
        <v>44003</v>
      </c>
    </row>
    <row r="128" spans="1:36" x14ac:dyDescent="0.35">
      <c r="A128" s="3" t="s">
        <v>776</v>
      </c>
      <c r="AJ128" s="4">
        <v>44009</v>
      </c>
    </row>
    <row r="129" spans="1:36" x14ac:dyDescent="0.35">
      <c r="A129" s="47" t="s">
        <v>778</v>
      </c>
      <c r="AJ129" s="4">
        <v>44010</v>
      </c>
    </row>
    <row r="130" spans="1:36" x14ac:dyDescent="0.35">
      <c r="A130" s="3" t="s">
        <v>779</v>
      </c>
      <c r="B130" t="s">
        <v>1362</v>
      </c>
    </row>
    <row r="131" spans="1:36" x14ac:dyDescent="0.35">
      <c r="A131" s="3" t="s">
        <v>780</v>
      </c>
    </row>
    <row r="132" spans="1:36" x14ac:dyDescent="0.35">
      <c r="A132" s="47" t="s">
        <v>781</v>
      </c>
    </row>
    <row r="133" spans="1:36" x14ac:dyDescent="0.35">
      <c r="A133" s="3" t="s">
        <v>782</v>
      </c>
    </row>
    <row r="134" spans="1:36" x14ac:dyDescent="0.35">
      <c r="A134" s="3" t="s">
        <v>783</v>
      </c>
    </row>
    <row r="135" spans="1:36" x14ac:dyDescent="0.35">
      <c r="A135" s="3" t="s">
        <v>5173</v>
      </c>
      <c r="B135" t="s">
        <v>784</v>
      </c>
    </row>
    <row r="136" spans="1:36" x14ac:dyDescent="0.35">
      <c r="A136" s="3" t="s">
        <v>45</v>
      </c>
    </row>
    <row r="137" spans="1:36" x14ac:dyDescent="0.35">
      <c r="A137" s="3" t="s">
        <v>785</v>
      </c>
    </row>
    <row r="138" spans="1:36" x14ac:dyDescent="0.35">
      <c r="A138" s="47" t="s">
        <v>786</v>
      </c>
    </row>
    <row r="139" spans="1:36" x14ac:dyDescent="0.35">
      <c r="A139" s="3" t="s">
        <v>787</v>
      </c>
    </row>
    <row r="140" spans="1:36" x14ac:dyDescent="0.35">
      <c r="A140" s="3" t="s">
        <v>788</v>
      </c>
    </row>
    <row r="141" spans="1:36" x14ac:dyDescent="0.35">
      <c r="A141" s="3" t="s">
        <v>789</v>
      </c>
    </row>
    <row r="142" spans="1:36" x14ac:dyDescent="0.35">
      <c r="A142" s="3" t="s">
        <v>790</v>
      </c>
      <c r="B142" t="s">
        <v>681</v>
      </c>
      <c r="C142" t="s">
        <v>791</v>
      </c>
    </row>
    <row r="143" spans="1:36" x14ac:dyDescent="0.35">
      <c r="A143" s="47" t="s">
        <v>792</v>
      </c>
    </row>
    <row r="144" spans="1:36" x14ac:dyDescent="0.35">
      <c r="A144" s="3" t="s">
        <v>793</v>
      </c>
    </row>
    <row r="145" spans="1:1" x14ac:dyDescent="0.35">
      <c r="A145" s="3" t="s">
        <v>4</v>
      </c>
    </row>
    <row r="146" spans="1:1" x14ac:dyDescent="0.35">
      <c r="A146" s="47" t="s">
        <v>794</v>
      </c>
    </row>
    <row r="147" spans="1:1" x14ac:dyDescent="0.35">
      <c r="A147" t="s">
        <v>795</v>
      </c>
    </row>
    <row r="148" spans="1:1" x14ac:dyDescent="0.35">
      <c r="A148" t="s">
        <v>796</v>
      </c>
    </row>
    <row r="149" spans="1:1" x14ac:dyDescent="0.35">
      <c r="A149" t="s">
        <v>837</v>
      </c>
    </row>
    <row r="150" spans="1:1" x14ac:dyDescent="0.35">
      <c r="A150" t="s">
        <v>838</v>
      </c>
    </row>
    <row r="151" spans="1:1" x14ac:dyDescent="0.35">
      <c r="A151" t="s">
        <v>839</v>
      </c>
    </row>
    <row r="152" spans="1:1" x14ac:dyDescent="0.35">
      <c r="A152" t="s">
        <v>840</v>
      </c>
    </row>
    <row r="153" spans="1:1" x14ac:dyDescent="0.35">
      <c r="A153" s="60" t="s">
        <v>826</v>
      </c>
    </row>
    <row r="154" spans="1:1" x14ac:dyDescent="0.35">
      <c r="A154" t="s">
        <v>827</v>
      </c>
    </row>
    <row r="155" spans="1:1" x14ac:dyDescent="0.35">
      <c r="A155" t="s">
        <v>828</v>
      </c>
    </row>
    <row r="156" spans="1:1" x14ac:dyDescent="0.35">
      <c r="A156" t="s">
        <v>829</v>
      </c>
    </row>
    <row r="157" spans="1:1" x14ac:dyDescent="0.35">
      <c r="A157" s="60" t="s">
        <v>804</v>
      </c>
    </row>
    <row r="158" spans="1:1" x14ac:dyDescent="0.35">
      <c r="A158" s="60" t="s">
        <v>815</v>
      </c>
    </row>
    <row r="159" spans="1:1" x14ac:dyDescent="0.35">
      <c r="A159" t="s">
        <v>835</v>
      </c>
    </row>
    <row r="160" spans="1:1" x14ac:dyDescent="0.35">
      <c r="A160" t="s">
        <v>805</v>
      </c>
    </row>
    <row r="161" spans="1:1" x14ac:dyDescent="0.35">
      <c r="A161" t="s">
        <v>806</v>
      </c>
    </row>
    <row r="162" spans="1:1" x14ac:dyDescent="0.35">
      <c r="A162" t="s">
        <v>807</v>
      </c>
    </row>
    <row r="163" spans="1:1" x14ac:dyDescent="0.35">
      <c r="A163" t="s">
        <v>808</v>
      </c>
    </row>
    <row r="164" spans="1:1" x14ac:dyDescent="0.35">
      <c r="A164" t="s">
        <v>809</v>
      </c>
    </row>
    <row r="165" spans="1:1" x14ac:dyDescent="0.35">
      <c r="A165" t="s">
        <v>810</v>
      </c>
    </row>
    <row r="166" spans="1:1" x14ac:dyDescent="0.35">
      <c r="A166" t="s">
        <v>813</v>
      </c>
    </row>
    <row r="167" spans="1:1" x14ac:dyDescent="0.35">
      <c r="A167" t="s">
        <v>814</v>
      </c>
    </row>
    <row r="168" spans="1:1" x14ac:dyDescent="0.35">
      <c r="A168" t="s">
        <v>811</v>
      </c>
    </row>
    <row r="169" spans="1:1" x14ac:dyDescent="0.35">
      <c r="A169" t="s">
        <v>812</v>
      </c>
    </row>
    <row r="170" spans="1:1" x14ac:dyDescent="0.35">
      <c r="A170" t="s">
        <v>1651</v>
      </c>
    </row>
    <row r="171" spans="1:1" x14ac:dyDescent="0.35">
      <c r="A171" s="60" t="s">
        <v>18</v>
      </c>
    </row>
    <row r="172" spans="1:1" x14ac:dyDescent="0.35">
      <c r="A172" t="s">
        <v>834</v>
      </c>
    </row>
    <row r="173" spans="1:1" x14ac:dyDescent="0.35">
      <c r="A173" t="s">
        <v>805</v>
      </c>
    </row>
    <row r="174" spans="1:1" x14ac:dyDescent="0.35">
      <c r="A174" t="s">
        <v>816</v>
      </c>
    </row>
    <row r="175" spans="1:1" x14ac:dyDescent="0.35">
      <c r="A175" s="60" t="s">
        <v>19</v>
      </c>
    </row>
    <row r="176" spans="1:1" x14ac:dyDescent="0.35">
      <c r="A176" t="s">
        <v>817</v>
      </c>
    </row>
    <row r="177" spans="1:2" x14ac:dyDescent="0.35">
      <c r="A177" t="s">
        <v>819</v>
      </c>
    </row>
    <row r="178" spans="1:2" x14ac:dyDescent="0.35">
      <c r="A178" t="s">
        <v>818</v>
      </c>
    </row>
    <row r="179" spans="1:2" x14ac:dyDescent="0.35">
      <c r="A179" s="60" t="s">
        <v>121</v>
      </c>
    </row>
    <row r="180" spans="1:2" x14ac:dyDescent="0.35">
      <c r="A180" t="s">
        <v>820</v>
      </c>
    </row>
    <row r="181" spans="1:2" x14ac:dyDescent="0.35">
      <c r="A181" t="s">
        <v>821</v>
      </c>
    </row>
    <row r="182" spans="1:2" x14ac:dyDescent="0.35">
      <c r="A182" t="s">
        <v>822</v>
      </c>
    </row>
    <row r="183" spans="1:2" x14ac:dyDescent="0.35">
      <c r="A183" t="s">
        <v>823</v>
      </c>
    </row>
    <row r="184" spans="1:2" x14ac:dyDescent="0.35">
      <c r="A184" t="s">
        <v>825</v>
      </c>
    </row>
    <row r="185" spans="1:2" x14ac:dyDescent="0.35">
      <c r="A185" t="s">
        <v>824</v>
      </c>
    </row>
    <row r="186" spans="1:2" x14ac:dyDescent="0.35">
      <c r="A186" t="s">
        <v>845</v>
      </c>
    </row>
    <row r="187" spans="1:2" x14ac:dyDescent="0.35">
      <c r="A187" t="s">
        <v>1895</v>
      </c>
    </row>
    <row r="188" spans="1:2" x14ac:dyDescent="0.35">
      <c r="A188" s="60" t="s">
        <v>724</v>
      </c>
    </row>
    <row r="189" spans="1:2" x14ac:dyDescent="0.35">
      <c r="A189" s="3" t="s">
        <v>912</v>
      </c>
    </row>
    <row r="190" spans="1:2" x14ac:dyDescent="0.35">
      <c r="A190" t="s">
        <v>911</v>
      </c>
    </row>
    <row r="191" spans="1:2" x14ac:dyDescent="0.35">
      <c r="A191" s="60" t="s">
        <v>1009</v>
      </c>
    </row>
    <row r="192" spans="1:2" x14ac:dyDescent="0.35">
      <c r="A192" t="s">
        <v>1010</v>
      </c>
      <c r="B192" t="s">
        <v>1013</v>
      </c>
    </row>
    <row r="193" spans="1:4" x14ac:dyDescent="0.35">
      <c r="A193" t="s">
        <v>580</v>
      </c>
    </row>
    <row r="194" spans="1:4" x14ac:dyDescent="0.35">
      <c r="A194" t="s">
        <v>4</v>
      </c>
    </row>
    <row r="195" spans="1:4" x14ac:dyDescent="0.35">
      <c r="A195" t="s">
        <v>1011</v>
      </c>
    </row>
    <row r="196" spans="1:4" x14ac:dyDescent="0.35">
      <c r="A196" t="s">
        <v>1012</v>
      </c>
    </row>
    <row r="197" spans="1:4" x14ac:dyDescent="0.35">
      <c r="A197" s="60" t="s">
        <v>1726</v>
      </c>
    </row>
    <row r="198" spans="1:4" x14ac:dyDescent="0.35">
      <c r="A198" t="s">
        <v>136</v>
      </c>
    </row>
    <row r="199" spans="1:4" x14ac:dyDescent="0.35">
      <c r="A199" t="s">
        <v>1727</v>
      </c>
    </row>
    <row r="200" spans="1:4" x14ac:dyDescent="0.35">
      <c r="A200" t="s">
        <v>138</v>
      </c>
    </row>
    <row r="201" spans="1:4" x14ac:dyDescent="0.35">
      <c r="A201" t="s">
        <v>1728</v>
      </c>
    </row>
    <row r="202" spans="1:4" x14ac:dyDescent="0.35">
      <c r="A202" t="s">
        <v>1729</v>
      </c>
      <c r="B202" s="63" t="s">
        <v>1742</v>
      </c>
    </row>
    <row r="203" spans="1:4" x14ac:dyDescent="0.35">
      <c r="A203" t="s">
        <v>1730</v>
      </c>
      <c r="B203" s="63" t="s">
        <v>1734</v>
      </c>
      <c r="C203" t="s">
        <v>1745</v>
      </c>
      <c r="D203" t="s">
        <v>1746</v>
      </c>
    </row>
    <row r="204" spans="1:4" x14ac:dyDescent="0.35">
      <c r="A204" t="s">
        <v>1742</v>
      </c>
      <c r="B204" s="63" t="s">
        <v>4</v>
      </c>
    </row>
    <row r="205" spans="1:4" x14ac:dyDescent="0.35">
      <c r="A205" t="s">
        <v>1731</v>
      </c>
      <c r="B205" s="63" t="s">
        <v>1732</v>
      </c>
    </row>
    <row r="206" spans="1:4" x14ac:dyDescent="0.35">
      <c r="A206" t="s">
        <v>1733</v>
      </c>
    </row>
    <row r="207" spans="1:4" x14ac:dyDescent="0.35">
      <c r="A207" t="s">
        <v>1748</v>
      </c>
    </row>
    <row r="208" spans="1:4" x14ac:dyDescent="0.35">
      <c r="A208" s="60" t="s">
        <v>1878</v>
      </c>
    </row>
    <row r="209" spans="1:3" x14ac:dyDescent="0.35">
      <c r="A209" t="s">
        <v>1879</v>
      </c>
      <c r="B209" t="s">
        <v>1890</v>
      </c>
    </row>
    <row r="210" spans="1:3" x14ac:dyDescent="0.35">
      <c r="A210" t="s">
        <v>1880</v>
      </c>
      <c r="B210" t="s">
        <v>1881</v>
      </c>
    </row>
    <row r="211" spans="1:3" x14ac:dyDescent="0.35">
      <c r="A211" t="s">
        <v>1884</v>
      </c>
      <c r="B211" t="s">
        <v>1882</v>
      </c>
    </row>
    <row r="212" spans="1:3" x14ac:dyDescent="0.35">
      <c r="A212" t="s">
        <v>580</v>
      </c>
      <c r="B212" t="s">
        <v>1883</v>
      </c>
    </row>
    <row r="213" spans="1:3" x14ac:dyDescent="0.35">
      <c r="A213" t="s">
        <v>1885</v>
      </c>
      <c r="B213" t="s">
        <v>3117</v>
      </c>
    </row>
    <row r="214" spans="1:3" x14ac:dyDescent="0.35">
      <c r="A214" t="s">
        <v>1886</v>
      </c>
      <c r="B214" t="s">
        <v>3118</v>
      </c>
    </row>
    <row r="215" spans="1:3" x14ac:dyDescent="0.35">
      <c r="A215" t="s">
        <v>1889</v>
      </c>
      <c r="B215" t="s">
        <v>580</v>
      </c>
    </row>
    <row r="216" spans="1:3" x14ac:dyDescent="0.35">
      <c r="A216" t="s">
        <v>1887</v>
      </c>
      <c r="B216" t="s">
        <v>3119</v>
      </c>
    </row>
    <row r="217" spans="1:3" x14ac:dyDescent="0.35">
      <c r="A217" t="s">
        <v>1888</v>
      </c>
      <c r="B217" t="s">
        <v>3120</v>
      </c>
      <c r="C217" t="s">
        <v>3121</v>
      </c>
    </row>
    <row r="218" spans="1:3" x14ac:dyDescent="0.35">
      <c r="A218" t="s">
        <v>580</v>
      </c>
    </row>
    <row r="219" spans="1:3" x14ac:dyDescent="0.35">
      <c r="A219" t="s">
        <v>1891</v>
      </c>
    </row>
    <row r="220" spans="1:3" x14ac:dyDescent="0.35">
      <c r="A220" t="s">
        <v>1892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tiv"/>
  <dimension ref="A1:AR56"/>
  <sheetViews>
    <sheetView topLeftCell="A44" workbookViewId="0">
      <pane xSplit="1" topLeftCell="B1" activePane="topRight" state="frozen"/>
      <selection pane="topRight" activeCell="D56" sqref="D56"/>
    </sheetView>
  </sheetViews>
  <sheetFormatPr defaultColWidth="8.7265625" defaultRowHeight="14.5" x14ac:dyDescent="0.35"/>
  <cols>
    <col min="1" max="1" width="20" style="3" customWidth="1"/>
    <col min="2" max="2" width="12.453125" style="3" customWidth="1"/>
    <col min="3" max="16384" width="8.7265625" style="3"/>
  </cols>
  <sheetData>
    <row r="1" spans="1:21" ht="15" thickTop="1" x14ac:dyDescent="0.35">
      <c r="A1" s="1" t="s">
        <v>1116</v>
      </c>
      <c r="B1" s="1" t="s">
        <v>1115</v>
      </c>
      <c r="C1" s="1"/>
      <c r="D1" s="1"/>
      <c r="E1" s="1"/>
      <c r="F1" s="1"/>
      <c r="G1" s="1"/>
      <c r="H1" s="1"/>
      <c r="I1" s="1"/>
      <c r="J1" s="1"/>
      <c r="K1" s="1"/>
      <c r="L1" s="1"/>
      <c r="M1" s="1"/>
      <c r="N1" s="1"/>
      <c r="O1" s="1"/>
    </row>
    <row r="2" spans="1:21" ht="15" thickBot="1" x14ac:dyDescent="0.4">
      <c r="A2" s="2"/>
      <c r="B2" s="2"/>
      <c r="C2" s="2"/>
      <c r="D2" s="2"/>
      <c r="E2" s="2"/>
      <c r="F2" s="2"/>
      <c r="G2" s="2"/>
      <c r="H2" s="2"/>
      <c r="I2" s="2"/>
      <c r="J2" s="2"/>
      <c r="K2" s="2"/>
      <c r="L2" s="2"/>
      <c r="M2" s="2"/>
      <c r="N2" s="2"/>
      <c r="O2" s="2"/>
    </row>
    <row r="3" spans="1:21" ht="15" thickTop="1" x14ac:dyDescent="0.35">
      <c r="A3" s="145" t="s">
        <v>915</v>
      </c>
      <c r="B3" s="3" t="s">
        <v>803</v>
      </c>
      <c r="C3" s="3" t="s">
        <v>898</v>
      </c>
      <c r="D3" s="3" t="s">
        <v>798</v>
      </c>
      <c r="E3" s="3" t="s">
        <v>799</v>
      </c>
      <c r="F3" s="3" t="s">
        <v>800</v>
      </c>
      <c r="G3" s="3" t="s">
        <v>580</v>
      </c>
      <c r="H3" s="3" t="s">
        <v>4</v>
      </c>
      <c r="I3" s="3" t="s">
        <v>802</v>
      </c>
      <c r="J3" s="244" t="s">
        <v>988</v>
      </c>
      <c r="K3" s="3" t="s">
        <v>1027</v>
      </c>
      <c r="L3" s="3" t="s">
        <v>1033</v>
      </c>
      <c r="M3" s="3" t="s">
        <v>1272</v>
      </c>
      <c r="N3" s="3" t="s">
        <v>1271</v>
      </c>
      <c r="R3" s="245" t="s">
        <v>988</v>
      </c>
      <c r="S3" s="3" t="s">
        <v>1027</v>
      </c>
      <c r="T3" s="3" t="s">
        <v>1028</v>
      </c>
      <c r="U3" s="3" t="s">
        <v>1006</v>
      </c>
    </row>
    <row r="4" spans="1:21" x14ac:dyDescent="0.35">
      <c r="A4" s="146" t="s">
        <v>916</v>
      </c>
      <c r="B4" s="3" t="s">
        <v>6057</v>
      </c>
      <c r="C4" s="3" t="s">
        <v>846</v>
      </c>
      <c r="D4" s="3" t="s">
        <v>797</v>
      </c>
      <c r="E4" s="3" t="s">
        <v>847</v>
      </c>
      <c r="F4" s="3" t="s">
        <v>848</v>
      </c>
      <c r="G4" s="3" t="s">
        <v>580</v>
      </c>
      <c r="H4" s="3" t="s">
        <v>4</v>
      </c>
      <c r="I4" s="244" t="s">
        <v>1149</v>
      </c>
      <c r="J4" s="245" t="s">
        <v>4930</v>
      </c>
      <c r="K4" s="257" t="s">
        <v>4928</v>
      </c>
      <c r="L4" s="383" t="s">
        <v>4929</v>
      </c>
      <c r="M4" s="257"/>
      <c r="R4" s="257"/>
    </row>
    <row r="5" spans="1:21" s="102" customFormat="1" x14ac:dyDescent="0.35">
      <c r="A5" s="147" t="s">
        <v>849</v>
      </c>
      <c r="B5" s="102" t="s">
        <v>850</v>
      </c>
      <c r="C5" s="102" t="s">
        <v>851</v>
      </c>
      <c r="D5" s="102" t="s">
        <v>852</v>
      </c>
      <c r="E5" s="102" t="s">
        <v>853</v>
      </c>
      <c r="F5" s="102" t="s">
        <v>854</v>
      </c>
      <c r="G5" s="102" t="s">
        <v>855</v>
      </c>
      <c r="H5" s="102" t="s">
        <v>856</v>
      </c>
    </row>
    <row r="6" spans="1:21" x14ac:dyDescent="0.35">
      <c r="A6" s="146" t="s">
        <v>857</v>
      </c>
      <c r="B6" s="3" t="s">
        <v>858</v>
      </c>
      <c r="C6" s="3" t="s">
        <v>859</v>
      </c>
      <c r="D6" s="3" t="s">
        <v>860</v>
      </c>
      <c r="E6" s="3" t="s">
        <v>861</v>
      </c>
    </row>
    <row r="7" spans="1:21" x14ac:dyDescent="0.35">
      <c r="A7" s="146" t="s">
        <v>895</v>
      </c>
      <c r="B7" s="3" t="s">
        <v>2035</v>
      </c>
      <c r="C7" s="3" t="s">
        <v>896</v>
      </c>
      <c r="D7" s="3" t="s">
        <v>897</v>
      </c>
    </row>
    <row r="8" spans="1:21" x14ac:dyDescent="0.35">
      <c r="A8" s="146" t="s">
        <v>899</v>
      </c>
      <c r="B8" s="3" t="s">
        <v>900</v>
      </c>
      <c r="C8" s="3" t="s">
        <v>901</v>
      </c>
      <c r="D8" s="3" t="s">
        <v>902</v>
      </c>
      <c r="E8" s="3" t="s">
        <v>5551</v>
      </c>
      <c r="F8" s="3" t="s">
        <v>5548</v>
      </c>
      <c r="G8" s="3" t="s">
        <v>5549</v>
      </c>
      <c r="H8" s="3" t="s">
        <v>5550</v>
      </c>
      <c r="I8" s="3" t="s">
        <v>903</v>
      </c>
      <c r="J8" s="3" t="s">
        <v>910</v>
      </c>
    </row>
    <row r="9" spans="1:21" x14ac:dyDescent="0.35">
      <c r="A9" s="146" t="s">
        <v>648</v>
      </c>
      <c r="B9" s="3" t="s">
        <v>907</v>
      </c>
      <c r="C9" s="3" t="s">
        <v>908</v>
      </c>
      <c r="D9" s="3" t="s">
        <v>909</v>
      </c>
      <c r="E9" s="113"/>
      <c r="F9" s="113"/>
    </row>
    <row r="10" spans="1:21" x14ac:dyDescent="0.35">
      <c r="A10" s="148" t="s">
        <v>914</v>
      </c>
      <c r="B10" s="119" t="s">
        <v>917</v>
      </c>
    </row>
    <row r="11" spans="1:21" x14ac:dyDescent="0.35">
      <c r="A11" s="146" t="s">
        <v>918</v>
      </c>
      <c r="B11" s="3" t="s">
        <v>1094</v>
      </c>
      <c r="C11" s="3" t="s">
        <v>919</v>
      </c>
      <c r="D11" s="3" t="s">
        <v>923</v>
      </c>
    </row>
    <row r="12" spans="1:21" x14ac:dyDescent="0.35">
      <c r="A12" s="146" t="s">
        <v>920</v>
      </c>
      <c r="B12" s="3" t="s">
        <v>2443</v>
      </c>
    </row>
    <row r="13" spans="1:21" x14ac:dyDescent="0.35">
      <c r="A13" s="146" t="s">
        <v>921</v>
      </c>
      <c r="B13" s="3" t="s">
        <v>2444</v>
      </c>
    </row>
    <row r="14" spans="1:21" x14ac:dyDescent="0.35">
      <c r="A14" s="148" t="s">
        <v>922</v>
      </c>
      <c r="B14" s="3" t="s">
        <v>2442</v>
      </c>
      <c r="C14" s="3" t="s">
        <v>1289</v>
      </c>
      <c r="D14" s="119"/>
    </row>
    <row r="15" spans="1:21" x14ac:dyDescent="0.35">
      <c r="A15" s="390" t="s">
        <v>982</v>
      </c>
      <c r="B15" s="3" t="s">
        <v>983</v>
      </c>
      <c r="C15" s="3" t="s">
        <v>984</v>
      </c>
      <c r="D15" s="3" t="s">
        <v>985</v>
      </c>
      <c r="E15" s="3" t="s">
        <v>986</v>
      </c>
      <c r="F15" s="3" t="s">
        <v>813</v>
      </c>
      <c r="G15" s="252" t="s">
        <v>987</v>
      </c>
      <c r="H15" s="3" t="s">
        <v>814</v>
      </c>
      <c r="I15" s="3" t="s">
        <v>988</v>
      </c>
      <c r="J15" s="3" t="s">
        <v>989</v>
      </c>
      <c r="K15" s="3" t="s">
        <v>996</v>
      </c>
      <c r="L15" s="3" t="s">
        <v>990</v>
      </c>
    </row>
    <row r="16" spans="1:21" x14ac:dyDescent="0.35">
      <c r="A16" s="146" t="s">
        <v>991</v>
      </c>
      <c r="B16" s="3" t="s">
        <v>995</v>
      </c>
    </row>
    <row r="17" spans="1:28" x14ac:dyDescent="0.35">
      <c r="A17" s="146" t="s">
        <v>992</v>
      </c>
      <c r="B17" s="3" t="s">
        <v>993</v>
      </c>
      <c r="C17" s="3" t="s">
        <v>994</v>
      </c>
    </row>
    <row r="18" spans="1:28" x14ac:dyDescent="0.35">
      <c r="A18" s="146" t="s">
        <v>665</v>
      </c>
      <c r="B18" s="3" t="s">
        <v>1542</v>
      </c>
      <c r="C18" s="3" t="s">
        <v>998</v>
      </c>
      <c r="D18" s="3" t="s">
        <v>999</v>
      </c>
    </row>
    <row r="19" spans="1:28" x14ac:dyDescent="0.35">
      <c r="A19" s="146" t="s">
        <v>1005</v>
      </c>
      <c r="B19" s="3" t="s">
        <v>1543</v>
      </c>
      <c r="C19" s="3" t="s">
        <v>1024</v>
      </c>
      <c r="D19" s="3" t="s">
        <v>1025</v>
      </c>
      <c r="E19" s="3" t="s">
        <v>1026</v>
      </c>
      <c r="F19" s="3" t="s">
        <v>988</v>
      </c>
      <c r="G19" s="3" t="s">
        <v>1027</v>
      </c>
      <c r="H19" s="244" t="s">
        <v>1028</v>
      </c>
      <c r="I19" s="3" t="s">
        <v>1029</v>
      </c>
      <c r="J19" s="3" t="s">
        <v>1030</v>
      </c>
      <c r="K19" s="3" t="s">
        <v>1031</v>
      </c>
      <c r="L19" s="3" t="s">
        <v>1006</v>
      </c>
      <c r="M19" s="245" t="s">
        <v>1033</v>
      </c>
      <c r="N19" s="3" t="s">
        <v>1034</v>
      </c>
      <c r="O19" s="3" t="s">
        <v>1035</v>
      </c>
      <c r="P19" s="3" t="s">
        <v>1037</v>
      </c>
      <c r="Q19" s="3" t="s">
        <v>1036</v>
      </c>
    </row>
    <row r="20" spans="1:28" x14ac:dyDescent="0.35">
      <c r="A20" s="390" t="s">
        <v>1007</v>
      </c>
      <c r="B20" s="3" t="s">
        <v>1538</v>
      </c>
      <c r="C20" s="3" t="s">
        <v>5532</v>
      </c>
      <c r="D20" s="3" t="s">
        <v>5531</v>
      </c>
      <c r="F20" s="3" t="s">
        <v>5160</v>
      </c>
      <c r="G20" s="257" t="s">
        <v>5161</v>
      </c>
    </row>
    <row r="21" spans="1:28" x14ac:dyDescent="0.35">
      <c r="A21" s="146" t="s">
        <v>1137</v>
      </c>
      <c r="B21" s="3" t="s">
        <v>1095</v>
      </c>
      <c r="C21" s="3" t="s">
        <v>1096</v>
      </c>
      <c r="D21" s="3" t="s">
        <v>1544</v>
      </c>
      <c r="E21" s="65" t="s">
        <v>1097</v>
      </c>
      <c r="F21" s="3" t="s">
        <v>1135</v>
      </c>
      <c r="G21" s="3" t="s">
        <v>1139</v>
      </c>
      <c r="H21" s="3" t="s">
        <v>1098</v>
      </c>
      <c r="I21" s="3" t="s">
        <v>1099</v>
      </c>
      <c r="J21" s="3" t="s">
        <v>657</v>
      </c>
      <c r="K21" s="3" t="s">
        <v>1136</v>
      </c>
      <c r="L21" s="3" t="s">
        <v>1140</v>
      </c>
      <c r="M21" s="3" t="s">
        <v>1100</v>
      </c>
      <c r="N21" s="3" t="s">
        <v>1101</v>
      </c>
      <c r="O21" s="3" t="s">
        <v>1724</v>
      </c>
      <c r="P21" s="3" t="s">
        <v>1141</v>
      </c>
      <c r="Q21" s="3" t="s">
        <v>1138</v>
      </c>
      <c r="R21" s="3" t="s">
        <v>1142</v>
      </c>
      <c r="S21" s="65" t="s">
        <v>1923</v>
      </c>
      <c r="T21" s="3" t="s">
        <v>1924</v>
      </c>
    </row>
    <row r="22" spans="1:28" x14ac:dyDescent="0.35">
      <c r="A22" s="148" t="s">
        <v>1155</v>
      </c>
      <c r="B22" s="3" t="s">
        <v>1539</v>
      </c>
      <c r="Q22" s="3" t="s">
        <v>3898</v>
      </c>
    </row>
    <row r="23" spans="1:28" x14ac:dyDescent="0.35">
      <c r="A23" s="146" t="s">
        <v>1103</v>
      </c>
      <c r="B23" s="3" t="s">
        <v>1274</v>
      </c>
      <c r="C23" s="3" t="s">
        <v>1275</v>
      </c>
      <c r="D23" s="3" t="s">
        <v>1276</v>
      </c>
      <c r="E23" s="3" t="s">
        <v>1139</v>
      </c>
      <c r="F23" s="3" t="s">
        <v>1098</v>
      </c>
      <c r="G23" s="3" t="s">
        <v>1277</v>
      </c>
      <c r="H23" s="3" t="s">
        <v>1278</v>
      </c>
      <c r="I23" s="3" t="s">
        <v>1279</v>
      </c>
      <c r="J23" s="3" t="s">
        <v>1280</v>
      </c>
      <c r="K23" s="3" t="s">
        <v>5158</v>
      </c>
      <c r="L23" s="3" t="s">
        <v>1281</v>
      </c>
      <c r="M23" s="3" t="s">
        <v>1282</v>
      </c>
      <c r="N23" s="244" t="s">
        <v>1283</v>
      </c>
      <c r="O23" s="3" t="s">
        <v>1284</v>
      </c>
      <c r="P23" s="3" t="s">
        <v>1285</v>
      </c>
      <c r="Q23" s="3" t="s">
        <v>1279</v>
      </c>
      <c r="R23" s="3" t="s">
        <v>5149</v>
      </c>
      <c r="S23" s="3" t="s">
        <v>5154</v>
      </c>
      <c r="T23" s="3" t="s">
        <v>5157</v>
      </c>
      <c r="U23" s="257" t="s">
        <v>5156</v>
      </c>
      <c r="V23" s="257" t="s">
        <v>810</v>
      </c>
      <c r="W23" s="257" t="s">
        <v>5155</v>
      </c>
      <c r="X23" s="3" t="s">
        <v>5150</v>
      </c>
      <c r="Y23" s="65" t="s">
        <v>5159</v>
      </c>
    </row>
    <row r="24" spans="1:28" x14ac:dyDescent="0.35">
      <c r="A24" s="146" t="s">
        <v>1117</v>
      </c>
      <c r="B24" s="3" t="s">
        <v>1118</v>
      </c>
      <c r="C24" s="3" t="s">
        <v>1119</v>
      </c>
      <c r="D24" s="3" t="s">
        <v>1120</v>
      </c>
      <c r="E24" s="3" t="s">
        <v>1121</v>
      </c>
    </row>
    <row r="25" spans="1:28" x14ac:dyDescent="0.35">
      <c r="A25" s="146" t="s">
        <v>1122</v>
      </c>
      <c r="B25" s="3" t="s">
        <v>1123</v>
      </c>
      <c r="C25" s="3" t="s">
        <v>1124</v>
      </c>
    </row>
    <row r="26" spans="1:28" x14ac:dyDescent="0.35">
      <c r="A26" s="149" t="s">
        <v>1147</v>
      </c>
      <c r="B26" s="3" t="s">
        <v>1148</v>
      </c>
    </row>
    <row r="27" spans="1:28" x14ac:dyDescent="0.35">
      <c r="A27" s="149" t="s">
        <v>1150</v>
      </c>
      <c r="B27" s="3" t="s">
        <v>1268</v>
      </c>
      <c r="C27" s="3" t="s">
        <v>1266</v>
      </c>
    </row>
    <row r="28" spans="1:28" x14ac:dyDescent="0.35">
      <c r="A28" s="149" t="s">
        <v>659</v>
      </c>
      <c r="C28" s="3" t="s">
        <v>1151</v>
      </c>
    </row>
    <row r="29" spans="1:28" x14ac:dyDescent="0.35">
      <c r="A29" s="160" t="s">
        <v>1156</v>
      </c>
      <c r="B29" s="3" t="s">
        <v>1545</v>
      </c>
      <c r="C29" s="3" t="s">
        <v>1157</v>
      </c>
      <c r="D29" s="3" t="s">
        <v>1158</v>
      </c>
      <c r="E29" s="3" t="s">
        <v>1159</v>
      </c>
      <c r="F29" s="3" t="s">
        <v>1160</v>
      </c>
      <c r="G29" s="3" t="s">
        <v>1161</v>
      </c>
      <c r="H29" s="3" t="s">
        <v>1169</v>
      </c>
    </row>
    <row r="30" spans="1:28" x14ac:dyDescent="0.35">
      <c r="A30" s="149" t="s">
        <v>1185</v>
      </c>
      <c r="B30" s="3" t="s">
        <v>1191</v>
      </c>
      <c r="C30" s="3" t="s">
        <v>1186</v>
      </c>
      <c r="D30" s="3" t="s">
        <v>798</v>
      </c>
      <c r="E30" s="3" t="s">
        <v>1187</v>
      </c>
      <c r="F30" s="3" t="s">
        <v>848</v>
      </c>
      <c r="G30" s="3" t="s">
        <v>580</v>
      </c>
      <c r="H30" s="3" t="s">
        <v>4</v>
      </c>
      <c r="I30" s="3" t="s">
        <v>1189</v>
      </c>
      <c r="J30" s="3" t="s">
        <v>1188</v>
      </c>
      <c r="K30" s="3" t="s">
        <v>1190</v>
      </c>
    </row>
    <row r="31" spans="1:28" x14ac:dyDescent="0.35">
      <c r="A31" s="160" t="s">
        <v>1627</v>
      </c>
      <c r="B31" s="3" t="s">
        <v>1095</v>
      </c>
      <c r="C31" s="3" t="s">
        <v>1096</v>
      </c>
      <c r="D31" s="3" t="s">
        <v>1628</v>
      </c>
      <c r="E31" s="3" t="s">
        <v>1135</v>
      </c>
      <c r="F31" s="3" t="s">
        <v>1139</v>
      </c>
      <c r="G31" s="3" t="s">
        <v>1098</v>
      </c>
      <c r="H31" s="257" t="s">
        <v>1629</v>
      </c>
      <c r="I31" s="257" t="s">
        <v>1630</v>
      </c>
      <c r="J31" s="257" t="s">
        <v>1631</v>
      </c>
      <c r="K31" s="257" t="s">
        <v>46</v>
      </c>
      <c r="L31" s="257" t="s">
        <v>1638</v>
      </c>
      <c r="M31" s="257" t="s">
        <v>1632</v>
      </c>
      <c r="N31" s="257" t="s">
        <v>657</v>
      </c>
      <c r="O31" s="257" t="s">
        <v>4</v>
      </c>
      <c r="P31" s="257" t="s">
        <v>1633</v>
      </c>
      <c r="Q31" s="257" t="s">
        <v>1634</v>
      </c>
      <c r="R31" s="257" t="s">
        <v>1635</v>
      </c>
      <c r="S31" s="257" t="s">
        <v>46</v>
      </c>
      <c r="T31" s="257" t="s">
        <v>1639</v>
      </c>
      <c r="U31" s="257" t="s">
        <v>46</v>
      </c>
      <c r="V31" s="257" t="s">
        <v>1102</v>
      </c>
      <c r="W31" s="3" t="s">
        <v>1636</v>
      </c>
      <c r="X31" s="3" t="s">
        <v>1141</v>
      </c>
      <c r="Y31" s="259" t="s">
        <v>1637</v>
      </c>
      <c r="Z31" s="259" t="s">
        <v>657</v>
      </c>
      <c r="AA31" s="259" t="s">
        <v>4</v>
      </c>
      <c r="AB31" s="3" t="s">
        <v>1640</v>
      </c>
    </row>
    <row r="32" spans="1:28" x14ac:dyDescent="0.35">
      <c r="A32" s="149" t="s">
        <v>1287</v>
      </c>
      <c r="B32" s="3" t="s">
        <v>1540</v>
      </c>
      <c r="C32" s="3" t="s">
        <v>1288</v>
      </c>
    </row>
    <row r="33" spans="1:24" x14ac:dyDescent="0.35">
      <c r="A33" s="383" t="s">
        <v>1297</v>
      </c>
      <c r="B33" s="3" t="s">
        <v>1769</v>
      </c>
      <c r="C33" s="3" t="s">
        <v>1546</v>
      </c>
      <c r="D33" s="3" t="s">
        <v>1765</v>
      </c>
      <c r="E33" s="3" t="s">
        <v>1761</v>
      </c>
      <c r="F33" s="3" t="s">
        <v>1762</v>
      </c>
      <c r="G33" s="3" t="s">
        <v>1763</v>
      </c>
      <c r="H33" s="3" t="s">
        <v>1767</v>
      </c>
      <c r="I33" s="3" t="s">
        <v>1768</v>
      </c>
      <c r="J33" s="3" t="s">
        <v>1764</v>
      </c>
      <c r="K33" s="3" t="s">
        <v>1766</v>
      </c>
      <c r="L33" s="266"/>
    </row>
    <row r="34" spans="1:24" x14ac:dyDescent="0.35">
      <c r="A34" s="149" t="s">
        <v>1304</v>
      </c>
      <c r="B34" s="3" t="s">
        <v>1541</v>
      </c>
    </row>
    <row r="35" spans="1:24" x14ac:dyDescent="0.35">
      <c r="A35" s="383" t="s">
        <v>6095</v>
      </c>
      <c r="B35" s="3" t="s">
        <v>6096</v>
      </c>
      <c r="C35" s="3" t="s">
        <v>1305</v>
      </c>
      <c r="D35" s="3" t="s">
        <v>1306</v>
      </c>
      <c r="E35" s="3" t="s">
        <v>1307</v>
      </c>
      <c r="F35" s="3" t="s">
        <v>800</v>
      </c>
      <c r="G35" s="3" t="s">
        <v>580</v>
      </c>
      <c r="H35" s="3" t="s">
        <v>4</v>
      </c>
      <c r="I35" s="3" t="s">
        <v>6091</v>
      </c>
      <c r="J35" s="3" t="s">
        <v>6092</v>
      </c>
      <c r="K35" s="3" t="s">
        <v>6093</v>
      </c>
    </row>
    <row r="36" spans="1:24" x14ac:dyDescent="0.35">
      <c r="A36" s="383" t="s">
        <v>1354</v>
      </c>
      <c r="B36" s="3" t="s">
        <v>5185</v>
      </c>
      <c r="C36" s="3" t="s">
        <v>5561</v>
      </c>
      <c r="D36" s="65" t="s">
        <v>5186</v>
      </c>
      <c r="E36" s="3" t="s">
        <v>5187</v>
      </c>
      <c r="F36" s="3" t="s">
        <v>5188</v>
      </c>
      <c r="G36" s="3" t="s">
        <v>5189</v>
      </c>
      <c r="H36" s="3" t="s">
        <v>5553</v>
      </c>
      <c r="I36" s="3" t="s">
        <v>5190</v>
      </c>
      <c r="J36" s="65" t="s">
        <v>5554</v>
      </c>
      <c r="K36" s="244" t="s">
        <v>1099</v>
      </c>
      <c r="L36" s="257" t="s">
        <v>657</v>
      </c>
      <c r="M36" s="257" t="s">
        <v>4</v>
      </c>
      <c r="N36" s="259" t="s">
        <v>5564</v>
      </c>
      <c r="O36" s="257" t="s">
        <v>1885</v>
      </c>
      <c r="P36" s="65" t="s">
        <v>5191</v>
      </c>
      <c r="Q36" s="3" t="s">
        <v>46</v>
      </c>
      <c r="R36" s="3" t="s">
        <v>5192</v>
      </c>
      <c r="S36" s="3" t="s">
        <v>5558</v>
      </c>
      <c r="T36" s="3" t="s">
        <v>1102</v>
      </c>
      <c r="U36" s="3" t="s">
        <v>5559</v>
      </c>
      <c r="V36" s="3" t="s">
        <v>5560</v>
      </c>
      <c r="W36" s="65" t="s">
        <v>5562</v>
      </c>
      <c r="X36" s="244" t="s">
        <v>5563</v>
      </c>
    </row>
    <row r="37" spans="1:24" x14ac:dyDescent="0.35">
      <c r="A37" s="149" t="s">
        <v>1425</v>
      </c>
      <c r="B37" s="3" t="s">
        <v>1721</v>
      </c>
    </row>
    <row r="38" spans="1:24" x14ac:dyDescent="0.35">
      <c r="A38" s="160" t="s">
        <v>1646</v>
      </c>
      <c r="B38" s="3" t="s">
        <v>1647</v>
      </c>
      <c r="C38" s="3" t="s">
        <v>851</v>
      </c>
      <c r="D38" s="3" t="s">
        <v>1648</v>
      </c>
      <c r="E38" s="3" t="s">
        <v>1649</v>
      </c>
      <c r="F38" s="3" t="s">
        <v>1650</v>
      </c>
    </row>
    <row r="39" spans="1:24" x14ac:dyDescent="0.35">
      <c r="A39" s="566" t="s">
        <v>6081</v>
      </c>
      <c r="B39" s="3" t="s">
        <v>6094</v>
      </c>
      <c r="C39" s="3" t="s">
        <v>6082</v>
      </c>
      <c r="D39" s="3" t="s">
        <v>6083</v>
      </c>
      <c r="E39" s="3" t="s">
        <v>6084</v>
      </c>
      <c r="F39" s="3" t="s">
        <v>6085</v>
      </c>
      <c r="G39" s="3" t="s">
        <v>6086</v>
      </c>
      <c r="H39" s="3" t="s">
        <v>6087</v>
      </c>
      <c r="I39" s="3" t="s">
        <v>6088</v>
      </c>
      <c r="J39" s="3" t="s">
        <v>6089</v>
      </c>
      <c r="K39" s="3" t="s">
        <v>6090</v>
      </c>
      <c r="L39" s="3" t="s">
        <v>580</v>
      </c>
      <c r="M39" s="3" t="s">
        <v>4</v>
      </c>
      <c r="N39" s="3" t="s">
        <v>6091</v>
      </c>
      <c r="O39" s="3" t="s">
        <v>6092</v>
      </c>
      <c r="P39" s="3" t="s">
        <v>6093</v>
      </c>
    </row>
    <row r="40" spans="1:24" x14ac:dyDescent="0.35">
      <c r="A40" s="149" t="s">
        <v>1675</v>
      </c>
      <c r="B40" s="3" t="s">
        <v>1676</v>
      </c>
      <c r="C40" s="3" t="s">
        <v>1677</v>
      </c>
      <c r="D40" s="6"/>
    </row>
    <row r="41" spans="1:24" x14ac:dyDescent="0.35">
      <c r="A41" s="149" t="s">
        <v>1678</v>
      </c>
      <c r="B41" s="3" t="s">
        <v>6080</v>
      </c>
      <c r="C41" s="3" t="s">
        <v>2862</v>
      </c>
      <c r="D41" s="3" t="s">
        <v>2861</v>
      </c>
    </row>
    <row r="42" spans="1:24" x14ac:dyDescent="0.35">
      <c r="A42" s="160" t="s">
        <v>1683</v>
      </c>
      <c r="B42" s="3" t="s">
        <v>1684</v>
      </c>
      <c r="C42" s="3" t="s">
        <v>1685</v>
      </c>
      <c r="D42" s="3" t="s">
        <v>1690</v>
      </c>
      <c r="E42" s="3" t="s">
        <v>783</v>
      </c>
      <c r="F42" s="245" t="s">
        <v>1687</v>
      </c>
      <c r="G42" s="244" t="s">
        <v>1686</v>
      </c>
      <c r="H42" s="3" t="s">
        <v>1688</v>
      </c>
      <c r="I42" s="3" t="s">
        <v>1691</v>
      </c>
      <c r="J42" s="3" t="s">
        <v>1689</v>
      </c>
    </row>
    <row r="43" spans="1:24" x14ac:dyDescent="0.35">
      <c r="A43" s="149" t="s">
        <v>1708</v>
      </c>
      <c r="B43" s="3" t="s">
        <v>1709</v>
      </c>
      <c r="C43" s="3" t="s">
        <v>1710</v>
      </c>
    </row>
    <row r="44" spans="1:24" x14ac:dyDescent="0.35">
      <c r="A44" s="160" t="s">
        <v>1725</v>
      </c>
      <c r="B44" s="3" t="s">
        <v>7228</v>
      </c>
      <c r="C44" s="3" t="s">
        <v>1736</v>
      </c>
      <c r="D44" s="3" t="s">
        <v>1737</v>
      </c>
      <c r="E44" s="3" t="s">
        <v>1738</v>
      </c>
      <c r="F44" s="3" t="s">
        <v>1741</v>
      </c>
      <c r="G44" s="3" t="s">
        <v>1739</v>
      </c>
      <c r="H44" s="3" t="s">
        <v>1740</v>
      </c>
    </row>
    <row r="45" spans="1:24" x14ac:dyDescent="0.35">
      <c r="A45" s="160" t="s">
        <v>1858</v>
      </c>
      <c r="B45" s="3" t="s">
        <v>1859</v>
      </c>
    </row>
    <row r="46" spans="1:24" x14ac:dyDescent="0.35">
      <c r="A46" s="149" t="s">
        <v>1941</v>
      </c>
      <c r="B46" s="3" t="s">
        <v>1942</v>
      </c>
    </row>
    <row r="47" spans="1:24" x14ac:dyDescent="0.35">
      <c r="A47" s="149" t="s">
        <v>1949</v>
      </c>
      <c r="B47" s="3" t="s">
        <v>1948</v>
      </c>
    </row>
    <row r="48" spans="1:24" x14ac:dyDescent="0.35">
      <c r="A48" s="149" t="s">
        <v>1950</v>
      </c>
      <c r="B48" s="3" t="s">
        <v>1951</v>
      </c>
    </row>
    <row r="49" spans="1:44" x14ac:dyDescent="0.35">
      <c r="A49" s="149" t="s">
        <v>2880</v>
      </c>
      <c r="B49" s="3" t="s">
        <v>2881</v>
      </c>
    </row>
    <row r="50" spans="1:44" x14ac:dyDescent="0.35">
      <c r="A50" s="160" t="s">
        <v>3219</v>
      </c>
      <c r="B50" s="3" t="s">
        <v>4926</v>
      </c>
      <c r="C50" s="3" t="s">
        <v>4927</v>
      </c>
      <c r="D50" s="3" t="s">
        <v>4937</v>
      </c>
      <c r="E50" s="3" t="s">
        <v>4939</v>
      </c>
      <c r="F50" s="3" t="s">
        <v>4938</v>
      </c>
    </row>
    <row r="51" spans="1:44" x14ac:dyDescent="0.35">
      <c r="A51" s="160" t="s">
        <v>4919</v>
      </c>
      <c r="B51" s="3" t="s">
        <v>4925</v>
      </c>
      <c r="C51" s="3" t="s">
        <v>1097</v>
      </c>
      <c r="D51" s="3" t="s">
        <v>1135</v>
      </c>
      <c r="E51" s="3" t="s">
        <v>4924</v>
      </c>
      <c r="F51" s="3" t="s">
        <v>4920</v>
      </c>
      <c r="G51" s="3" t="s">
        <v>4921</v>
      </c>
      <c r="H51" s="3" t="s">
        <v>4922</v>
      </c>
      <c r="I51" s="3" t="s">
        <v>4923</v>
      </c>
    </row>
    <row r="52" spans="1:44" x14ac:dyDescent="0.35">
      <c r="A52" s="160" t="s">
        <v>6047</v>
      </c>
      <c r="B52" s="3" t="s">
        <v>5185</v>
      </c>
      <c r="C52" s="3" t="s">
        <v>5533</v>
      </c>
      <c r="D52" s="3" t="s">
        <v>5540</v>
      </c>
      <c r="E52" s="3" t="s">
        <v>5534</v>
      </c>
      <c r="F52" s="3" t="s">
        <v>5535</v>
      </c>
      <c r="G52" s="3" t="s">
        <v>580</v>
      </c>
      <c r="H52" s="3" t="s">
        <v>4</v>
      </c>
      <c r="I52" s="3" t="s">
        <v>5536</v>
      </c>
      <c r="J52" s="3" t="s">
        <v>5537</v>
      </c>
      <c r="K52" s="3" t="s">
        <v>5538</v>
      </c>
      <c r="L52" s="3" t="s">
        <v>5539</v>
      </c>
      <c r="M52" s="3" t="s">
        <v>5545</v>
      </c>
    </row>
    <row r="53" spans="1:44" x14ac:dyDescent="0.35">
      <c r="A53" s="160" t="s">
        <v>3221</v>
      </c>
      <c r="B53" s="3" t="s">
        <v>6049</v>
      </c>
      <c r="C53" s="3" t="s">
        <v>6058</v>
      </c>
      <c r="D53" s="3" t="s">
        <v>6050</v>
      </c>
      <c r="E53" s="3" t="s">
        <v>6059</v>
      </c>
      <c r="F53" s="3" t="s">
        <v>6060</v>
      </c>
      <c r="G53" s="3" t="s">
        <v>6051</v>
      </c>
      <c r="H53" s="3" t="s">
        <v>6056</v>
      </c>
    </row>
    <row r="54" spans="1:44" x14ac:dyDescent="0.35">
      <c r="A54" s="559" t="s">
        <v>6048</v>
      </c>
      <c r="B54" s="3" t="s">
        <v>6052</v>
      </c>
      <c r="C54" s="3" t="s">
        <v>6053</v>
      </c>
      <c r="D54" s="3" t="s">
        <v>6054</v>
      </c>
    </row>
    <row r="55" spans="1:44" x14ac:dyDescent="0.35">
      <c r="A55" s="149" t="s">
        <v>2517</v>
      </c>
      <c r="B55" s="3" t="s">
        <v>7541</v>
      </c>
    </row>
    <row r="56" spans="1:44" x14ac:dyDescent="0.35">
      <c r="A56" s="559" t="s">
        <v>8575</v>
      </c>
      <c r="B56" s="3" t="s">
        <v>8611</v>
      </c>
      <c r="C56" s="3" t="s">
        <v>1135</v>
      </c>
      <c r="D56" s="3" t="s">
        <v>1139</v>
      </c>
      <c r="E56" s="3" t="s">
        <v>8576</v>
      </c>
      <c r="F56" s="3" t="s">
        <v>1099</v>
      </c>
      <c r="G56" s="3" t="s">
        <v>8577</v>
      </c>
      <c r="H56" s="3" t="s">
        <v>4</v>
      </c>
      <c r="I56" s="3" t="s">
        <v>8578</v>
      </c>
      <c r="J56" s="3" t="s">
        <v>8579</v>
      </c>
      <c r="K56" s="3" t="s">
        <v>8580</v>
      </c>
      <c r="L56" s="3" t="s">
        <v>8581</v>
      </c>
      <c r="M56" s="3" t="s">
        <v>8582</v>
      </c>
      <c r="N56" s="3" t="s">
        <v>8583</v>
      </c>
      <c r="O56" s="3" t="s">
        <v>8584</v>
      </c>
      <c r="P56" s="244" t="s">
        <v>8585</v>
      </c>
      <c r="Q56" s="259" t="s">
        <v>8588</v>
      </c>
      <c r="R56" s="3" t="s">
        <v>8586</v>
      </c>
      <c r="S56" s="3" t="s">
        <v>8587</v>
      </c>
      <c r="T56" s="3" t="s">
        <v>8589</v>
      </c>
      <c r="U56" s="3" t="s">
        <v>8590</v>
      </c>
      <c r="V56" s="3" t="s">
        <v>8591</v>
      </c>
      <c r="W56" s="3" t="s">
        <v>8592</v>
      </c>
      <c r="X56" s="3" t="s">
        <v>8593</v>
      </c>
      <c r="Y56" s="3" t="s">
        <v>8594</v>
      </c>
      <c r="Z56" s="3" t="s">
        <v>8595</v>
      </c>
      <c r="AA56" s="3" t="s">
        <v>8596</v>
      </c>
      <c r="AB56" s="3" t="s">
        <v>8597</v>
      </c>
      <c r="AC56" s="3" t="s">
        <v>8599</v>
      </c>
      <c r="AD56" s="3" t="s">
        <v>8598</v>
      </c>
      <c r="AE56" s="3" t="s">
        <v>8600</v>
      </c>
      <c r="AF56" s="3" t="s">
        <v>8601</v>
      </c>
      <c r="AG56" s="3" t="s">
        <v>8602</v>
      </c>
      <c r="AH56" s="3" t="s">
        <v>8603</v>
      </c>
      <c r="AI56" s="3" t="s">
        <v>46</v>
      </c>
      <c r="AJ56" s="3" t="s">
        <v>8604</v>
      </c>
      <c r="AK56" s="3" t="s">
        <v>8605</v>
      </c>
      <c r="AL56" s="3" t="s">
        <v>813</v>
      </c>
      <c r="AM56" s="3" t="s">
        <v>8606</v>
      </c>
      <c r="AN56" s="3" t="s">
        <v>8607</v>
      </c>
      <c r="AO56" s="3" t="s">
        <v>8608</v>
      </c>
      <c r="AP56" s="3" t="s">
        <v>8609</v>
      </c>
      <c r="AQ56" s="3" t="s">
        <v>46</v>
      </c>
      <c r="AR56" s="3" t="s">
        <v>8610</v>
      </c>
    </row>
  </sheetData>
  <mergeCells count="2">
    <mergeCell ref="A1:A2"/>
    <mergeCell ref="B1:O2"/>
  </mergeCells>
  <pageMargins left="0.7" right="0.7" top="0.75" bottom="0.75" header="0.3" footer="0.3"/>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FO"/>
  <dimension ref="A1:K119"/>
  <sheetViews>
    <sheetView topLeftCell="A39" workbookViewId="0">
      <selection activeCell="D24" sqref="D24"/>
    </sheetView>
  </sheetViews>
  <sheetFormatPr defaultColWidth="8.7265625" defaultRowHeight="14.5" x14ac:dyDescent="0.35"/>
  <cols>
    <col min="1" max="1" width="21.26953125" style="20" customWidth="1"/>
    <col min="2" max="2" width="12.453125" style="21" customWidth="1"/>
    <col min="3" max="3" width="12.1796875" style="22" customWidth="1"/>
    <col min="4" max="4" width="11.54296875" style="22" customWidth="1"/>
    <col min="5" max="5" width="11.54296875" style="21" customWidth="1"/>
    <col min="6" max="6" width="8.7265625" style="9"/>
    <col min="7" max="7" width="8.7265625" style="634"/>
    <col min="8" max="16384" width="8.7265625" style="9"/>
  </cols>
  <sheetData>
    <row r="1" spans="1:11" ht="15" thickBot="1" x14ac:dyDescent="0.4">
      <c r="A1" s="758" t="s">
        <v>7</v>
      </c>
      <c r="B1" s="759"/>
      <c r="C1" s="759"/>
      <c r="D1" s="759"/>
      <c r="E1" s="759"/>
      <c r="F1" s="759"/>
      <c r="G1" s="759"/>
      <c r="H1" s="759"/>
      <c r="I1" s="759"/>
      <c r="K1" s="21">
        <f>COUNTA(STATUS!$A:$A)-1</f>
        <v>2820</v>
      </c>
    </row>
    <row r="2" spans="1:11" ht="15.5" thickTop="1" thickBot="1" x14ac:dyDescent="0.4">
      <c r="A2" s="10" t="s">
        <v>12</v>
      </c>
      <c r="B2" s="11" t="s">
        <v>13</v>
      </c>
      <c r="C2" s="10" t="s">
        <v>14</v>
      </c>
      <c r="D2" s="10" t="s">
        <v>11</v>
      </c>
      <c r="E2" s="10" t="s">
        <v>15</v>
      </c>
      <c r="F2" s="10" t="s">
        <v>6815</v>
      </c>
      <c r="G2" s="633" t="s">
        <v>6097</v>
      </c>
      <c r="H2" s="10" t="s">
        <v>6815</v>
      </c>
      <c r="I2" s="633" t="s">
        <v>6097</v>
      </c>
      <c r="K2" s="21">
        <f>SUM(F:F)</f>
        <v>2781</v>
      </c>
    </row>
    <row r="3" spans="1:11" ht="15" thickTop="1" x14ac:dyDescent="0.35">
      <c r="A3" s="12" t="s">
        <v>152</v>
      </c>
      <c r="B3" s="13">
        <v>7713056834</v>
      </c>
      <c r="C3" s="12" t="s">
        <v>153</v>
      </c>
      <c r="D3" s="12" t="s">
        <v>153</v>
      </c>
      <c r="E3" s="14">
        <v>33639</v>
      </c>
      <c r="F3" s="21">
        <f>COUNTIF(STATUS!$G:$G,ФО!A3)</f>
        <v>353</v>
      </c>
      <c r="G3" s="635">
        <f>F3/(COUNTA(STATUS!$A:$A)-1)</f>
        <v>0.12517730496453899</v>
      </c>
      <c r="H3" s="21">
        <f>COUNTIFS(STATUS!$G:$G,ФО!A3,STATUS!H:H,"КАСКО")</f>
        <v>4</v>
      </c>
      <c r="I3" s="635">
        <f>H3/(COUNTIF(STATUS!H:H,"КАСКО"))</f>
        <v>4.5454545454545456E-2</v>
      </c>
    </row>
    <row r="4" spans="1:11" x14ac:dyDescent="0.35">
      <c r="A4" s="15" t="s">
        <v>160</v>
      </c>
      <c r="B4" s="16">
        <v>7725497022</v>
      </c>
      <c r="C4" s="15" t="s">
        <v>161</v>
      </c>
      <c r="D4" s="15" t="s">
        <v>161</v>
      </c>
      <c r="E4" s="17">
        <v>43348</v>
      </c>
      <c r="F4" s="21">
        <f>COUNTIF(STATUS!$G:$G,ФО!A4)</f>
        <v>85</v>
      </c>
      <c r="G4" s="635">
        <f>F4/(COUNTA(STATUS!$A:$A)-1)</f>
        <v>3.0141843971631204E-2</v>
      </c>
      <c r="H4" s="21">
        <f>COUNTIFS(STATUS!$G:$G,ФО!A4,STATUS!H:H,"КАСКО")</f>
        <v>1</v>
      </c>
      <c r="I4" s="635">
        <f>H4/(COUNTIF(STATUS!H:H,"КАСКО"))</f>
        <v>1.1363636363636364E-2</v>
      </c>
    </row>
    <row r="5" spans="1:11" x14ac:dyDescent="0.35">
      <c r="A5" s="67" t="s">
        <v>186</v>
      </c>
      <c r="B5" s="18">
        <v>8601023568</v>
      </c>
      <c r="C5" s="15" t="s">
        <v>187</v>
      </c>
      <c r="D5" s="15" t="s">
        <v>187</v>
      </c>
      <c r="E5" s="17">
        <v>38240</v>
      </c>
      <c r="F5" s="21">
        <f>COUNTIF(STATUS!$G:$G,ФО!A5)</f>
        <v>50</v>
      </c>
      <c r="G5" s="635">
        <f>F5/(COUNTA(STATUS!$A:$A)-1)</f>
        <v>1.7730496453900711E-2</v>
      </c>
      <c r="H5" s="21">
        <f>COUNTIFS(STATUS!$G:$G,ФО!A5,STATUS!H:H,"КАСКО")</f>
        <v>1</v>
      </c>
      <c r="I5" s="635">
        <f>H5/(COUNTIF(STATUS!H:H,"КАСКО"))</f>
        <v>1.1363636363636364E-2</v>
      </c>
    </row>
    <row r="6" spans="1:11" x14ac:dyDescent="0.35">
      <c r="A6" s="67" t="s">
        <v>417</v>
      </c>
      <c r="B6" s="18">
        <v>7709031643</v>
      </c>
      <c r="C6" s="15" t="s">
        <v>931</v>
      </c>
      <c r="D6" s="15" t="s">
        <v>931</v>
      </c>
      <c r="E6" s="66">
        <v>33676</v>
      </c>
      <c r="F6" s="21">
        <f>COUNTIF(STATUS!$G:$G,ФО!A6)</f>
        <v>83</v>
      </c>
      <c r="G6" s="635">
        <f>F6/(COUNTA(STATUS!$A:$A)-1)</f>
        <v>2.9432624113475178E-2</v>
      </c>
      <c r="H6" s="21">
        <f>COUNTIFS(STATUS!$G:$G,ФО!A6,STATUS!H:H,"КАСКО")</f>
        <v>1</v>
      </c>
      <c r="I6" s="635">
        <f>H6/(COUNTIF(STATUS!H:H,"КАСКО"))</f>
        <v>1.1363636363636364E-2</v>
      </c>
    </row>
    <row r="7" spans="1:11" x14ac:dyDescent="0.35">
      <c r="A7" s="67" t="s">
        <v>188</v>
      </c>
      <c r="B7" s="18">
        <v>1657023630</v>
      </c>
      <c r="C7" s="15" t="s">
        <v>189</v>
      </c>
      <c r="D7" s="15" t="s">
        <v>190</v>
      </c>
      <c r="E7" s="66">
        <v>35384</v>
      </c>
      <c r="F7" s="21">
        <f>COUNTIF(STATUS!$G:$G,ФО!A7)</f>
        <v>0</v>
      </c>
      <c r="G7" s="635">
        <f>F7/(COUNTA(STATUS!$A:$A)-1)</f>
        <v>0</v>
      </c>
      <c r="H7" s="21">
        <f>COUNTIFS(STATUS!$G:$G,ФО!A7,STATUS!H:H,"КАСКО")</f>
        <v>0</v>
      </c>
      <c r="I7" s="635">
        <f>H7/(COUNTIF(STATUS!H:H,"КАСКО"))</f>
        <v>0</v>
      </c>
    </row>
    <row r="8" spans="1:11" x14ac:dyDescent="0.35">
      <c r="A8" s="67" t="s">
        <v>741</v>
      </c>
      <c r="B8" s="18">
        <v>6312013969</v>
      </c>
      <c r="C8" s="15" t="s">
        <v>761</v>
      </c>
      <c r="D8" s="15" t="s">
        <v>761</v>
      </c>
      <c r="E8" s="17">
        <v>33499</v>
      </c>
      <c r="F8" s="21">
        <f>COUNTIF(STATUS!$G:$G,ФО!A8)</f>
        <v>9</v>
      </c>
      <c r="G8" s="635">
        <f>F8/(COUNTA(STATUS!$A:$A)-1)</f>
        <v>3.1914893617021275E-3</v>
      </c>
      <c r="H8" s="21">
        <f>COUNTIFS(STATUS!$G:$G,ФО!A8,STATUS!H:H,"КАСКО")</f>
        <v>1</v>
      </c>
      <c r="I8" s="635">
        <f>H8/(COUNTIF(STATUS!H:H,"КАСКО"))</f>
        <v>1.1363636363636364E-2</v>
      </c>
    </row>
    <row r="9" spans="1:11" x14ac:dyDescent="0.35">
      <c r="A9" s="15" t="s">
        <v>164</v>
      </c>
      <c r="B9" s="18">
        <v>6315232133</v>
      </c>
      <c r="C9" s="15" t="s">
        <v>165</v>
      </c>
      <c r="D9" s="15" t="s">
        <v>165</v>
      </c>
      <c r="E9" s="17">
        <v>34681</v>
      </c>
      <c r="F9" s="21">
        <f>COUNTIF(STATUS!$G:$G,ФО!A9)</f>
        <v>7</v>
      </c>
      <c r="G9" s="635">
        <f>F9/(COUNTA(STATUS!$A:$A)-1)</f>
        <v>2.4822695035460994E-3</v>
      </c>
      <c r="H9" s="21">
        <f>COUNTIFS(STATUS!$G:$G,ФО!A9,STATUS!H:H,"КАСКО")</f>
        <v>0</v>
      </c>
      <c r="I9" s="635">
        <f>H9/(COUNTIF(STATUS!H:H,"КАСКО"))</f>
        <v>0</v>
      </c>
    </row>
    <row r="10" spans="1:11" x14ac:dyDescent="0.35">
      <c r="A10" s="15" t="s">
        <v>158</v>
      </c>
      <c r="B10" s="16">
        <v>7736035485</v>
      </c>
      <c r="C10" s="15" t="s">
        <v>159</v>
      </c>
      <c r="D10" s="15" t="s">
        <v>159</v>
      </c>
      <c r="E10" s="17">
        <v>34780</v>
      </c>
      <c r="F10" s="21">
        <f>COUNTIF(STATUS!$G:$G,ФО!A10)</f>
        <v>363</v>
      </c>
      <c r="G10" s="635">
        <f>F10/(COUNTA(STATUS!$A:$A)-1)</f>
        <v>0.12872340425531914</v>
      </c>
      <c r="H10" s="21">
        <f>COUNTIFS(STATUS!$G:$G,ФО!A10,STATUS!H:H,"КАСКО")</f>
        <v>1</v>
      </c>
      <c r="I10" s="635">
        <f>H10/(COUNTIF(STATUS!H:H,"КАСКО"))</f>
        <v>1.1363636363636364E-2</v>
      </c>
    </row>
    <row r="11" spans="1:11" x14ac:dyDescent="0.35">
      <c r="A11" s="67" t="s">
        <v>1178</v>
      </c>
      <c r="B11" s="18">
        <v>7736203789</v>
      </c>
      <c r="C11" s="15" t="s">
        <v>1179</v>
      </c>
      <c r="D11" s="15" t="s">
        <v>1179</v>
      </c>
      <c r="E11" s="17">
        <v>36637</v>
      </c>
      <c r="F11" s="21">
        <f>COUNTIF(STATUS!$G:$G,ФО!A11)</f>
        <v>0</v>
      </c>
      <c r="G11" s="635">
        <f>F11/(COUNTA(STATUS!$A:$A)-1)</f>
        <v>0</v>
      </c>
      <c r="H11" s="21">
        <f>COUNTIFS(STATUS!$G:$G,ФО!A11,STATUS!H:H,"КАСКО")</f>
        <v>0</v>
      </c>
      <c r="I11" s="635">
        <f>H11/(COUNTIF(STATUS!H:H,"КАСКО"))</f>
        <v>0</v>
      </c>
    </row>
    <row r="12" spans="1:11" x14ac:dyDescent="0.35">
      <c r="A12" s="67" t="s">
        <v>195</v>
      </c>
      <c r="B12" s="18">
        <v>7704082517</v>
      </c>
      <c r="C12" s="15" t="s">
        <v>196</v>
      </c>
      <c r="D12" s="15" t="s">
        <v>196</v>
      </c>
      <c r="E12" s="18" t="s">
        <v>197</v>
      </c>
      <c r="F12" s="21">
        <f>COUNTIF(STATUS!$G:$G,ФО!A12)</f>
        <v>70</v>
      </c>
      <c r="G12" s="635">
        <f>F12/(COUNTA(STATUS!$A:$A)-1)</f>
        <v>2.4822695035460994E-2</v>
      </c>
      <c r="H12" s="21">
        <f>COUNTIFS(STATUS!$G:$G,ФО!A12,STATUS!H:H,"КАСКО")</f>
        <v>2</v>
      </c>
      <c r="I12" s="635">
        <f>H12/(COUNTIF(STATUS!H:H,"КАСКО"))</f>
        <v>2.2727272727272728E-2</v>
      </c>
    </row>
    <row r="13" spans="1:11" x14ac:dyDescent="0.35">
      <c r="A13" s="15" t="s">
        <v>166</v>
      </c>
      <c r="B13" s="18">
        <v>1656000493</v>
      </c>
      <c r="C13" s="15" t="s">
        <v>167</v>
      </c>
      <c r="D13" s="15" t="s">
        <v>167</v>
      </c>
      <c r="E13" s="17">
        <v>37341</v>
      </c>
      <c r="F13" s="21">
        <f>COUNTIF(STATUS!$G:$G,ФО!A13)</f>
        <v>8</v>
      </c>
      <c r="G13" s="635">
        <f>F13/(COUNTA(STATUS!$A:$A)-1)</f>
        <v>2.8368794326241137E-3</v>
      </c>
      <c r="H13" s="21">
        <f>COUNTIFS(STATUS!$G:$G,ФО!A13,STATUS!H:H,"КАСКО")</f>
        <v>0</v>
      </c>
      <c r="I13" s="635">
        <f>H13/(COUNTIF(STATUS!H:H,"КАСКО"))</f>
        <v>0</v>
      </c>
    </row>
    <row r="14" spans="1:11" x14ac:dyDescent="0.35">
      <c r="A14" s="67" t="s">
        <v>193</v>
      </c>
      <c r="B14" s="18">
        <v>4202000716</v>
      </c>
      <c r="C14" s="15" t="s">
        <v>194</v>
      </c>
      <c r="D14" s="15" t="s">
        <v>194</v>
      </c>
      <c r="E14" s="17">
        <v>34096</v>
      </c>
      <c r="F14" s="21">
        <f>COUNTIF(STATUS!$G:$G,ФО!A14)</f>
        <v>12</v>
      </c>
      <c r="G14" s="635">
        <f>F14/(COUNTA(STATUS!$A:$A)-1)</f>
        <v>4.2553191489361703E-3</v>
      </c>
      <c r="H14" s="21">
        <f>COUNTIFS(STATUS!$G:$G,ФО!A14,STATUS!H:H,"КАСКО")</f>
        <v>0</v>
      </c>
      <c r="I14" s="635">
        <f>H14/(COUNTIF(STATUS!H:H,"КАСКО"))</f>
        <v>0</v>
      </c>
    </row>
    <row r="15" spans="1:11" x14ac:dyDescent="0.35">
      <c r="A15" s="15" t="s">
        <v>174</v>
      </c>
      <c r="B15" s="16">
        <v>1435159327</v>
      </c>
      <c r="C15" s="15" t="s">
        <v>175</v>
      </c>
      <c r="D15" s="15" t="s">
        <v>175</v>
      </c>
      <c r="E15" s="17">
        <v>38476</v>
      </c>
      <c r="F15" s="21">
        <f>COUNTIF(STATUS!$G:$G,ФО!A15)</f>
        <v>2</v>
      </c>
      <c r="G15" s="635">
        <f>F15/(COUNTA(STATUS!$A:$A)-1)</f>
        <v>7.0921985815602842E-4</v>
      </c>
      <c r="H15" s="21">
        <f>COUNTIFS(STATUS!$G:$G,ФО!A15,STATUS!H:H,"КАСКО")</f>
        <v>0</v>
      </c>
      <c r="I15" s="635">
        <f>H15/(COUNTIF(STATUS!H:H,"КАСКО"))</f>
        <v>0</v>
      </c>
    </row>
    <row r="16" spans="1:11" x14ac:dyDescent="0.35">
      <c r="A16" s="67" t="s">
        <v>177</v>
      </c>
      <c r="B16" s="16">
        <v>1644001196</v>
      </c>
      <c r="C16" s="15" t="s">
        <v>178</v>
      </c>
      <c r="D16" s="15" t="s">
        <v>178</v>
      </c>
      <c r="E16" s="17">
        <v>37411</v>
      </c>
      <c r="F16" s="21">
        <f>COUNTIF(STATUS!$G:$G,ФО!A16)</f>
        <v>20</v>
      </c>
      <c r="G16" s="635">
        <f>F16/(COUNTA(STATUS!$A:$A)-1)</f>
        <v>7.0921985815602835E-3</v>
      </c>
      <c r="H16" s="21">
        <f>COUNTIFS(STATUS!$G:$G,ФО!A16,STATUS!H:H,"КАСКО")</f>
        <v>0</v>
      </c>
      <c r="I16" s="635">
        <f>H16/(COUNTIF(STATUS!H:H,"КАСКО"))</f>
        <v>0</v>
      </c>
    </row>
    <row r="17" spans="1:9" x14ac:dyDescent="0.35">
      <c r="A17" s="67" t="s">
        <v>198</v>
      </c>
      <c r="B17" s="18">
        <v>7728178835</v>
      </c>
      <c r="C17" s="15" t="s">
        <v>199</v>
      </c>
      <c r="D17" s="15" t="s">
        <v>199</v>
      </c>
      <c r="E17" s="17">
        <v>36123</v>
      </c>
      <c r="F17" s="21">
        <f>COUNTIF(STATUS!$G:$G,ФО!A17)</f>
        <v>4</v>
      </c>
      <c r="G17" s="635">
        <f>F17/(COUNTA(STATUS!$A:$A)-1)</f>
        <v>1.4184397163120568E-3</v>
      </c>
      <c r="H17" s="21">
        <f>COUNTIFS(STATUS!$G:$G,ФО!A17,STATUS!H:H,"КАСКО")</f>
        <v>0</v>
      </c>
      <c r="I17" s="635">
        <f>H17/(COUNTIF(STATUS!H:H,"КАСКО"))</f>
        <v>0</v>
      </c>
    </row>
    <row r="18" spans="1:9" x14ac:dyDescent="0.35">
      <c r="A18" s="15" t="s">
        <v>176</v>
      </c>
      <c r="B18" s="382" t="s">
        <v>4956</v>
      </c>
      <c r="C18" s="15" t="s">
        <v>1000</v>
      </c>
      <c r="D18" s="15" t="s">
        <v>1000</v>
      </c>
      <c r="E18" s="17">
        <v>36307</v>
      </c>
      <c r="F18" s="21">
        <f>COUNTIF(STATUS!$G:$G,ФО!A18)</f>
        <v>77</v>
      </c>
      <c r="G18" s="635">
        <f>F18/(COUNTA(STATUS!$A:$A)-1)</f>
        <v>2.7304964539007093E-2</v>
      </c>
      <c r="H18" s="21">
        <f>COUNTIFS(STATUS!$G:$G,ФО!A18,STATUS!H:H,"КАСКО")</f>
        <v>0</v>
      </c>
      <c r="I18" s="635">
        <f>H18/(COUNTIF(STATUS!H:H,"КАСКО"))</f>
        <v>0</v>
      </c>
    </row>
    <row r="19" spans="1:9" x14ac:dyDescent="0.35">
      <c r="A19" s="67" t="s">
        <v>200</v>
      </c>
      <c r="B19" s="18">
        <v>3804002162</v>
      </c>
      <c r="C19" s="15" t="s">
        <v>201</v>
      </c>
      <c r="D19" s="15" t="s">
        <v>202</v>
      </c>
      <c r="E19" s="17">
        <v>37502</v>
      </c>
      <c r="F19" s="21">
        <f>COUNTIF(STATUS!$G:$G,ФО!A19)</f>
        <v>0</v>
      </c>
      <c r="G19" s="635">
        <f>F19/(COUNTA(STATUS!$A:$A)-1)</f>
        <v>0</v>
      </c>
      <c r="H19" s="21">
        <f>COUNTIFS(STATUS!$G:$G,ФО!A19,STATUS!H:H,"КАСКО")</f>
        <v>0</v>
      </c>
      <c r="I19" s="635">
        <f>H19/(COUNTIF(STATUS!H:H,"КАСКО"))</f>
        <v>0</v>
      </c>
    </row>
    <row r="20" spans="1:9" x14ac:dyDescent="0.35">
      <c r="A20" s="15" t="s">
        <v>170</v>
      </c>
      <c r="B20" s="16">
        <v>7706196090</v>
      </c>
      <c r="C20" s="15" t="s">
        <v>171</v>
      </c>
      <c r="D20" s="15" t="s">
        <v>171</v>
      </c>
      <c r="E20" s="17">
        <v>36371</v>
      </c>
      <c r="F20" s="21">
        <f>COUNTIF(STATUS!$G:$G,ФО!A20)</f>
        <v>50</v>
      </c>
      <c r="G20" s="635">
        <f>F20/(COUNTA(STATUS!$A:$A)-1)</f>
        <v>1.7730496453900711E-2</v>
      </c>
      <c r="H20" s="21">
        <f>COUNTIFS(STATUS!$G:$G,ФО!A20,STATUS!H:H,"КАСКО")</f>
        <v>6</v>
      </c>
      <c r="I20" s="635">
        <f>H20/(COUNTIF(STATUS!H:H,"КАСКО"))</f>
        <v>6.8181818181818177E-2</v>
      </c>
    </row>
    <row r="21" spans="1:9" x14ac:dyDescent="0.35">
      <c r="A21" s="67" t="s">
        <v>183</v>
      </c>
      <c r="B21" s="18">
        <v>4205002133</v>
      </c>
      <c r="C21" s="15" t="s">
        <v>184</v>
      </c>
      <c r="D21" s="15" t="s">
        <v>184</v>
      </c>
      <c r="E21" s="18" t="s">
        <v>185</v>
      </c>
      <c r="F21" s="21">
        <f>COUNTIF(STATUS!$G:$G,ФО!A21)</f>
        <v>11</v>
      </c>
      <c r="G21" s="635">
        <f>F21/(COUNTA(STATUS!$A:$A)-1)</f>
        <v>3.900709219858156E-3</v>
      </c>
      <c r="H21" s="21">
        <f>COUNTIFS(STATUS!$G:$G,ФО!A21,STATUS!H:H,"КАСКО")</f>
        <v>0</v>
      </c>
      <c r="I21" s="635">
        <f>H21/(COUNTIF(STATUS!H:H,"КАСКО"))</f>
        <v>0</v>
      </c>
    </row>
    <row r="22" spans="1:9" x14ac:dyDescent="0.35">
      <c r="A22" s="67" t="s">
        <v>1051</v>
      </c>
      <c r="B22" s="18">
        <v>8602103061</v>
      </c>
      <c r="C22" s="15" t="s">
        <v>1153</v>
      </c>
      <c r="D22" s="15" t="s">
        <v>1153</v>
      </c>
      <c r="E22" s="17">
        <v>35404</v>
      </c>
      <c r="F22" s="21">
        <f>COUNTIF(STATUS!$G:$G,ФО!A22)</f>
        <v>14</v>
      </c>
      <c r="G22" s="635">
        <f>F22/(COUNTA(STATUS!$A:$A)-1)</f>
        <v>4.9645390070921988E-3</v>
      </c>
      <c r="H22" s="21">
        <f>COUNTIFS(STATUS!$G:$G,ФО!A22,STATUS!H:H,"КАСКО")</f>
        <v>0</v>
      </c>
      <c r="I22" s="635">
        <f>H22/(COUNTIF(STATUS!H:H,"КАСКО"))</f>
        <v>0</v>
      </c>
    </row>
    <row r="23" spans="1:9" x14ac:dyDescent="0.35">
      <c r="A23" s="67" t="s">
        <v>944</v>
      </c>
      <c r="B23" s="18">
        <v>7705233021</v>
      </c>
      <c r="C23" s="15" t="s">
        <v>1002</v>
      </c>
      <c r="D23" s="15" t="s">
        <v>1002</v>
      </c>
      <c r="E23" s="17">
        <v>36145</v>
      </c>
      <c r="F23" s="21">
        <f>COUNTIF(STATUS!$G:$G,ФО!A23)</f>
        <v>5</v>
      </c>
      <c r="G23" s="635">
        <f>F23/(COUNTA(STATUS!$A:$A)-1)</f>
        <v>1.7730496453900709E-3</v>
      </c>
      <c r="H23" s="21">
        <f>COUNTIFS(STATUS!$G:$G,ФО!A23,STATUS!H:H,"КАСКО")</f>
        <v>0</v>
      </c>
      <c r="I23" s="635">
        <f>H23/(COUNTIF(STATUS!H:H,"КАСКО"))</f>
        <v>0</v>
      </c>
    </row>
    <row r="24" spans="1:9" x14ac:dyDescent="0.35">
      <c r="A24" s="67" t="s">
        <v>179</v>
      </c>
      <c r="B24" s="18">
        <v>7723011286</v>
      </c>
      <c r="C24" s="15" t="s">
        <v>180</v>
      </c>
      <c r="D24" s="15" t="s">
        <v>180</v>
      </c>
      <c r="E24" s="17">
        <v>34235</v>
      </c>
      <c r="F24" s="21">
        <f>COUNTIF(STATUS!$G:$G,ФО!A24)</f>
        <v>40</v>
      </c>
      <c r="G24" s="635">
        <f>F24/(COUNTA(STATUS!$A:$A)-1)</f>
        <v>1.4184397163120567E-2</v>
      </c>
      <c r="H24" s="21">
        <f>COUNTIFS(STATUS!$G:$G,ФО!A24,STATUS!H:H,"КАСКО")</f>
        <v>0</v>
      </c>
      <c r="I24" s="635">
        <f>H24/(COUNTIF(STATUS!H:H,"КАСКО"))</f>
        <v>0</v>
      </c>
    </row>
    <row r="25" spans="1:9" x14ac:dyDescent="0.35">
      <c r="A25" s="67" t="s">
        <v>191</v>
      </c>
      <c r="B25" s="18">
        <v>7705513090</v>
      </c>
      <c r="C25" s="15" t="s">
        <v>192</v>
      </c>
      <c r="D25" s="15" t="s">
        <v>192</v>
      </c>
      <c r="E25" s="17">
        <v>38162</v>
      </c>
      <c r="F25" s="21">
        <f>COUNTIF(STATUS!$G:$G,ФО!A25)</f>
        <v>17</v>
      </c>
      <c r="G25" s="635">
        <f>F25/(COUNTA(STATUS!$A:$A)-1)</f>
        <v>6.0283687943262412E-3</v>
      </c>
      <c r="H25" s="21">
        <f>COUNTIFS(STATUS!$G:$G,ФО!A25,STATUS!H:H,"КАСКО")</f>
        <v>0</v>
      </c>
      <c r="I25" s="635">
        <f>H25/(COUNTIF(STATUS!H:H,"КАСКО"))</f>
        <v>0</v>
      </c>
    </row>
    <row r="26" spans="1:9" x14ac:dyDescent="0.35">
      <c r="A26" s="15" t="s">
        <v>168</v>
      </c>
      <c r="B26" s="18">
        <v>7453297458</v>
      </c>
      <c r="C26" s="15" t="s">
        <v>169</v>
      </c>
      <c r="D26" s="15" t="s">
        <v>169</v>
      </c>
      <c r="E26" s="66">
        <v>42558</v>
      </c>
      <c r="F26" s="21">
        <f>COUNTIF(STATUS!$G:$G,ФО!A26)</f>
        <v>43</v>
      </c>
      <c r="G26" s="635">
        <f>F26/(COUNTA(STATUS!$A:$A)-1)</f>
        <v>1.5248226950354609E-2</v>
      </c>
      <c r="H26" s="21">
        <f>COUNTIFS(STATUS!$G:$G,ФО!A26,STATUS!H:H,"КАСКО")</f>
        <v>0</v>
      </c>
      <c r="I26" s="635">
        <f>H26/(COUNTIF(STATUS!H:H,"КАСКО"))</f>
        <v>0</v>
      </c>
    </row>
    <row r="27" spans="1:9" x14ac:dyDescent="0.35">
      <c r="A27" s="15" t="s">
        <v>172</v>
      </c>
      <c r="B27" s="16">
        <v>7705041231</v>
      </c>
      <c r="C27" s="15" t="s">
        <v>173</v>
      </c>
      <c r="D27" s="15" t="s">
        <v>173</v>
      </c>
      <c r="E27" s="17">
        <v>33844</v>
      </c>
      <c r="F27" s="21">
        <f>COUNTIF(STATUS!$G:$G,ФО!A27)</f>
        <v>17</v>
      </c>
      <c r="G27" s="635">
        <f>F27/(COUNTA(STATUS!$A:$A)-1)</f>
        <v>6.0283687943262412E-3</v>
      </c>
      <c r="H27" s="21">
        <f>COUNTIFS(STATUS!$G:$G,ФО!A27,STATUS!H:H,"КАСКО")</f>
        <v>2</v>
      </c>
      <c r="I27" s="635">
        <f>H27/(COUNTIF(STATUS!H:H,"КАСКО"))</f>
        <v>2.2727272727272728E-2</v>
      </c>
    </row>
    <row r="28" spans="1:9" x14ac:dyDescent="0.35">
      <c r="A28" s="15" t="s">
        <v>154</v>
      </c>
      <c r="B28" s="16">
        <v>7707067683</v>
      </c>
      <c r="C28" s="15" t="s">
        <v>155</v>
      </c>
      <c r="D28" s="15" t="s">
        <v>155</v>
      </c>
      <c r="E28" s="17">
        <v>33835</v>
      </c>
      <c r="F28" s="21">
        <f>COUNTIF(STATUS!$G:$G,ФО!A28)</f>
        <v>522</v>
      </c>
      <c r="G28" s="635">
        <f>F28/(COUNTA(STATUS!$A:$A)-1)</f>
        <v>0.18510638297872339</v>
      </c>
      <c r="H28" s="21">
        <f>COUNTIFS(STATUS!$G:$G,ФО!A28,STATUS!H:H,"КАСКО")</f>
        <v>24</v>
      </c>
      <c r="I28" s="635">
        <f>H28/(COUNTIF(STATUS!H:H,"КАСКО"))</f>
        <v>0.27272727272727271</v>
      </c>
    </row>
    <row r="29" spans="1:9" x14ac:dyDescent="0.35">
      <c r="A29" s="15" t="s">
        <v>156</v>
      </c>
      <c r="B29" s="16">
        <v>7710026574</v>
      </c>
      <c r="C29" s="15" t="s">
        <v>157</v>
      </c>
      <c r="D29" s="15" t="s">
        <v>157</v>
      </c>
      <c r="E29" s="17">
        <v>33645</v>
      </c>
      <c r="F29" s="21">
        <f>COUNTIF(STATUS!$G:$G,ФО!A29)</f>
        <v>170</v>
      </c>
      <c r="G29" s="635">
        <f>F29/(COUNTA(STATUS!$A:$A)-1)</f>
        <v>6.0283687943262408E-2</v>
      </c>
      <c r="H29" s="21">
        <f>COUNTIFS(STATUS!$G:$G,ФО!A29,STATUS!H:H,"КАСКО")</f>
        <v>9</v>
      </c>
      <c r="I29" s="635">
        <f>H29/(COUNTIF(STATUS!H:H,"КАСКО"))</f>
        <v>0.10227272727272728</v>
      </c>
    </row>
    <row r="30" spans="1:9" x14ac:dyDescent="0.35">
      <c r="A30" s="67" t="s">
        <v>181</v>
      </c>
      <c r="B30" s="18">
        <v>2466035034</v>
      </c>
      <c r="C30" s="15" t="s">
        <v>182</v>
      </c>
      <c r="D30" s="15" t="s">
        <v>182</v>
      </c>
      <c r="E30" s="17">
        <v>33522</v>
      </c>
      <c r="F30" s="21">
        <f>COUNTIF(STATUS!$G:$G,ФО!A30)</f>
        <v>27</v>
      </c>
      <c r="G30" s="635">
        <f>F30/(COUNTA(STATUS!$A:$A)-1)</f>
        <v>9.5744680851063829E-3</v>
      </c>
      <c r="H30" s="21">
        <f>COUNTIFS(STATUS!$G:$G,ФО!A30,STATUS!H:H,"КАСКО")</f>
        <v>2</v>
      </c>
      <c r="I30" s="635">
        <f>H30/(COUNTIF(STATUS!H:H,"КАСКО"))</f>
        <v>2.2727272727272728E-2</v>
      </c>
    </row>
    <row r="31" spans="1:9" x14ac:dyDescent="0.35">
      <c r="A31" s="67" t="s">
        <v>545</v>
      </c>
      <c r="B31" s="18">
        <v>7815025049</v>
      </c>
      <c r="C31" s="15" t="s">
        <v>727</v>
      </c>
      <c r="D31" s="15" t="s">
        <v>727</v>
      </c>
      <c r="E31" s="66">
        <v>33129</v>
      </c>
      <c r="F31" s="21">
        <f>COUNTIF(STATUS!$G:$G,ФО!A31)</f>
        <v>13</v>
      </c>
      <c r="G31" s="635">
        <f>F31/(COUNTA(STATUS!$A:$A)-1)</f>
        <v>4.6099290780141841E-3</v>
      </c>
      <c r="H31" s="21">
        <f>COUNTIFS(STATUS!$G:$G,ФО!A31,STATUS!H:H,"КАСКО")</f>
        <v>3</v>
      </c>
      <c r="I31" s="635">
        <f>H31/(COUNTIF(STATUS!H:H,"КАСКО"))</f>
        <v>3.4090909090909088E-2</v>
      </c>
    </row>
    <row r="32" spans="1:9" x14ac:dyDescent="0.35">
      <c r="A32" s="15" t="s">
        <v>149</v>
      </c>
      <c r="B32" s="16">
        <v>7705042179</v>
      </c>
      <c r="C32" s="15" t="s">
        <v>150</v>
      </c>
      <c r="D32" s="15" t="s">
        <v>150</v>
      </c>
      <c r="E32" s="17">
        <v>33417</v>
      </c>
      <c r="F32" s="21">
        <f>COUNTIF(STATUS!$G:$G,ФО!A32)</f>
        <v>227</v>
      </c>
      <c r="G32" s="635">
        <f>F32/(COUNTA(STATUS!$A:$A)-1)</f>
        <v>8.0496453900709225E-2</v>
      </c>
      <c r="H32" s="21">
        <f>COUNTIFS(STATUS!$G:$G,ФО!A32,STATUS!H:H,"КАСКО")</f>
        <v>8</v>
      </c>
      <c r="I32" s="635">
        <f>H32/(COUNTIF(STATUS!H:H,"КАСКО"))</f>
        <v>9.0909090909090912E-2</v>
      </c>
    </row>
    <row r="33" spans="1:9" x14ac:dyDescent="0.35">
      <c r="A33" s="15" t="s">
        <v>162</v>
      </c>
      <c r="B33" s="16">
        <v>7710045520</v>
      </c>
      <c r="C33" s="15" t="s">
        <v>163</v>
      </c>
      <c r="D33" s="15" t="s">
        <v>163</v>
      </c>
      <c r="E33" s="17">
        <v>34234</v>
      </c>
      <c r="F33" s="21">
        <f>COUNTIF(STATUS!$G:$G,ФО!A33)</f>
        <v>375</v>
      </c>
      <c r="G33" s="635">
        <f>F33/(COUNTA(STATUS!$A:$A)-1)</f>
        <v>0.13297872340425532</v>
      </c>
      <c r="H33" s="21">
        <f>COUNTIFS(STATUS!$G:$G,ФО!A33,STATUS!H:H,"КАСКО")</f>
        <v>20</v>
      </c>
      <c r="I33" s="635">
        <f>H33/(COUNTIF(STATUS!H:H,"КАСКО"))</f>
        <v>0.22727272727272727</v>
      </c>
    </row>
    <row r="34" spans="1:9" x14ac:dyDescent="0.35">
      <c r="A34" s="67" t="s">
        <v>1390</v>
      </c>
      <c r="B34" s="18">
        <v>3666068423</v>
      </c>
      <c r="C34" s="15" t="s">
        <v>1420</v>
      </c>
      <c r="D34" s="15" t="s">
        <v>1420</v>
      </c>
      <c r="E34" s="66">
        <v>35698</v>
      </c>
      <c r="F34" s="21">
        <f>COUNTIF(STATUS!$G:$G,ФО!A34)</f>
        <v>4</v>
      </c>
      <c r="G34" s="635">
        <f>F34/(COUNTA(STATUS!$A:$A)-1)</f>
        <v>1.4184397163120568E-3</v>
      </c>
      <c r="H34" s="21">
        <f>COUNTIFS(STATUS!$G:$G,ФО!A34,STATUS!H:H,"КАСКО")</f>
        <v>0</v>
      </c>
      <c r="I34" s="635">
        <f>H34/(COUNTIF(STATUS!H:H,"КАСКО"))</f>
        <v>0</v>
      </c>
    </row>
    <row r="35" spans="1:9" x14ac:dyDescent="0.35">
      <c r="A35" s="67" t="s">
        <v>1337</v>
      </c>
      <c r="B35" s="18">
        <v>5905013608</v>
      </c>
      <c r="C35" s="15" t="s">
        <v>1621</v>
      </c>
      <c r="D35" s="15" t="s">
        <v>1621</v>
      </c>
      <c r="E35" s="17">
        <v>36160</v>
      </c>
      <c r="F35" s="21">
        <f>COUNTIF(STATUS!$G:$G,ФО!A35)</f>
        <v>13</v>
      </c>
      <c r="G35" s="635">
        <f>F35/(COUNTA(STATUS!$A:$A)-1)</f>
        <v>4.6099290780141841E-3</v>
      </c>
      <c r="H35" s="21">
        <f>COUNTIFS(STATUS!$G:$G,ФО!A35,STATUS!H:H,"КАСКО")</f>
        <v>0</v>
      </c>
      <c r="I35" s="635">
        <f>H35/(COUNTIF(STATUS!H:H,"КАСКО"))</f>
        <v>0</v>
      </c>
    </row>
    <row r="36" spans="1:9" x14ac:dyDescent="0.35">
      <c r="A36" s="67" t="s">
        <v>1625</v>
      </c>
      <c r="B36" s="18">
        <v>7733013853</v>
      </c>
      <c r="C36" s="15" t="s">
        <v>1624</v>
      </c>
      <c r="D36" s="15" t="s">
        <v>1624</v>
      </c>
      <c r="E36" s="17">
        <v>35313</v>
      </c>
      <c r="F36" s="21">
        <f>COUNTIF(STATUS!$G:$G,ФО!A36)</f>
        <v>0</v>
      </c>
      <c r="G36" s="635">
        <f>F36/(COUNTA(STATUS!$A:$A)-1)</f>
        <v>0</v>
      </c>
      <c r="H36" s="21">
        <f>COUNTIFS(STATUS!$G:$G,ФО!A36,STATUS!H:H,"КАСКО")</f>
        <v>0</v>
      </c>
      <c r="I36" s="635">
        <f>H36/(COUNTIF(STATUS!H:H,"КАСКО"))</f>
        <v>0</v>
      </c>
    </row>
    <row r="37" spans="1:9" x14ac:dyDescent="0.35">
      <c r="A37" s="67" t="s">
        <v>1673</v>
      </c>
      <c r="B37" s="18">
        <v>3317000799</v>
      </c>
      <c r="C37" s="15" t="s">
        <v>1674</v>
      </c>
      <c r="D37" s="15" t="s">
        <v>1674</v>
      </c>
      <c r="E37" s="17">
        <v>33619</v>
      </c>
      <c r="F37" s="21">
        <f>COUNTIF(STATUS!$G:$G,ФО!A37)</f>
        <v>0</v>
      </c>
      <c r="G37" s="635">
        <f>F37/(COUNTA(STATUS!$A:$A)-1)</f>
        <v>0</v>
      </c>
      <c r="H37" s="21">
        <f>COUNTIFS(STATUS!$G:$G,ФО!A37,STATUS!H:H,"КАСКО")</f>
        <v>0</v>
      </c>
      <c r="I37" s="635">
        <f>H37/(COUNTIF(STATUS!H:H,"КАСКО"))</f>
        <v>0</v>
      </c>
    </row>
    <row r="38" spans="1:9" x14ac:dyDescent="0.35">
      <c r="A38" s="67" t="s">
        <v>1393</v>
      </c>
      <c r="B38" s="18">
        <v>1655004449</v>
      </c>
      <c r="C38" s="15" t="s">
        <v>1682</v>
      </c>
      <c r="D38" s="15" t="s">
        <v>1682</v>
      </c>
      <c r="E38" s="17">
        <v>37370</v>
      </c>
      <c r="F38" s="21">
        <f>COUNTIF(STATUS!$G:$G,ФО!A38)</f>
        <v>27</v>
      </c>
      <c r="G38" s="635">
        <f>F38/(COUNTA(STATUS!$A:$A)-1)</f>
        <v>9.5744680851063829E-3</v>
      </c>
      <c r="H38" s="21">
        <f>COUNTIFS(STATUS!$G:$G,ФО!A38,STATUS!H:H,"КАСКО")</f>
        <v>0</v>
      </c>
      <c r="I38" s="635">
        <f>H38/(COUNTIF(STATUS!H:H,"КАСКО"))</f>
        <v>0</v>
      </c>
    </row>
    <row r="39" spans="1:9" x14ac:dyDescent="0.35">
      <c r="A39" s="67" t="s">
        <v>1692</v>
      </c>
      <c r="B39" s="18">
        <v>7710280644</v>
      </c>
      <c r="C39" s="15" t="s">
        <v>1693</v>
      </c>
      <c r="D39" s="15" t="s">
        <v>1693</v>
      </c>
      <c r="E39" s="17">
        <v>35886</v>
      </c>
      <c r="F39" s="21">
        <f>COUNTIF(STATUS!$G:$G,ФО!A39)</f>
        <v>12</v>
      </c>
      <c r="G39" s="635">
        <f>F39/(COUNTA(STATUS!$A:$A)-1)</f>
        <v>4.2553191489361703E-3</v>
      </c>
      <c r="H39" s="21">
        <f>COUNTIFS(STATUS!$G:$G,ФО!A39,STATUS!H:H,"КАСКО")</f>
        <v>0</v>
      </c>
      <c r="I39" s="635">
        <f>H39/(COUNTIF(STATUS!H:H,"КАСКО"))</f>
        <v>0</v>
      </c>
    </row>
    <row r="40" spans="1:9" x14ac:dyDescent="0.35">
      <c r="A40" s="67" t="s">
        <v>1699</v>
      </c>
      <c r="B40" s="18">
        <v>5402155281</v>
      </c>
      <c r="C40" s="15" t="s">
        <v>1700</v>
      </c>
      <c r="D40" s="15" t="s">
        <v>1700</v>
      </c>
      <c r="E40" s="66">
        <v>36860</v>
      </c>
      <c r="F40" s="21">
        <f>COUNTIF(STATUS!$G:$G,ФО!A40)</f>
        <v>0</v>
      </c>
      <c r="G40" s="635">
        <f>F40/(COUNTA(STATUS!$A:$A)-1)</f>
        <v>0</v>
      </c>
      <c r="H40" s="21">
        <f>COUNTIFS(STATUS!$G:$G,ФО!A40,STATUS!H:H,"КАСКО")</f>
        <v>0</v>
      </c>
      <c r="I40" s="635">
        <f>H40/(COUNTIF(STATUS!H:H,"КАСКО"))</f>
        <v>0</v>
      </c>
    </row>
    <row r="41" spans="1:9" x14ac:dyDescent="0.35">
      <c r="A41" s="67" t="s">
        <v>1866</v>
      </c>
      <c r="B41" s="18">
        <v>7731041830</v>
      </c>
      <c r="C41" s="15"/>
      <c r="D41" s="15"/>
      <c r="E41" s="17">
        <v>33385</v>
      </c>
      <c r="F41" s="21">
        <f>COUNTIF(STATUS!$G:$G,ФО!A41)</f>
        <v>0</v>
      </c>
      <c r="G41" s="635">
        <f>F41/(COUNTA(STATUS!$A:$A)-1)</f>
        <v>0</v>
      </c>
      <c r="H41" s="21">
        <f>COUNTIFS(STATUS!$G:$G,ФО!A41,STATUS!H:H,"КАСКО")</f>
        <v>0</v>
      </c>
      <c r="I41" s="635">
        <f>H41/(COUNTIF(STATUS!H:H,"КАСКО"))</f>
        <v>0</v>
      </c>
    </row>
    <row r="42" spans="1:9" x14ac:dyDescent="0.35">
      <c r="A42" s="67" t="s">
        <v>1230</v>
      </c>
      <c r="B42" s="18">
        <v>8901010104</v>
      </c>
      <c r="C42" s="15" t="s">
        <v>1874</v>
      </c>
      <c r="D42" s="15" t="s">
        <v>1874</v>
      </c>
      <c r="E42" s="17">
        <v>36362</v>
      </c>
      <c r="F42" s="21">
        <f>COUNTIF(STATUS!$G:$G,ФО!A42)</f>
        <v>3</v>
      </c>
      <c r="G42" s="635">
        <f>F42/(COUNTA(STATUS!$A:$A)-1)</f>
        <v>1.0638297872340426E-3</v>
      </c>
      <c r="H42" s="21">
        <f>COUNTIFS(STATUS!$G:$G,ФО!A42,STATUS!H:H,"КАСКО")</f>
        <v>0</v>
      </c>
      <c r="I42" s="635">
        <f>H42/(COUNTIF(STATUS!H:H,"КАСКО"))</f>
        <v>0</v>
      </c>
    </row>
    <row r="43" spans="1:9" x14ac:dyDescent="0.35">
      <c r="A43" s="67" t="s">
        <v>1875</v>
      </c>
      <c r="B43" s="18"/>
      <c r="C43" s="15"/>
      <c r="D43" s="15"/>
      <c r="E43" s="18"/>
      <c r="F43" s="21">
        <f>COUNTIF(STATUS!$G:$G,ФО!A43)</f>
        <v>0</v>
      </c>
      <c r="G43" s="635">
        <f>F43/(COUNTA(STATUS!$A:$A)-1)</f>
        <v>0</v>
      </c>
      <c r="H43" s="21">
        <f>COUNTIFS(STATUS!$G:$G,ФО!A43,STATUS!H:H,"КАСКО")</f>
        <v>0</v>
      </c>
      <c r="I43" s="635">
        <f>H43/(COUNTIF(STATUS!H:H,"КАСКО"))</f>
        <v>0</v>
      </c>
    </row>
    <row r="44" spans="1:9" x14ac:dyDescent="0.35">
      <c r="A44" s="67" t="s">
        <v>2766</v>
      </c>
      <c r="B44" s="18">
        <v>7714312079</v>
      </c>
      <c r="C44" s="15" t="s">
        <v>3566</v>
      </c>
      <c r="D44" s="15" t="s">
        <v>3566</v>
      </c>
      <c r="E44" s="17">
        <v>37749</v>
      </c>
      <c r="F44" s="21">
        <f>COUNTIF(STATUS!$G:$G,ФО!A44)</f>
        <v>7</v>
      </c>
      <c r="G44" s="635">
        <f>F44/(COUNTA(STATUS!$A:$A)-1)</f>
        <v>2.4822695035460994E-3</v>
      </c>
      <c r="H44" s="21">
        <f>COUNTIFS(STATUS!$G:$G,ФО!A44,STATUS!H:H,"КАСКО")</f>
        <v>0</v>
      </c>
      <c r="I44" s="635">
        <f>H44/(COUNTIF(STATUS!H:H,"КАСКО"))</f>
        <v>0</v>
      </c>
    </row>
    <row r="45" spans="1:9" x14ac:dyDescent="0.35">
      <c r="A45" s="67" t="s">
        <v>3356</v>
      </c>
      <c r="B45" s="18">
        <v>7817021522</v>
      </c>
      <c r="C45" s="15" t="s">
        <v>3938</v>
      </c>
      <c r="D45" s="15" t="s">
        <v>3938</v>
      </c>
      <c r="E45" s="17">
        <v>34410</v>
      </c>
      <c r="F45" s="21">
        <f>COUNTIF(STATUS!$G:$G,ФО!A45)</f>
        <v>9</v>
      </c>
      <c r="G45" s="635">
        <f>F45/(COUNTA(STATUS!$A:$A)-1)</f>
        <v>3.1914893617021275E-3</v>
      </c>
      <c r="H45" s="21">
        <f>COUNTIFS(STATUS!$G:$G,ФО!A45,STATUS!H:H,"КАСКО")</f>
        <v>0</v>
      </c>
      <c r="I45" s="635">
        <f>H45/(COUNTIF(STATUS!H:H,"КАСКО"))</f>
        <v>0</v>
      </c>
    </row>
    <row r="46" spans="1:9" x14ac:dyDescent="0.35">
      <c r="A46" s="67" t="s">
        <v>4288</v>
      </c>
      <c r="B46" s="18">
        <v>6608007191</v>
      </c>
      <c r="C46" s="15" t="s">
        <v>4780</v>
      </c>
      <c r="D46" s="15" t="s">
        <v>4780</v>
      </c>
      <c r="E46" s="17">
        <v>36118</v>
      </c>
      <c r="F46" s="21">
        <f>COUNTIF(STATUS!$G:$G,ФО!A46)</f>
        <v>1</v>
      </c>
      <c r="G46" s="635">
        <f>F46/(COUNTA(STATUS!$A:$A)-1)</f>
        <v>3.5460992907801421E-4</v>
      </c>
      <c r="H46" s="21">
        <f>COUNTIFS(STATUS!$G:$G,ФО!A46,STATUS!H:H,"КАСКО")</f>
        <v>1</v>
      </c>
      <c r="I46" s="635">
        <f>H46/(COUNTIF(STATUS!H:H,"КАСКО"))</f>
        <v>1.1363636363636364E-2</v>
      </c>
    </row>
    <row r="47" spans="1:9" x14ac:dyDescent="0.35">
      <c r="A47" s="67" t="s">
        <v>198</v>
      </c>
      <c r="B47" s="18">
        <v>7728178835</v>
      </c>
      <c r="C47" s="15" t="s">
        <v>199</v>
      </c>
      <c r="D47" s="15" t="s">
        <v>199</v>
      </c>
      <c r="E47" s="17">
        <v>36123</v>
      </c>
      <c r="F47" s="21">
        <f>COUNTIF(STATUS!$G:$G,ФО!A47)</f>
        <v>4</v>
      </c>
      <c r="G47" s="635">
        <f>F47/(COUNTA(STATUS!$A:$A)-1)</f>
        <v>1.4184397163120568E-3</v>
      </c>
      <c r="H47" s="21">
        <f>COUNTIFS(STATUS!$G:$G,ФО!A47,STATUS!H:H,"КАСКО")</f>
        <v>0</v>
      </c>
      <c r="I47" s="635">
        <f>H47/(COUNTIF(STATUS!H:H,"КАСКО"))</f>
        <v>0</v>
      </c>
    </row>
    <row r="48" spans="1:9" x14ac:dyDescent="0.35">
      <c r="A48" s="67" t="s">
        <v>2766</v>
      </c>
      <c r="B48" s="18">
        <v>7714312079</v>
      </c>
      <c r="C48" s="15" t="s">
        <v>3566</v>
      </c>
      <c r="D48" s="15" t="s">
        <v>3566</v>
      </c>
      <c r="E48" s="17">
        <v>37749</v>
      </c>
      <c r="F48" s="21">
        <f>COUNTIF(STATUS!$G:$G,ФО!A48)</f>
        <v>7</v>
      </c>
      <c r="G48" s="635">
        <f>F48/(COUNTA(STATUS!$A:$A)-1)</f>
        <v>2.4822695035460994E-3</v>
      </c>
      <c r="H48" s="21">
        <f>COUNTIFS(STATUS!$G:$G,ФО!A48,STATUS!H:H,"КАСКО")</f>
        <v>0</v>
      </c>
      <c r="I48" s="635">
        <f>H48/(COUNTIF(STATUS!H:H,"КАСКО"))</f>
        <v>0</v>
      </c>
    </row>
    <row r="49" spans="1:9" x14ac:dyDescent="0.35">
      <c r="A49" s="67" t="s">
        <v>4882</v>
      </c>
      <c r="B49" s="18">
        <v>7803025365</v>
      </c>
      <c r="C49" s="15" t="s">
        <v>5590</v>
      </c>
      <c r="D49" s="15" t="s">
        <v>5590</v>
      </c>
      <c r="E49" s="17">
        <v>33611</v>
      </c>
      <c r="F49" s="21">
        <f>COUNTIF(STATUS!$G:$G,ФО!A49)</f>
        <v>2</v>
      </c>
      <c r="G49" s="635">
        <f>F49/(COUNTA(STATUS!$A:$A)-1)</f>
        <v>7.0921985815602842E-4</v>
      </c>
      <c r="H49" s="21">
        <f>COUNTIFS(STATUS!$G:$G,ФО!A49,STATUS!H:H,"КАСКО")</f>
        <v>0</v>
      </c>
      <c r="I49" s="635">
        <f>H49/(COUNTIF(STATUS!H:H,"КАСКО"))</f>
        <v>0</v>
      </c>
    </row>
    <row r="50" spans="1:9" x14ac:dyDescent="0.35">
      <c r="A50" s="67" t="s">
        <v>3866</v>
      </c>
      <c r="B50" s="18">
        <v>7809016423</v>
      </c>
      <c r="C50" s="15" t="s">
        <v>6038</v>
      </c>
      <c r="D50" s="15" t="s">
        <v>6038</v>
      </c>
      <c r="E50" s="17">
        <v>35055</v>
      </c>
      <c r="F50" s="21">
        <f>COUNTIF(STATUS!$G:$G,ФО!A50)</f>
        <v>10</v>
      </c>
      <c r="G50" s="635">
        <f>F50/(COUNTA(STATUS!$A:$A)-1)</f>
        <v>3.5460992907801418E-3</v>
      </c>
      <c r="H50" s="21">
        <f>COUNTIFS(STATUS!$G:$G,ФО!A50,STATUS!H:H,"КАСКО")</f>
        <v>0</v>
      </c>
      <c r="I50" s="635">
        <f>H50/(COUNTIF(STATUS!H:H,"КАСКО"))</f>
        <v>0</v>
      </c>
    </row>
    <row r="51" spans="1:9" x14ac:dyDescent="0.35">
      <c r="A51" s="67" t="s">
        <v>2125</v>
      </c>
      <c r="B51" s="18">
        <v>7812016906</v>
      </c>
      <c r="C51" s="15" t="s">
        <v>6077</v>
      </c>
      <c r="D51" s="15" t="s">
        <v>6077</v>
      </c>
      <c r="E51" s="17">
        <v>34309</v>
      </c>
      <c r="F51" s="21">
        <f>COUNTIF(STATUS!$G:$G,ФО!A51)</f>
        <v>8</v>
      </c>
      <c r="G51" s="635">
        <f>F51/(COUNTA(STATUS!$A:$A)-1)</f>
        <v>2.8368794326241137E-3</v>
      </c>
      <c r="H51" s="21">
        <f>COUNTIFS(STATUS!$G:$G,ФО!A51,STATUS!H:H,"КАСКО")</f>
        <v>0</v>
      </c>
      <c r="I51" s="635">
        <f>H51/(COUNTIF(STATUS!H:H,"КАСКО"))</f>
        <v>0</v>
      </c>
    </row>
    <row r="52" spans="1:9" x14ac:dyDescent="0.35">
      <c r="A52" s="67"/>
      <c r="B52" s="18"/>
      <c r="C52" s="15"/>
      <c r="D52" s="15"/>
      <c r="E52" s="18"/>
      <c r="F52" s="9" t="s">
        <v>151</v>
      </c>
    </row>
    <row r="53" spans="1:9" x14ac:dyDescent="0.35">
      <c r="A53" s="67"/>
      <c r="B53" s="18"/>
      <c r="C53" s="15"/>
      <c r="D53" s="15"/>
      <c r="E53" s="18"/>
      <c r="F53" s="9" t="s">
        <v>151</v>
      </c>
    </row>
    <row r="54" spans="1:9" x14ac:dyDescent="0.35">
      <c r="A54" s="67"/>
      <c r="B54" s="18"/>
      <c r="C54" s="15"/>
      <c r="D54" s="15"/>
      <c r="E54" s="18"/>
      <c r="F54" s="9" t="s">
        <v>151</v>
      </c>
    </row>
    <row r="55" spans="1:9" x14ac:dyDescent="0.35">
      <c r="A55" s="67"/>
      <c r="B55" s="18"/>
      <c r="C55" s="15"/>
      <c r="D55" s="15"/>
      <c r="E55" s="18"/>
      <c r="F55" s="9" t="s">
        <v>151</v>
      </c>
    </row>
    <row r="56" spans="1:9" x14ac:dyDescent="0.35">
      <c r="A56" s="67"/>
      <c r="B56" s="18"/>
      <c r="C56" s="15"/>
      <c r="D56" s="15"/>
      <c r="E56" s="18"/>
      <c r="F56" s="9" t="s">
        <v>151</v>
      </c>
    </row>
    <row r="57" spans="1:9" x14ac:dyDescent="0.35">
      <c r="A57" s="67"/>
      <c r="B57" s="18"/>
      <c r="C57" s="15"/>
      <c r="D57" s="15"/>
      <c r="E57" s="18"/>
      <c r="F57" s="9" t="s">
        <v>151</v>
      </c>
    </row>
    <row r="58" spans="1:9" x14ac:dyDescent="0.35">
      <c r="A58" s="67"/>
      <c r="B58" s="18"/>
      <c r="C58" s="15"/>
      <c r="D58" s="15"/>
      <c r="E58" s="18"/>
      <c r="F58" s="9" t="s">
        <v>151</v>
      </c>
    </row>
    <row r="59" spans="1:9" x14ac:dyDescent="0.35">
      <c r="A59" s="67"/>
      <c r="B59" s="18"/>
      <c r="C59" s="15"/>
      <c r="D59" s="15"/>
      <c r="E59" s="18"/>
      <c r="F59" s="9" t="s">
        <v>151</v>
      </c>
    </row>
    <row r="60" spans="1:9" x14ac:dyDescent="0.35">
      <c r="A60" s="67"/>
      <c r="B60" s="18"/>
      <c r="C60" s="15"/>
      <c r="D60" s="15"/>
      <c r="E60" s="18"/>
      <c r="F60" s="9" t="s">
        <v>151</v>
      </c>
    </row>
    <row r="61" spans="1:9" x14ac:dyDescent="0.35">
      <c r="A61" s="67"/>
      <c r="B61" s="18"/>
      <c r="C61" s="15"/>
      <c r="D61" s="15"/>
      <c r="E61" s="18"/>
      <c r="F61" s="9" t="s">
        <v>151</v>
      </c>
    </row>
    <row r="62" spans="1:9" x14ac:dyDescent="0.35">
      <c r="A62" s="67"/>
      <c r="B62" s="18"/>
      <c r="C62" s="15"/>
      <c r="D62" s="15"/>
      <c r="E62" s="18"/>
      <c r="F62" s="9" t="s">
        <v>151</v>
      </c>
    </row>
    <row r="63" spans="1:9" x14ac:dyDescent="0.35">
      <c r="A63" s="67"/>
      <c r="B63" s="18"/>
      <c r="C63" s="15"/>
      <c r="D63" s="15"/>
      <c r="E63" s="18"/>
      <c r="F63" s="9" t="s">
        <v>151</v>
      </c>
    </row>
    <row r="64" spans="1:9" x14ac:dyDescent="0.35">
      <c r="A64" s="67"/>
      <c r="B64" s="18"/>
      <c r="C64" s="15"/>
      <c r="D64" s="15"/>
      <c r="E64" s="18"/>
      <c r="F64" s="9" t="s">
        <v>151</v>
      </c>
    </row>
    <row r="65" spans="1:6" x14ac:dyDescent="0.35">
      <c r="A65" s="67"/>
      <c r="B65" s="18"/>
      <c r="C65" s="15"/>
      <c r="D65" s="15"/>
      <c r="E65" s="18"/>
      <c r="F65" s="9" t="s">
        <v>151</v>
      </c>
    </row>
    <row r="66" spans="1:6" x14ac:dyDescent="0.35">
      <c r="A66" s="67"/>
      <c r="B66" s="18"/>
      <c r="C66" s="15"/>
      <c r="D66" s="15"/>
      <c r="E66" s="18"/>
      <c r="F66" s="9" t="s">
        <v>151</v>
      </c>
    </row>
    <row r="67" spans="1:6" x14ac:dyDescent="0.35">
      <c r="A67" s="67"/>
      <c r="B67" s="18"/>
      <c r="C67" s="15"/>
      <c r="D67" s="15"/>
      <c r="E67" s="18"/>
      <c r="F67" s="9" t="s">
        <v>151</v>
      </c>
    </row>
    <row r="68" spans="1:6" x14ac:dyDescent="0.35">
      <c r="A68" s="67"/>
      <c r="B68" s="18"/>
      <c r="C68" s="15"/>
      <c r="D68" s="15"/>
      <c r="E68" s="18"/>
      <c r="F68" s="9" t="s">
        <v>151</v>
      </c>
    </row>
    <row r="69" spans="1:6" x14ac:dyDescent="0.35">
      <c r="A69" s="67"/>
      <c r="B69" s="18"/>
      <c r="C69" s="15"/>
      <c r="D69" s="15"/>
      <c r="E69" s="18"/>
      <c r="F69" s="9" t="s">
        <v>151</v>
      </c>
    </row>
    <row r="70" spans="1:6" x14ac:dyDescent="0.35">
      <c r="A70" s="67"/>
      <c r="B70" s="18"/>
      <c r="C70" s="15"/>
      <c r="D70" s="15"/>
      <c r="E70" s="18"/>
      <c r="F70" s="9" t="s">
        <v>151</v>
      </c>
    </row>
    <row r="71" spans="1:6" x14ac:dyDescent="0.35">
      <c r="A71" s="67"/>
      <c r="B71" s="18"/>
      <c r="C71" s="15"/>
      <c r="D71" s="15"/>
      <c r="E71" s="18"/>
      <c r="F71" s="9" t="s">
        <v>151</v>
      </c>
    </row>
    <row r="72" spans="1:6" x14ac:dyDescent="0.35">
      <c r="A72" s="67"/>
      <c r="B72" s="18"/>
      <c r="C72" s="15"/>
      <c r="D72" s="15"/>
      <c r="E72" s="18"/>
      <c r="F72" s="9" t="s">
        <v>151</v>
      </c>
    </row>
    <row r="73" spans="1:6" x14ac:dyDescent="0.35">
      <c r="A73" s="67"/>
      <c r="B73" s="18"/>
      <c r="C73" s="15"/>
      <c r="D73" s="15"/>
      <c r="E73" s="18"/>
      <c r="F73" s="9" t="s">
        <v>151</v>
      </c>
    </row>
    <row r="74" spans="1:6" x14ac:dyDescent="0.35">
      <c r="A74" s="67"/>
      <c r="B74" s="18"/>
      <c r="C74" s="15"/>
      <c r="D74" s="15"/>
      <c r="E74" s="18"/>
      <c r="F74" s="9" t="s">
        <v>151</v>
      </c>
    </row>
    <row r="75" spans="1:6" x14ac:dyDescent="0.35">
      <c r="A75" s="67"/>
      <c r="B75" s="18"/>
      <c r="C75" s="15"/>
      <c r="D75" s="15"/>
      <c r="E75" s="18"/>
      <c r="F75" s="9" t="s">
        <v>151</v>
      </c>
    </row>
    <row r="76" spans="1:6" x14ac:dyDescent="0.35">
      <c r="A76" s="67"/>
      <c r="B76" s="18"/>
      <c r="C76" s="15"/>
      <c r="D76" s="15"/>
      <c r="E76" s="18"/>
      <c r="F76" s="9" t="s">
        <v>151</v>
      </c>
    </row>
    <row r="77" spans="1:6" x14ac:dyDescent="0.35">
      <c r="A77" s="67"/>
      <c r="B77" s="18"/>
      <c r="C77" s="15"/>
      <c r="D77" s="15"/>
      <c r="E77" s="18"/>
      <c r="F77" s="9" t="s">
        <v>151</v>
      </c>
    </row>
    <row r="78" spans="1:6" x14ac:dyDescent="0.35">
      <c r="A78" s="67"/>
      <c r="B78" s="18"/>
      <c r="C78" s="15"/>
      <c r="D78" s="15"/>
      <c r="E78" s="18"/>
      <c r="F78" s="9" t="s">
        <v>151</v>
      </c>
    </row>
    <row r="79" spans="1:6" x14ac:dyDescent="0.35">
      <c r="A79" s="67"/>
      <c r="B79" s="18"/>
      <c r="C79" s="15"/>
      <c r="D79" s="15"/>
      <c r="E79" s="18"/>
      <c r="F79" s="9" t="s">
        <v>151</v>
      </c>
    </row>
    <row r="80" spans="1:6" x14ac:dyDescent="0.35">
      <c r="A80" s="67"/>
      <c r="B80" s="18"/>
      <c r="C80" s="15"/>
      <c r="D80" s="15"/>
      <c r="E80" s="18"/>
      <c r="F80" s="9" t="s">
        <v>151</v>
      </c>
    </row>
    <row r="81" spans="1:6" x14ac:dyDescent="0.35">
      <c r="A81" s="67"/>
      <c r="B81" s="18"/>
      <c r="C81" s="15"/>
      <c r="D81" s="15"/>
      <c r="E81" s="18"/>
      <c r="F81" s="9" t="s">
        <v>151</v>
      </c>
    </row>
    <row r="82" spans="1:6" x14ac:dyDescent="0.35">
      <c r="A82" s="67"/>
      <c r="B82" s="18"/>
      <c r="C82" s="15"/>
      <c r="D82" s="15"/>
      <c r="E82" s="18"/>
      <c r="F82" s="9" t="s">
        <v>151</v>
      </c>
    </row>
    <row r="83" spans="1:6" x14ac:dyDescent="0.35">
      <c r="A83" s="67"/>
      <c r="B83" s="18"/>
      <c r="C83" s="15"/>
      <c r="D83" s="15"/>
      <c r="E83" s="18"/>
      <c r="F83" s="9" t="s">
        <v>151</v>
      </c>
    </row>
    <row r="84" spans="1:6" x14ac:dyDescent="0.35">
      <c r="A84" s="67"/>
      <c r="B84" s="18"/>
      <c r="C84" s="15"/>
      <c r="D84" s="15"/>
      <c r="E84" s="18"/>
      <c r="F84" s="9" t="s">
        <v>151</v>
      </c>
    </row>
    <row r="85" spans="1:6" x14ac:dyDescent="0.35">
      <c r="A85" s="67"/>
      <c r="B85" s="18"/>
      <c r="C85" s="15"/>
      <c r="D85" s="15"/>
      <c r="E85" s="18"/>
      <c r="F85" s="9" t="s">
        <v>151</v>
      </c>
    </row>
    <row r="86" spans="1:6" x14ac:dyDescent="0.35">
      <c r="A86" s="67"/>
      <c r="B86" s="18"/>
      <c r="C86" s="15"/>
      <c r="D86" s="15"/>
      <c r="E86" s="18"/>
      <c r="F86" s="9" t="s">
        <v>151</v>
      </c>
    </row>
    <row r="87" spans="1:6" x14ac:dyDescent="0.35">
      <c r="A87" s="67"/>
      <c r="B87" s="18"/>
      <c r="C87" s="15"/>
      <c r="D87" s="15"/>
      <c r="E87" s="18"/>
      <c r="F87" s="9" t="s">
        <v>151</v>
      </c>
    </row>
    <row r="88" spans="1:6" x14ac:dyDescent="0.35">
      <c r="A88" s="67"/>
      <c r="B88" s="18"/>
      <c r="C88" s="15"/>
      <c r="D88" s="15"/>
      <c r="E88" s="18"/>
      <c r="F88" s="9" t="s">
        <v>151</v>
      </c>
    </row>
    <row r="89" spans="1:6" x14ac:dyDescent="0.35">
      <c r="A89" s="67"/>
      <c r="B89" s="18"/>
      <c r="C89" s="15"/>
      <c r="D89" s="15"/>
      <c r="E89" s="18"/>
      <c r="F89" s="9" t="s">
        <v>151</v>
      </c>
    </row>
    <row r="90" spans="1:6" x14ac:dyDescent="0.35">
      <c r="A90" s="67"/>
      <c r="B90" s="18"/>
      <c r="C90" s="15"/>
      <c r="D90" s="15"/>
      <c r="E90" s="18"/>
      <c r="F90" s="9" t="s">
        <v>151</v>
      </c>
    </row>
    <row r="91" spans="1:6" x14ac:dyDescent="0.35">
      <c r="A91" s="67"/>
      <c r="B91" s="18"/>
      <c r="C91" s="15"/>
      <c r="D91" s="15"/>
      <c r="E91" s="18"/>
      <c r="F91" s="9" t="s">
        <v>151</v>
      </c>
    </row>
    <row r="92" spans="1:6" x14ac:dyDescent="0.35">
      <c r="A92" s="67"/>
      <c r="B92" s="18"/>
      <c r="C92" s="15"/>
      <c r="D92" s="15"/>
      <c r="E92" s="18"/>
      <c r="F92" s="9" t="s">
        <v>151</v>
      </c>
    </row>
    <row r="93" spans="1:6" x14ac:dyDescent="0.35">
      <c r="A93" s="67"/>
      <c r="B93" s="18"/>
      <c r="C93" s="15"/>
      <c r="D93" s="15"/>
      <c r="E93" s="18"/>
      <c r="F93" s="9" t="s">
        <v>151</v>
      </c>
    </row>
    <row r="94" spans="1:6" x14ac:dyDescent="0.35">
      <c r="A94" s="67"/>
      <c r="B94" s="18"/>
      <c r="C94" s="15"/>
      <c r="D94" s="15"/>
      <c r="E94" s="18"/>
      <c r="F94" s="9" t="s">
        <v>151</v>
      </c>
    </row>
    <row r="95" spans="1:6" x14ac:dyDescent="0.35">
      <c r="F95" s="9" t="s">
        <v>151</v>
      </c>
    </row>
    <row r="96" spans="1:6" x14ac:dyDescent="0.35">
      <c r="F96" s="9" t="s">
        <v>151</v>
      </c>
    </row>
    <row r="97" spans="6:6" x14ac:dyDescent="0.35">
      <c r="F97" s="9" t="s">
        <v>151</v>
      </c>
    </row>
    <row r="98" spans="6:6" x14ac:dyDescent="0.35">
      <c r="F98" s="9" t="s">
        <v>151</v>
      </c>
    </row>
    <row r="99" spans="6:6" x14ac:dyDescent="0.35">
      <c r="F99" s="9" t="s">
        <v>151</v>
      </c>
    </row>
    <row r="100" spans="6:6" x14ac:dyDescent="0.35">
      <c r="F100" s="9" t="s">
        <v>151</v>
      </c>
    </row>
    <row r="101" spans="6:6" x14ac:dyDescent="0.35">
      <c r="F101" s="9" t="s">
        <v>151</v>
      </c>
    </row>
    <row r="102" spans="6:6" x14ac:dyDescent="0.35">
      <c r="F102" s="9" t="s">
        <v>151</v>
      </c>
    </row>
    <row r="103" spans="6:6" x14ac:dyDescent="0.35">
      <c r="F103" s="9" t="s">
        <v>151</v>
      </c>
    </row>
    <row r="104" spans="6:6" x14ac:dyDescent="0.35">
      <c r="F104" s="9" t="s">
        <v>151</v>
      </c>
    </row>
    <row r="105" spans="6:6" x14ac:dyDescent="0.35">
      <c r="F105" s="9" t="s">
        <v>151</v>
      </c>
    </row>
    <row r="106" spans="6:6" x14ac:dyDescent="0.35">
      <c r="F106" s="9" t="s">
        <v>151</v>
      </c>
    </row>
    <row r="107" spans="6:6" x14ac:dyDescent="0.35">
      <c r="F107" s="9" t="s">
        <v>151</v>
      </c>
    </row>
    <row r="108" spans="6:6" x14ac:dyDescent="0.35">
      <c r="F108" s="9" t="s">
        <v>151</v>
      </c>
    </row>
    <row r="109" spans="6:6" x14ac:dyDescent="0.35">
      <c r="F109" s="9" t="s">
        <v>151</v>
      </c>
    </row>
    <row r="110" spans="6:6" x14ac:dyDescent="0.35">
      <c r="F110" s="9" t="s">
        <v>151</v>
      </c>
    </row>
    <row r="111" spans="6:6" x14ac:dyDescent="0.35">
      <c r="F111" s="9" t="s">
        <v>151</v>
      </c>
    </row>
    <row r="112" spans="6:6" x14ac:dyDescent="0.35">
      <c r="F112" s="9" t="s">
        <v>151</v>
      </c>
    </row>
    <row r="113" spans="6:6" x14ac:dyDescent="0.35">
      <c r="F113" s="9" t="s">
        <v>151</v>
      </c>
    </row>
    <row r="114" spans="6:6" x14ac:dyDescent="0.35">
      <c r="F114" s="9" t="s">
        <v>151</v>
      </c>
    </row>
    <row r="115" spans="6:6" x14ac:dyDescent="0.35">
      <c r="F115" s="9" t="s">
        <v>151</v>
      </c>
    </row>
    <row r="116" spans="6:6" x14ac:dyDescent="0.35">
      <c r="F116" s="9" t="s">
        <v>151</v>
      </c>
    </row>
    <row r="117" spans="6:6" x14ac:dyDescent="0.35">
      <c r="F117" s="9" t="s">
        <v>151</v>
      </c>
    </row>
    <row r="118" spans="6:6" x14ac:dyDescent="0.35">
      <c r="F118" s="9" t="s">
        <v>151</v>
      </c>
    </row>
    <row r="119" spans="6:6" x14ac:dyDescent="0.35">
      <c r="F119" s="9" t="s">
        <v>151</v>
      </c>
    </row>
  </sheetData>
  <autoFilter ref="A2:E2">
    <sortState ref="A3:E120">
      <sortCondition ref="A2"/>
    </sortState>
  </autoFilter>
  <mergeCells count="1">
    <mergeCell ref="A1:I1"/>
  </mergeCells>
  <conditionalFormatting sqref="G2:G1048576">
    <cfRule type="colorScale" priority="3">
      <colorScale>
        <cfvo type="min"/>
        <cfvo type="percentile" val="50"/>
        <cfvo type="max"/>
        <color rgb="FF63BE7B"/>
        <color rgb="FFFFEB84"/>
        <color rgb="FFF8696B"/>
      </colorScale>
    </cfRule>
  </conditionalFormatting>
  <conditionalFormatting sqref="I2">
    <cfRule type="colorScale" priority="2">
      <colorScale>
        <cfvo type="min"/>
        <cfvo type="percentile" val="50"/>
        <cfvo type="max"/>
        <color rgb="FF63BE7B"/>
        <color rgb="FFFFEB84"/>
        <color rgb="FFF8696B"/>
      </colorScale>
    </cfRule>
  </conditionalFormatting>
  <conditionalFormatting sqref="I3:I51">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1"/>
  <dimension ref="A1:L301"/>
  <sheetViews>
    <sheetView topLeftCell="A19" workbookViewId="0">
      <selection activeCell="A42" sqref="A42"/>
    </sheetView>
  </sheetViews>
  <sheetFormatPr defaultRowHeight="14.5" x14ac:dyDescent="0.35"/>
  <cols>
    <col min="1" max="1" width="27.1796875" customWidth="1"/>
    <col min="2" max="2" width="8.54296875" customWidth="1"/>
    <col min="3" max="3" width="7.81640625" customWidth="1"/>
    <col min="4" max="4" width="18.1796875" customWidth="1"/>
    <col min="6" max="6" width="9.1796875" style="267"/>
    <col min="7" max="7" width="42.453125" customWidth="1"/>
    <col min="8" max="8" width="9.1796875" customWidth="1"/>
    <col min="9" max="9" width="34" customWidth="1"/>
    <col min="10" max="10" width="11.81640625" customWidth="1"/>
    <col min="11" max="11" width="9.26953125" style="267" customWidth="1"/>
    <col min="12" max="12" width="33.453125" customWidth="1"/>
  </cols>
  <sheetData>
    <row r="1" spans="1:12" ht="15" thickBot="1" x14ac:dyDescent="0.4">
      <c r="A1" s="5" t="s">
        <v>12</v>
      </c>
      <c r="B1" s="5" t="s">
        <v>1770</v>
      </c>
      <c r="C1" s="5" t="s">
        <v>1771</v>
      </c>
      <c r="D1" s="5" t="s">
        <v>1772</v>
      </c>
      <c r="E1" s="5" t="s">
        <v>1773</v>
      </c>
      <c r="F1" s="5" t="s">
        <v>1774</v>
      </c>
      <c r="G1" s="5" t="s">
        <v>1775</v>
      </c>
      <c r="I1" s="5" t="s">
        <v>1779</v>
      </c>
      <c r="J1" s="5" t="s">
        <v>1770</v>
      </c>
      <c r="K1" s="5" t="s">
        <v>1771</v>
      </c>
      <c r="L1" s="5" t="s">
        <v>1772</v>
      </c>
    </row>
    <row r="2" spans="1:12" ht="16.5" customHeight="1" thickTop="1" x14ac:dyDescent="0.35">
      <c r="A2" s="12" t="s">
        <v>152</v>
      </c>
      <c r="B2" s="267" t="b">
        <f>NOT(ISERROR(SEARCH(FILLING!$D$11,tblData[[#This Row],[ФО]])))</f>
        <v>1</v>
      </c>
      <c r="C2" s="267">
        <f>IF(tblData[[#This Row],[Статус]],COUNTIF($B$2:tblData[[#This Row],[Статус]],TRUE),"")</f>
        <v>1</v>
      </c>
      <c r="D2" t="str">
        <f>IFERROR(INDEX(tblData[ФО],MATCH(ROWS($C$2:tblData[[#This Row],[Индекс]]),tblData[Индекс],0)),"")</f>
        <v>АО «АльфаСтрахование»</v>
      </c>
      <c r="E2" s="267" t="b">
        <f>NOT(ISERROR(SEARCH(FILLING!$D$15,tblData[[#This Row],[ФО]])))</f>
        <v>1</v>
      </c>
      <c r="F2" s="267">
        <f>IF(tblData[[#This Row],[Статус2]],COUNTIF($E$2:tblData[[#This Row],[Статус2]],TRUE),"")</f>
        <v>1</v>
      </c>
      <c r="G2" t="str">
        <f>IFERROR(INDEX(tblData[ФО],MATCH(ROWS($F$2:tblData[[#This Row],[Индекс2]]),tblData[Индекс2],0)),"")</f>
        <v>АО «АльфаСтрахование»</v>
      </c>
      <c r="I2" t="s">
        <v>1430</v>
      </c>
      <c r="J2" s="267" t="b">
        <f>NOT(ISERROR(SEARCH(FILLING!$L$16,tblData_Region[[#This Row],[РЕГИОН]])))</f>
        <v>1</v>
      </c>
      <c r="K2" s="267">
        <f>IF(tblData_Region[[#This Row],[Статус]],COUNTIF($J$2:tblData_Region[[#This Row],[Статус]],TRUE),"")</f>
        <v>1</v>
      </c>
      <c r="L2" t="str">
        <f>IFERROR(INDEX(tblData_Region[РЕГИОН],MATCH(ROWS($K$2:tblData_Region[[#This Row],[Индекс]]),tblData_Region[Индекс],0)),"")</f>
        <v>Алтайский край</v>
      </c>
    </row>
    <row r="3" spans="1:12" x14ac:dyDescent="0.35">
      <c r="A3" s="15" t="s">
        <v>160</v>
      </c>
      <c r="B3" s="267" t="b">
        <f>NOT(ISERROR(SEARCH(FILLING!$D$11,tblData[[#This Row],[ФО]])))</f>
        <v>1</v>
      </c>
      <c r="C3" s="267">
        <f>IF(tblData[[#This Row],[Статус]],COUNTIF($B$2:tblData[[#This Row],[Статус]],TRUE),"")</f>
        <v>2</v>
      </c>
      <c r="D3" t="str">
        <f>IFERROR(INDEX(tblData[ФО],MATCH(ROWS($C$2:tblData[[#This Row],[Индекс]]),tblData[Индекс],0)),"")</f>
        <v>АО «Группа Ренессанс Страхование»</v>
      </c>
      <c r="E3" t="b">
        <f>NOT(ISERROR(SEARCH(FILLING!$D$15,tblData[[#This Row],[ФО]])))</f>
        <v>1</v>
      </c>
      <c r="F3" s="267">
        <f>IF(tblData[[#This Row],[Статус2]],COUNTIF($E$2:tblData[[#This Row],[Статус2]],TRUE),"")</f>
        <v>2</v>
      </c>
      <c r="G3" t="str">
        <f>IFERROR(INDEX(tblData[ФО],MATCH(ROWS($F$2:tblData[[#This Row],[Индекс2]]),tblData[Индекс2],0)),"")</f>
        <v>АО «Группа Ренессанс Страхование»</v>
      </c>
      <c r="I3" t="s">
        <v>1431</v>
      </c>
      <c r="J3" t="b">
        <f>NOT(ISERROR(SEARCH(FILLING!$L$16,tblData_Region[[#This Row],[РЕГИОН]])))</f>
        <v>1</v>
      </c>
      <c r="K3" s="267">
        <f>IF(tblData_Region[[#This Row],[Статус]],COUNTIF($J$2:tblData_Region[[#This Row],[Статус]],TRUE),"")</f>
        <v>2</v>
      </c>
      <c r="L3" t="str">
        <f>IFERROR(INDEX(tblData_Region[РЕГИОН],MATCH(ROWS($K$2:tblData_Region[[#This Row],[Индекс]]),tblData_Region[Индекс],0)),"")</f>
        <v>Амурская область</v>
      </c>
    </row>
    <row r="4" spans="1:12" x14ac:dyDescent="0.35">
      <c r="A4" s="67" t="s">
        <v>186</v>
      </c>
      <c r="B4" s="267" t="b">
        <f>NOT(ISERROR(SEARCH(FILLING!$D$11,tblData[[#This Row],[ФО]])))</f>
        <v>1</v>
      </c>
      <c r="C4" s="267">
        <f>IF(tblData[[#This Row],[Статус]],COUNTIF($B$2:tblData[[#This Row],[Статус]],TRUE),"")</f>
        <v>3</v>
      </c>
      <c r="D4" t="str">
        <f>IFERROR(INDEX(tblData[ФО],MATCH(ROWS($C$2:tblData[[#This Row],[Индекс]]),tblData[Индекс],0)),"")</f>
        <v>АО «ГСК «Югория»</v>
      </c>
      <c r="E4" t="b">
        <f>NOT(ISERROR(SEARCH(FILLING!$D$15,tblData[[#This Row],[ФО]])))</f>
        <v>1</v>
      </c>
      <c r="F4" s="267">
        <f>IF(tblData[[#This Row],[Статус2]],COUNTIF($E$2:tblData[[#This Row],[Статус2]],TRUE),"")</f>
        <v>3</v>
      </c>
      <c r="G4" t="str">
        <f>IFERROR(INDEX(tblData[ФО],MATCH(ROWS($F$2:tblData[[#This Row],[Индекс2]]),tblData[Индекс2],0)),"")</f>
        <v>АО «ГСК «Югория»</v>
      </c>
      <c r="I4" t="s">
        <v>1432</v>
      </c>
      <c r="J4" t="b">
        <f>NOT(ISERROR(SEARCH(FILLING!$L$16,tblData_Region[[#This Row],[РЕГИОН]])))</f>
        <v>1</v>
      </c>
      <c r="K4" s="267">
        <f>IF(tblData_Region[[#This Row],[Статус]],COUNTIF($J$2:tblData_Region[[#This Row],[Статус]],TRUE),"")</f>
        <v>3</v>
      </c>
      <c r="L4" t="str">
        <f>IFERROR(INDEX(tblData_Region[РЕГИОН],MATCH(ROWS($K$2:tblData_Region[[#This Row],[Индекс]]),tblData_Region[Индекс],0)),"")</f>
        <v>Архангельская область</v>
      </c>
    </row>
    <row r="5" spans="1:12" x14ac:dyDescent="0.35">
      <c r="A5" s="67" t="s">
        <v>417</v>
      </c>
      <c r="B5" s="267" t="b">
        <f>NOT(ISERROR(SEARCH(FILLING!$D$11,tblData[[#This Row],[ФО]])))</f>
        <v>1</v>
      </c>
      <c r="C5" s="267">
        <f>IF(tblData[[#This Row],[Статус]],COUNTIF($B$2:tblData[[#This Row],[Статус]],TRUE),"")</f>
        <v>4</v>
      </c>
      <c r="D5" t="str">
        <f>IFERROR(INDEX(tblData[ФО],MATCH(ROWS($C$2:tblData[[#This Row],[Индекс]]),tblData[Индекс],0)),"")</f>
        <v>АО «МАКС»</v>
      </c>
      <c r="E5" t="b">
        <f>NOT(ISERROR(SEARCH(FILLING!$D$15,tblData[[#This Row],[ФО]])))</f>
        <v>1</v>
      </c>
      <c r="F5" s="267">
        <f>IF(tblData[[#This Row],[Статус2]],COUNTIF($E$2:tblData[[#This Row],[Статус2]],TRUE),"")</f>
        <v>4</v>
      </c>
      <c r="G5" t="str">
        <f>IFERROR(INDEX(tblData[ФО],MATCH(ROWS($F$2:tblData[[#This Row],[Индекс2]]),tblData[Индекс2],0)),"")</f>
        <v>АО «МАКС»</v>
      </c>
      <c r="I5" t="s">
        <v>1433</v>
      </c>
      <c r="J5" t="b">
        <f>NOT(ISERROR(SEARCH(FILLING!$L$16,tblData_Region[[#This Row],[РЕГИОН]])))</f>
        <v>1</v>
      </c>
      <c r="K5" s="267">
        <f>IF(tblData_Region[[#This Row],[Статус]],COUNTIF($J$2:tblData_Region[[#This Row],[Статус]],TRUE),"")</f>
        <v>4</v>
      </c>
      <c r="L5" t="str">
        <f>IFERROR(INDEX(tblData_Region[РЕГИОН],MATCH(ROWS($K$2:tblData_Region[[#This Row],[Индекс]]),tblData_Region[Индекс],0)),"")</f>
        <v>Астраханская область</v>
      </c>
    </row>
    <row r="6" spans="1:12" x14ac:dyDescent="0.35">
      <c r="A6" s="67" t="s">
        <v>188</v>
      </c>
      <c r="B6" s="267" t="b">
        <f>NOT(ISERROR(SEARCH(FILLING!$D$11,tblData[[#This Row],[ФО]])))</f>
        <v>1</v>
      </c>
      <c r="C6" s="267">
        <f>IF(tblData[[#This Row],[Статус]],COUNTIF($B$2:tblData[[#This Row],[Статус]],TRUE),"")</f>
        <v>5</v>
      </c>
      <c r="D6" t="str">
        <f>IFERROR(INDEX(tblData[ФО],MATCH(ROWS($C$2:tblData[[#This Row],[Индекс]]),tblData[Индекс],0)),"")</f>
        <v>АО «НАСКО»</v>
      </c>
      <c r="E6" t="b">
        <f>NOT(ISERROR(SEARCH(FILLING!$D$15,tblData[[#This Row],[ФО]])))</f>
        <v>1</v>
      </c>
      <c r="F6" s="267">
        <f>IF(tblData[[#This Row],[Статус2]],COUNTIF($E$2:tblData[[#This Row],[Статус2]],TRUE),"")</f>
        <v>5</v>
      </c>
      <c r="G6" t="str">
        <f>IFERROR(INDEX(tblData[ФО],MATCH(ROWS($F$2:tblData[[#This Row],[Индекс2]]),tblData[Индекс2],0)),"")</f>
        <v>АО «НАСКО»</v>
      </c>
      <c r="I6" t="s">
        <v>1434</v>
      </c>
      <c r="J6" t="b">
        <f>NOT(ISERROR(SEARCH(FILLING!$L$16,tblData_Region[[#This Row],[РЕГИОН]])))</f>
        <v>1</v>
      </c>
      <c r="K6" s="267">
        <f>IF(tblData_Region[[#This Row],[Статус]],COUNTIF($J$2:tblData_Region[[#This Row],[Статус]],TRUE),"")</f>
        <v>5</v>
      </c>
      <c r="L6" t="str">
        <f>IFERROR(INDEX(tblData_Region[РЕГИОН],MATCH(ROWS($K$2:tblData_Region[[#This Row],[Индекс]]),tblData_Region[Индекс],0)),"")</f>
        <v>Белгородская область</v>
      </c>
    </row>
    <row r="7" spans="1:12" x14ac:dyDescent="0.35">
      <c r="A7" s="67" t="s">
        <v>741</v>
      </c>
      <c r="B7" s="267" t="b">
        <f>NOT(ISERROR(SEARCH(FILLING!$D$11,tblData[[#This Row],[ФО]])))</f>
        <v>1</v>
      </c>
      <c r="C7" s="267">
        <f>IF(tblData[[#This Row],[Статус]],COUNTIF($B$2:tblData[[#This Row],[Статус]],TRUE),"")</f>
        <v>6</v>
      </c>
      <c r="D7" t="str">
        <f>IFERROR(INDEX(tblData[ФО],MATCH(ROWS($C$2:tblData[[#This Row],[Индекс]]),tblData[Индекс],0)),"")</f>
        <v>АО «ОСК»</v>
      </c>
      <c r="E7" t="b">
        <f>NOT(ISERROR(SEARCH(FILLING!$D$15,tblData[[#This Row],[ФО]])))</f>
        <v>1</v>
      </c>
      <c r="F7" s="267">
        <f>IF(tblData[[#This Row],[Статус2]],COUNTIF($E$2:tblData[[#This Row],[Статус2]],TRUE),"")</f>
        <v>6</v>
      </c>
      <c r="G7" t="str">
        <f>IFERROR(INDEX(tblData[ФО],MATCH(ROWS($F$2:tblData[[#This Row],[Индекс2]]),tblData[Индекс2],0)),"")</f>
        <v>АО «ОСК»</v>
      </c>
      <c r="I7" t="s">
        <v>1435</v>
      </c>
      <c r="J7" t="b">
        <f>NOT(ISERROR(SEARCH(FILLING!$L$16,tblData_Region[[#This Row],[РЕГИОН]])))</f>
        <v>1</v>
      </c>
      <c r="K7" s="267">
        <f>IF(tblData_Region[[#This Row],[Статус]],COUNTIF($J$2:tblData_Region[[#This Row],[Статус]],TRUE),"")</f>
        <v>6</v>
      </c>
      <c r="L7" t="str">
        <f>IFERROR(INDEX(tblData_Region[РЕГИОН],MATCH(ROWS($K$2:tblData_Region[[#This Row],[Индекс]]),tblData_Region[Индекс],0)),"")</f>
        <v>Брянская область</v>
      </c>
    </row>
    <row r="8" spans="1:12" x14ac:dyDescent="0.35">
      <c r="A8" s="15" t="s">
        <v>164</v>
      </c>
      <c r="B8" s="267" t="b">
        <f>NOT(ISERROR(SEARCH(FILLING!$D$11,tblData[[#This Row],[ФО]])))</f>
        <v>1</v>
      </c>
      <c r="C8" s="267">
        <f>IF(tblData[[#This Row],[Статус]],COUNTIF($B$2:tblData[[#This Row],[Статус]],TRUE),"")</f>
        <v>7</v>
      </c>
      <c r="D8" t="str">
        <f>IFERROR(INDEX(tblData[ФО],MATCH(ROWS($C$2:tblData[[#This Row],[Индекс]]),tblData[Индекс],0)),"")</f>
        <v>АО «СК «АСТРО-ВОЛГА»</v>
      </c>
      <c r="E8" t="b">
        <f>NOT(ISERROR(SEARCH(FILLING!$D$15,tblData[[#This Row],[ФО]])))</f>
        <v>1</v>
      </c>
      <c r="F8" s="267">
        <f>IF(tblData[[#This Row],[Статус2]],COUNTIF($E$2:tblData[[#This Row],[Статус2]],TRUE),"")</f>
        <v>7</v>
      </c>
      <c r="G8" t="str">
        <f>IFERROR(INDEX(tblData[ФО],MATCH(ROWS($F$2:tblData[[#This Row],[Индекс2]]),tblData[Индекс2],0)),"")</f>
        <v>АО «СК «АСТРО-ВОЛГА»</v>
      </c>
      <c r="I8" t="s">
        <v>1436</v>
      </c>
      <c r="J8" t="b">
        <f>NOT(ISERROR(SEARCH(FILLING!$L$16,tblData_Region[[#This Row],[РЕГИОН]])))</f>
        <v>1</v>
      </c>
      <c r="K8" s="267">
        <f>IF(tblData_Region[[#This Row],[Статус]],COUNTIF($J$2:tblData_Region[[#This Row],[Статус]],TRUE),"")</f>
        <v>7</v>
      </c>
      <c r="L8" t="str">
        <f>IFERROR(INDEX(tblData_Region[РЕГИОН],MATCH(ROWS($K$2:tblData_Region[[#This Row],[Индекс]]),tblData_Region[Индекс],0)),"")</f>
        <v>Владимирская область</v>
      </c>
    </row>
    <row r="9" spans="1:12" x14ac:dyDescent="0.35">
      <c r="A9" s="15" t="s">
        <v>158</v>
      </c>
      <c r="B9" s="267" t="b">
        <f>NOT(ISERROR(SEARCH(FILLING!$D$11,tblData[[#This Row],[ФО]])))</f>
        <v>1</v>
      </c>
      <c r="C9" s="267">
        <f>IF(tblData[[#This Row],[Статус]],COUNTIF($B$2:tblData[[#This Row],[Статус]],TRUE),"")</f>
        <v>8</v>
      </c>
      <c r="D9" t="str">
        <f>IFERROR(INDEX(tblData[ФО],MATCH(ROWS($C$2:tblData[[#This Row],[Индекс]]),tblData[Индекс],0)),"")</f>
        <v>АО «СОГАЗ»</v>
      </c>
      <c r="E9" t="b">
        <f>NOT(ISERROR(SEARCH(FILLING!$D$15,tblData[[#This Row],[ФО]])))</f>
        <v>1</v>
      </c>
      <c r="F9" s="267">
        <f>IF(tblData[[#This Row],[Статус2]],COUNTIF($E$2:tblData[[#This Row],[Статус2]],TRUE),"")</f>
        <v>8</v>
      </c>
      <c r="G9" t="str">
        <f>IFERROR(INDEX(tblData[ФО],MATCH(ROWS($F$2:tblData[[#This Row],[Индекс2]]),tblData[Индекс2],0)),"")</f>
        <v>АО «СОГАЗ»</v>
      </c>
      <c r="I9" t="s">
        <v>1437</v>
      </c>
      <c r="J9" t="b">
        <f>NOT(ISERROR(SEARCH(FILLING!$L$16,tblData_Region[[#This Row],[РЕГИОН]])))</f>
        <v>1</v>
      </c>
      <c r="K9" s="267">
        <f>IF(tblData_Region[[#This Row],[Статус]],COUNTIF($J$2:tblData_Region[[#This Row],[Статус]],TRUE),"")</f>
        <v>8</v>
      </c>
      <c r="L9" t="str">
        <f>IFERROR(INDEX(tblData_Region[РЕГИОН],MATCH(ROWS($K$2:tblData_Region[[#This Row],[Индекс]]),tblData_Region[Индекс],0)),"")</f>
        <v>Волгоградская область</v>
      </c>
    </row>
    <row r="10" spans="1:12" x14ac:dyDescent="0.35">
      <c r="A10" s="67" t="s">
        <v>1178</v>
      </c>
      <c r="B10" s="267" t="b">
        <f>NOT(ISERROR(SEARCH(FILLING!$D$11,tblData[[#This Row],[ФО]])))</f>
        <v>1</v>
      </c>
      <c r="C10" s="267">
        <f>IF(tblData[[#This Row],[Статус]],COUNTIF($B$2:tblData[[#This Row],[Статус]],TRUE),"")</f>
        <v>9</v>
      </c>
      <c r="D10" t="str">
        <f>IFERROR(INDEX(tblData[ФО],MATCH(ROWS($C$2:tblData[[#This Row],[Индекс]]),tblData[Индекс],0)),"")</f>
        <v>АО «Страховая Компания «ПОЛИС-ГАРАНТ»</v>
      </c>
      <c r="E10" t="b">
        <f>NOT(ISERROR(SEARCH(FILLING!$D$15,tblData[[#This Row],[ФО]])))</f>
        <v>1</v>
      </c>
      <c r="F10" s="267">
        <f>IF(tblData[[#This Row],[Статус2]],COUNTIF($E$2:tblData[[#This Row],[Статус2]],TRUE),"")</f>
        <v>9</v>
      </c>
      <c r="G10" t="str">
        <f>IFERROR(INDEX(tblData[ФО],MATCH(ROWS($F$2:tblData[[#This Row],[Индекс2]]),tblData[Индекс2],0)),"")</f>
        <v>АО «Страховая Компания «ПОЛИС-ГАРАНТ»</v>
      </c>
      <c r="I10" t="s">
        <v>1438</v>
      </c>
      <c r="J10" t="b">
        <f>NOT(ISERROR(SEARCH(FILLING!$L$16,tblData_Region[[#This Row],[РЕГИОН]])))</f>
        <v>1</v>
      </c>
      <c r="K10" s="267">
        <f>IF(tblData_Region[[#This Row],[Статус]],COUNTIF($J$2:tblData_Region[[#This Row],[Статус]],TRUE),"")</f>
        <v>9</v>
      </c>
      <c r="L10" t="str">
        <f>IFERROR(INDEX(tblData_Region[РЕГИОН],MATCH(ROWS($K$2:tblData_Region[[#This Row],[Индекс]]),tblData_Region[Индекс],0)),"")</f>
        <v>Вологодская область</v>
      </c>
    </row>
    <row r="11" spans="1:12" x14ac:dyDescent="0.35">
      <c r="A11" s="67" t="s">
        <v>195</v>
      </c>
      <c r="B11" s="267" t="b">
        <f>NOT(ISERROR(SEARCH(FILLING!$D$11,tblData[[#This Row],[ФО]])))</f>
        <v>1</v>
      </c>
      <c r="C11" s="267">
        <f>IF(tblData[[#This Row],[Статус]],COUNTIF($B$2:tblData[[#This Row],[Статус]],TRUE),"")</f>
        <v>10</v>
      </c>
      <c r="D11" t="str">
        <f>IFERROR(INDEX(tblData[ФО],MATCH(ROWS($C$2:tblData[[#This Row],[Индекс]]),tblData[Индекс],0)),"")</f>
        <v>АО «Тинькофф Страхование»</v>
      </c>
      <c r="E11" t="b">
        <f>NOT(ISERROR(SEARCH(FILLING!$D$15,tblData[[#This Row],[ФО]])))</f>
        <v>1</v>
      </c>
      <c r="F11" s="267">
        <f>IF(tblData[[#This Row],[Статус2]],COUNTIF($E$2:tblData[[#This Row],[Статус2]],TRUE),"")</f>
        <v>10</v>
      </c>
      <c r="G11" t="str">
        <f>IFERROR(INDEX(tblData[ФО],MATCH(ROWS($F$2:tblData[[#This Row],[Индекс2]]),tblData[Индекс2],0)),"")</f>
        <v>АО «Тинькофф Страхование»</v>
      </c>
      <c r="I11" t="s">
        <v>1439</v>
      </c>
      <c r="J11" t="b">
        <f>NOT(ISERROR(SEARCH(FILLING!$L$16,tblData_Region[[#This Row],[РЕГИОН]])))</f>
        <v>1</v>
      </c>
      <c r="K11" s="267">
        <f>IF(tblData_Region[[#This Row],[Статус]],COUNTIF($J$2:tblData_Region[[#This Row],[Статус]],TRUE),"")</f>
        <v>10</v>
      </c>
      <c r="L11" t="str">
        <f>IFERROR(INDEX(tblData_Region[РЕГИОН],MATCH(ROWS($K$2:tblData_Region[[#This Row],[Индекс]]),tblData_Region[Индекс],0)),"")</f>
        <v>Воронежская область</v>
      </c>
    </row>
    <row r="12" spans="1:12" x14ac:dyDescent="0.35">
      <c r="A12" s="15" t="s">
        <v>166</v>
      </c>
      <c r="B12" s="267" t="b">
        <f>NOT(ISERROR(SEARCH(FILLING!$D$11,tblData[[#This Row],[ФО]])))</f>
        <v>1</v>
      </c>
      <c r="C12" s="267">
        <f>IF(tblData[[#This Row],[Статус]],COUNTIF($B$2:tblData[[#This Row],[Статус]],TRUE),"")</f>
        <v>11</v>
      </c>
      <c r="D12" t="str">
        <f>IFERROR(INDEX(tblData[ФО],MATCH(ROWS($C$2:tblData[[#This Row],[Индекс]]),tblData[Индекс],0)),"")</f>
        <v>АО СК «Армеец»</v>
      </c>
      <c r="E12" t="b">
        <f>NOT(ISERROR(SEARCH(FILLING!$D$15,tblData[[#This Row],[ФО]])))</f>
        <v>1</v>
      </c>
      <c r="F12" s="267">
        <f>IF(tblData[[#This Row],[Статус2]],COUNTIF($E$2:tblData[[#This Row],[Статус2]],TRUE),"")</f>
        <v>11</v>
      </c>
      <c r="G12" t="str">
        <f>IFERROR(INDEX(tblData[ФО],MATCH(ROWS($F$2:tblData[[#This Row],[Индекс2]]),tblData[Индекс2],0)),"")</f>
        <v>АО СК «Армеец»</v>
      </c>
      <c r="I12" t="s">
        <v>1441</v>
      </c>
      <c r="J12" t="b">
        <f>NOT(ISERROR(SEARCH(FILLING!$L$16,tblData_Region[[#This Row],[РЕГИОН]])))</f>
        <v>1</v>
      </c>
      <c r="K12" s="267">
        <f>IF(tblData_Region[[#This Row],[Статус]],COUNTIF($J$2:tblData_Region[[#This Row],[Статус]],TRUE),"")</f>
        <v>11</v>
      </c>
      <c r="L12" t="str">
        <f>IFERROR(INDEX(tblData_Region[РЕГИОН],MATCH(ROWS($K$2:tblData_Region[[#This Row],[Индекс]]),tblData_Region[Индекс],0)),"")</f>
        <v>Еврейская автономная область</v>
      </c>
    </row>
    <row r="13" spans="1:12" x14ac:dyDescent="0.35">
      <c r="A13" s="67" t="s">
        <v>193</v>
      </c>
      <c r="B13" s="267" t="b">
        <f>NOT(ISERROR(SEARCH(FILLING!$D$11,tblData[[#This Row],[ФО]])))</f>
        <v>1</v>
      </c>
      <c r="C13" s="267">
        <f>IF(tblData[[#This Row],[Статус]],COUNTIF($B$2:tblData[[#This Row],[Статус]],TRUE),"")</f>
        <v>12</v>
      </c>
      <c r="D13" t="str">
        <f>IFERROR(INDEX(tblData[ФО],MATCH(ROWS($C$2:tblData[[#This Row],[Индекс]]),tblData[Индекс],0)),"")</f>
        <v>АО СК «БАСК»</v>
      </c>
      <c r="E13" t="b">
        <f>NOT(ISERROR(SEARCH(FILLING!$D$15,tblData[[#This Row],[ФО]])))</f>
        <v>1</v>
      </c>
      <c r="F13" s="267">
        <f>IF(tblData[[#This Row],[Статус2]],COUNTIF($E$2:tblData[[#This Row],[Статус2]],TRUE),"")</f>
        <v>12</v>
      </c>
      <c r="G13" t="str">
        <f>IFERROR(INDEX(tblData[ФО],MATCH(ROWS($F$2:tblData[[#This Row],[Индекс2]]),tblData[Индекс2],0)),"")</f>
        <v>АО СК «БАСК»</v>
      </c>
      <c r="I13" t="s">
        <v>1442</v>
      </c>
      <c r="J13" t="b">
        <f>NOT(ISERROR(SEARCH(FILLING!$L$16,tblData_Region[[#This Row],[РЕГИОН]])))</f>
        <v>1</v>
      </c>
      <c r="K13" s="267">
        <f>IF(tblData_Region[[#This Row],[Статус]],COUNTIF($J$2:tblData_Region[[#This Row],[Статус]],TRUE),"")</f>
        <v>12</v>
      </c>
      <c r="L13" t="str">
        <f>IFERROR(INDEX(tblData_Region[РЕГИОН],MATCH(ROWS($K$2:tblData_Region[[#This Row],[Индекс]]),tblData_Region[Индекс],0)),"")</f>
        <v>Забайкальский край</v>
      </c>
    </row>
    <row r="14" spans="1:12" x14ac:dyDescent="0.35">
      <c r="A14" s="15" t="s">
        <v>174</v>
      </c>
      <c r="B14" s="267" t="b">
        <f>NOT(ISERROR(SEARCH(FILLING!$D$11,tblData[[#This Row],[ФО]])))</f>
        <v>1</v>
      </c>
      <c r="C14" s="267">
        <f>IF(tblData[[#This Row],[Статус]],COUNTIF($B$2:tblData[[#This Row],[Статус]],TRUE),"")</f>
        <v>13</v>
      </c>
      <c r="D14" t="str">
        <f>IFERROR(INDEX(tblData[ФО],MATCH(ROWS($C$2:tblData[[#This Row],[Индекс]]),tblData[Индекс],0)),"")</f>
        <v>АО СК «Стерх»</v>
      </c>
      <c r="E14" t="b">
        <f>NOT(ISERROR(SEARCH(FILLING!$D$15,tblData[[#This Row],[ФО]])))</f>
        <v>1</v>
      </c>
      <c r="F14" s="267">
        <f>IF(tblData[[#This Row],[Статус2]],COUNTIF($E$2:tblData[[#This Row],[Статус2]],TRUE),"")</f>
        <v>13</v>
      </c>
      <c r="G14" t="str">
        <f>IFERROR(INDEX(tblData[ФО],MATCH(ROWS($F$2:tblData[[#This Row],[Индекс2]]),tblData[Индекс2],0)),"")</f>
        <v>АО СК «Стерх»</v>
      </c>
      <c r="I14" t="s">
        <v>1443</v>
      </c>
      <c r="J14" t="b">
        <f>NOT(ISERROR(SEARCH(FILLING!$L$16,tblData_Region[[#This Row],[РЕГИОН]])))</f>
        <v>1</v>
      </c>
      <c r="K14" s="267">
        <f>IF(tblData_Region[[#This Row],[Статус]],COUNTIF($J$2:tblData_Region[[#This Row],[Статус]],TRUE),"")</f>
        <v>13</v>
      </c>
      <c r="L14" t="str">
        <f>IFERROR(INDEX(tblData_Region[РЕГИОН],MATCH(ROWS($K$2:tblData_Region[[#This Row],[Индекс]]),tblData_Region[Индекс],0)),"")</f>
        <v>Ивановская область</v>
      </c>
    </row>
    <row r="15" spans="1:12" x14ac:dyDescent="0.35">
      <c r="A15" s="67" t="s">
        <v>177</v>
      </c>
      <c r="B15" s="267" t="b">
        <f>NOT(ISERROR(SEARCH(FILLING!$D$11,tblData[[#This Row],[ФО]])))</f>
        <v>1</v>
      </c>
      <c r="C15" s="267">
        <f>IF(tblData[[#This Row],[Статус]],COUNTIF($B$2:tblData[[#This Row],[Статус]],TRUE),"")</f>
        <v>14</v>
      </c>
      <c r="D15" t="str">
        <f>IFERROR(INDEX(tblData[ФО],MATCH(ROWS($C$2:tblData[[#This Row],[Индекс]]),tblData[Индекс],0)),"")</f>
        <v>АО СК «Чулпан»</v>
      </c>
      <c r="E15" t="b">
        <f>NOT(ISERROR(SEARCH(FILLING!$D$15,tblData[[#This Row],[ФО]])))</f>
        <v>1</v>
      </c>
      <c r="F15" s="267">
        <f>IF(tblData[[#This Row],[Статус2]],COUNTIF($E$2:tblData[[#This Row],[Статус2]],TRUE),"")</f>
        <v>14</v>
      </c>
      <c r="G15" t="str">
        <f>IFERROR(INDEX(tblData[ФО],MATCH(ROWS($F$2:tblData[[#This Row],[Индекс2]]),tblData[Индекс2],0)),"")</f>
        <v>АО СК «Чулпан»</v>
      </c>
      <c r="I15" t="s">
        <v>1444</v>
      </c>
      <c r="J15" t="b">
        <f>NOT(ISERROR(SEARCH(FILLING!$L$16,tblData_Region[[#This Row],[РЕГИОН]])))</f>
        <v>1</v>
      </c>
      <c r="K15" s="267">
        <f>IF(tblData_Region[[#This Row],[Статус]],COUNTIF($J$2:tblData_Region[[#This Row],[Статус]],TRUE),"")</f>
        <v>14</v>
      </c>
      <c r="L15" t="str">
        <f>IFERROR(INDEX(tblData_Region[РЕГИОН],MATCH(ROWS($K$2:tblData_Region[[#This Row],[Индекс]]),tblData_Region[Индекс],0)),"")</f>
        <v>Иркутская область</v>
      </c>
    </row>
    <row r="16" spans="1:12" x14ac:dyDescent="0.35">
      <c r="A16" s="67" t="s">
        <v>198</v>
      </c>
      <c r="B16" s="267" t="b">
        <f>NOT(ISERROR(SEARCH(FILLING!$D$11,tblData[[#This Row],[ФО]])))</f>
        <v>1</v>
      </c>
      <c r="C16" s="267">
        <f>IF(tblData[[#This Row],[Статус]],COUNTIF($B$2:tblData[[#This Row],[Статус]],TRUE),"")</f>
        <v>15</v>
      </c>
      <c r="D16" t="str">
        <f>IFERROR(INDEX(tblData[ФО],MATCH(ROWS($C$2:tblData[[#This Row],[Индекс]]),tblData[Индекс],0)),"")</f>
        <v>ООО «Абсолют Страхование»</v>
      </c>
      <c r="E16" t="b">
        <f>NOT(ISERROR(SEARCH(FILLING!$D$15,tblData[[#This Row],[ФО]])))</f>
        <v>1</v>
      </c>
      <c r="F16" s="267">
        <f>IF(tblData[[#This Row],[Статус2]],COUNTIF($E$2:tblData[[#This Row],[Статус2]],TRUE),"")</f>
        <v>15</v>
      </c>
      <c r="G16" t="str">
        <f>IFERROR(INDEX(tblData[ФО],MATCH(ROWS($F$2:tblData[[#This Row],[Индекс2]]),tblData[Индекс2],0)),"")</f>
        <v>ООО «Абсолют Страхование»</v>
      </c>
      <c r="I16" t="s">
        <v>1445</v>
      </c>
      <c r="J16" t="b">
        <f>NOT(ISERROR(SEARCH(FILLING!$L$16,tblData_Region[[#This Row],[РЕГИОН]])))</f>
        <v>1</v>
      </c>
      <c r="K16" s="267">
        <f>IF(tblData_Region[[#This Row],[Статус]],COUNTIF($J$2:tblData_Region[[#This Row],[Статус]],TRUE),"")</f>
        <v>15</v>
      </c>
      <c r="L16" t="str">
        <f>IFERROR(INDEX(tblData_Region[РЕГИОН],MATCH(ROWS($K$2:tblData_Region[[#This Row],[Индекс]]),tblData_Region[Индекс],0)),"")</f>
        <v>Кабардино-Балкарская Республика</v>
      </c>
    </row>
    <row r="17" spans="1:12" x14ac:dyDescent="0.35">
      <c r="A17" s="15" t="s">
        <v>176</v>
      </c>
      <c r="B17" s="267" t="b">
        <f>NOT(ISERROR(SEARCH(FILLING!$D$11,tblData[[#This Row],[ФО]])))</f>
        <v>1</v>
      </c>
      <c r="C17" s="267">
        <f>IF(tblData[[#This Row],[Статус]],COUNTIF($B$2:tblData[[#This Row],[Статус]],TRUE),"")</f>
        <v>16</v>
      </c>
      <c r="D17" t="str">
        <f>IFERROR(INDEX(tblData[ФО],MATCH(ROWS($C$2:tblData[[#This Row],[Индекс]]),tblData[Индекс],0)),"")</f>
        <v>ООО «НСГ - «РОСЭНЕРГО»</v>
      </c>
      <c r="E17" t="b">
        <f>NOT(ISERROR(SEARCH(FILLING!$D$15,tblData[[#This Row],[ФО]])))</f>
        <v>1</v>
      </c>
      <c r="F17" s="267">
        <f>IF(tblData[[#This Row],[Статус2]],COUNTIF($E$2:tblData[[#This Row],[Статус2]],TRUE),"")</f>
        <v>16</v>
      </c>
      <c r="G17" t="str">
        <f>IFERROR(INDEX(tblData[ФО],MATCH(ROWS($F$2:tblData[[#This Row],[Индекс2]]),tblData[Индекс2],0)),"")</f>
        <v>ООО «НСГ - «РОСЭНЕРГО»</v>
      </c>
      <c r="I17" t="s">
        <v>1446</v>
      </c>
      <c r="J17" t="b">
        <f>NOT(ISERROR(SEARCH(FILLING!$L$16,tblData_Region[[#This Row],[РЕГИОН]])))</f>
        <v>1</v>
      </c>
      <c r="K17" s="267">
        <f>IF(tblData_Region[[#This Row],[Статус]],COUNTIF($J$2:tblData_Region[[#This Row],[Статус]],TRUE),"")</f>
        <v>16</v>
      </c>
      <c r="L17" t="str">
        <f>IFERROR(INDEX(tblData_Region[РЕГИОН],MATCH(ROWS($K$2:tblData_Region[[#This Row],[Индекс]]),tblData_Region[Индекс],0)),"")</f>
        <v>Калининградская область</v>
      </c>
    </row>
    <row r="18" spans="1:12" x14ac:dyDescent="0.35">
      <c r="A18" s="67" t="s">
        <v>200</v>
      </c>
      <c r="B18" s="267" t="b">
        <f>NOT(ISERROR(SEARCH(FILLING!$D$11,tblData[[#This Row],[ФО]])))</f>
        <v>1</v>
      </c>
      <c r="C18" s="267">
        <f>IF(tblData[[#This Row],[Статус]],COUNTIF($B$2:tblData[[#This Row],[Статус]],TRUE),"")</f>
        <v>17</v>
      </c>
      <c r="D18" t="str">
        <f>IFERROR(INDEX(tblData[ФО],MATCH(ROWS($C$2:tblData[[#This Row],[Индекс]]),tblData[Индекс],0)),"")</f>
        <v>ООО «СК «АНГАРА»</v>
      </c>
      <c r="E18" t="b">
        <f>NOT(ISERROR(SEARCH(FILLING!$D$15,tblData[[#This Row],[ФО]])))</f>
        <v>1</v>
      </c>
      <c r="F18" s="267">
        <f>IF(tblData[[#This Row],[Статус2]],COUNTIF($E$2:tblData[[#This Row],[Статус2]],TRUE),"")</f>
        <v>17</v>
      </c>
      <c r="G18" t="str">
        <f>IFERROR(INDEX(tblData[ФО],MATCH(ROWS($F$2:tblData[[#This Row],[Индекс2]]),tblData[Индекс2],0)),"")</f>
        <v>ООО «СК «АНГАРА»</v>
      </c>
      <c r="I18" t="s">
        <v>1447</v>
      </c>
      <c r="J18" t="b">
        <f>NOT(ISERROR(SEARCH(FILLING!$L$16,tblData_Region[[#This Row],[РЕГИОН]])))</f>
        <v>1</v>
      </c>
      <c r="K18" s="267">
        <f>IF(tblData_Region[[#This Row],[Статус]],COUNTIF($J$2:tblData_Region[[#This Row],[Статус]],TRUE),"")</f>
        <v>17</v>
      </c>
      <c r="L18" t="str">
        <f>IFERROR(INDEX(tblData_Region[РЕГИОН],MATCH(ROWS($K$2:tblData_Region[[#This Row],[Индекс]]),tblData_Region[Индекс],0)),"")</f>
        <v>Калужская область</v>
      </c>
    </row>
    <row r="19" spans="1:12" x14ac:dyDescent="0.35">
      <c r="A19" s="15" t="s">
        <v>170</v>
      </c>
      <c r="B19" s="267" t="b">
        <f>NOT(ISERROR(SEARCH(FILLING!$D$11,tblData[[#This Row],[ФО]])))</f>
        <v>1</v>
      </c>
      <c r="C19" s="267">
        <f>IF(tblData[[#This Row],[Статус]],COUNTIF($B$2:tblData[[#This Row],[Статус]],TRUE),"")</f>
        <v>18</v>
      </c>
      <c r="D19" t="str">
        <f>IFERROR(INDEX(tblData[ФО],MATCH(ROWS($C$2:tblData[[#This Row],[Индекс]]),tblData[Индекс],0)),"")</f>
        <v>ООО «СК «Согласие»</v>
      </c>
      <c r="E19" t="b">
        <f>NOT(ISERROR(SEARCH(FILLING!$D$15,tblData[[#This Row],[ФО]])))</f>
        <v>1</v>
      </c>
      <c r="F19" s="267">
        <f>IF(tblData[[#This Row],[Статус2]],COUNTIF($E$2:tblData[[#This Row],[Статус2]],TRUE),"")</f>
        <v>18</v>
      </c>
      <c r="G19" t="str">
        <f>IFERROR(INDEX(tblData[ФО],MATCH(ROWS($F$2:tblData[[#This Row],[Индекс2]]),tblData[Индекс2],0)),"")</f>
        <v>ООО «СК «Согласие»</v>
      </c>
      <c r="I19" t="s">
        <v>1448</v>
      </c>
      <c r="J19" t="b">
        <f>NOT(ISERROR(SEARCH(FILLING!$L$16,tblData_Region[[#This Row],[РЕГИОН]])))</f>
        <v>1</v>
      </c>
      <c r="K19" s="267">
        <f>IF(tblData_Region[[#This Row],[Статус]],COUNTIF($J$2:tblData_Region[[#This Row],[Статус]],TRUE),"")</f>
        <v>18</v>
      </c>
      <c r="L19" t="str">
        <f>IFERROR(INDEX(tblData_Region[РЕГИОН],MATCH(ROWS($K$2:tblData_Region[[#This Row],[Индекс]]),tblData_Region[Индекс],0)),"")</f>
        <v>Камчатский край</v>
      </c>
    </row>
    <row r="20" spans="1:12" x14ac:dyDescent="0.35">
      <c r="A20" s="67" t="s">
        <v>183</v>
      </c>
      <c r="B20" s="267" t="b">
        <f>NOT(ISERROR(SEARCH(FILLING!$D$11,tblData[[#This Row],[ФО]])))</f>
        <v>1</v>
      </c>
      <c r="C20" s="267">
        <f>IF(tblData[[#This Row],[Статус]],COUNTIF($B$2:tblData[[#This Row],[Статус]],TRUE),"")</f>
        <v>19</v>
      </c>
      <c r="D20" t="str">
        <f>IFERROR(INDEX(tblData[ФО],MATCH(ROWS($C$2:tblData[[#This Row],[Индекс]]),tblData[Индекс],0)),"")</f>
        <v>ООО «Страховая компания «СДС»</v>
      </c>
      <c r="E20" t="b">
        <f>NOT(ISERROR(SEARCH(FILLING!$D$15,tblData[[#This Row],[ФО]])))</f>
        <v>1</v>
      </c>
      <c r="F20" s="267">
        <f>IF(tblData[[#This Row],[Статус2]],COUNTIF($E$2:tblData[[#This Row],[Статус2]],TRUE),"")</f>
        <v>19</v>
      </c>
      <c r="G20" t="str">
        <f>IFERROR(INDEX(tblData[ФО],MATCH(ROWS($F$2:tblData[[#This Row],[Индекс2]]),tblData[Индекс2],0)),"")</f>
        <v>ООО «Страховая компания «СДС»</v>
      </c>
      <c r="I20" t="s">
        <v>1449</v>
      </c>
      <c r="J20" t="b">
        <f>NOT(ISERROR(SEARCH(FILLING!$L$16,tblData_Region[[#This Row],[РЕГИОН]])))</f>
        <v>1</v>
      </c>
      <c r="K20" s="267">
        <f>IF(tblData_Region[[#This Row],[Статус]],COUNTIF($J$2:tblData_Region[[#This Row],[Статус]],TRUE),"")</f>
        <v>19</v>
      </c>
      <c r="L20" t="str">
        <f>IFERROR(INDEX(tblData_Region[РЕГИОН],MATCH(ROWS($K$2:tblData_Region[[#This Row],[Индекс]]),tblData_Region[Индекс],0)),"")</f>
        <v>Карачаево-Черкесская Республика</v>
      </c>
    </row>
    <row r="21" spans="1:12" x14ac:dyDescent="0.35">
      <c r="A21" s="67" t="s">
        <v>1051</v>
      </c>
      <c r="B21" s="267" t="b">
        <f>NOT(ISERROR(SEARCH(FILLING!$D$11,tblData[[#This Row],[ФО]])))</f>
        <v>1</v>
      </c>
      <c r="C21" s="267">
        <f>IF(tblData[[#This Row],[Статус]],COUNTIF($B$2:tblData[[#This Row],[Статус]],TRUE),"")</f>
        <v>20</v>
      </c>
      <c r="D21" t="str">
        <f>IFERROR(INDEX(tblData[ФО],MATCH(ROWS($C$2:tblData[[#This Row],[Индекс]]),tblData[Индекс],0)),"")</f>
        <v>ООО «Страховое общество «Сургутнефтегаз»</v>
      </c>
      <c r="E21" t="b">
        <f>NOT(ISERROR(SEARCH(FILLING!$D$15,tblData[[#This Row],[ФО]])))</f>
        <v>1</v>
      </c>
      <c r="F21" s="267">
        <f>IF(tblData[[#This Row],[Статус2]],COUNTIF($E$2:tblData[[#This Row],[Статус2]],TRUE),"")</f>
        <v>20</v>
      </c>
      <c r="G21" t="str">
        <f>IFERROR(INDEX(tblData[ФО],MATCH(ROWS($F$2:tblData[[#This Row],[Индекс2]]),tblData[Индекс2],0)),"")</f>
        <v>ООО «Страховое общество «Сургутнефтегаз»</v>
      </c>
      <c r="I21" t="s">
        <v>1450</v>
      </c>
      <c r="J21" t="b">
        <f>NOT(ISERROR(SEARCH(FILLING!$L$16,tblData_Region[[#This Row],[РЕГИОН]])))</f>
        <v>1</v>
      </c>
      <c r="K21" s="267">
        <f>IF(tblData_Region[[#This Row],[Статус]],COUNTIF($J$2:tblData_Region[[#This Row],[Статус]],TRUE),"")</f>
        <v>20</v>
      </c>
      <c r="L21" t="str">
        <f>IFERROR(INDEX(tblData_Region[РЕГИОН],MATCH(ROWS($K$2:tblData_Region[[#This Row],[Индекс]]),tblData_Region[Индекс],0)),"")</f>
        <v>Кемеровская область</v>
      </c>
    </row>
    <row r="22" spans="1:12" x14ac:dyDescent="0.35">
      <c r="A22" s="67" t="s">
        <v>944</v>
      </c>
      <c r="B22" s="267" t="b">
        <f>NOT(ISERROR(SEARCH(FILLING!$D$11,tblData[[#This Row],[ФО]])))</f>
        <v>1</v>
      </c>
      <c r="C22" s="267">
        <f>IF(tblData[[#This Row],[Статус]],COUNTIF($B$2:tblData[[#This Row],[Статус]],TRUE),"")</f>
        <v>21</v>
      </c>
      <c r="D22" t="str">
        <f>IFERROR(INDEX(tblData[ФО],MATCH(ROWS($C$2:tblData[[#This Row],[Индекс]]),tblData[Индекс],0)),"")</f>
        <v>ООО СК «Паритет-СК»</v>
      </c>
      <c r="E22" t="b">
        <f>NOT(ISERROR(SEARCH(FILLING!$D$15,tblData[[#This Row],[ФО]])))</f>
        <v>1</v>
      </c>
      <c r="F22" s="267">
        <f>IF(tblData[[#This Row],[Статус2]],COUNTIF($E$2:tblData[[#This Row],[Статус2]],TRUE),"")</f>
        <v>21</v>
      </c>
      <c r="G22" t="str">
        <f>IFERROR(INDEX(tblData[ФО],MATCH(ROWS($F$2:tblData[[#This Row],[Индекс2]]),tblData[Индекс2],0)),"")</f>
        <v>ООО СК «Паритет-СК»</v>
      </c>
      <c r="I22" t="s">
        <v>1451</v>
      </c>
      <c r="J22" t="b">
        <f>NOT(ISERROR(SEARCH(FILLING!$L$16,tblData_Region[[#This Row],[РЕГИОН]])))</f>
        <v>1</v>
      </c>
      <c r="K22" s="267">
        <f>IF(tblData_Region[[#This Row],[Статус]],COUNTIF($J$2:tblData_Region[[#This Row],[Статус]],TRUE),"")</f>
        <v>21</v>
      </c>
      <c r="L22" t="str">
        <f>IFERROR(INDEX(tblData_Region[РЕГИОН],MATCH(ROWS($K$2:tblData_Region[[#This Row],[Индекс]]),tblData_Region[Индекс],0)),"")</f>
        <v>Кировская область</v>
      </c>
    </row>
    <row r="23" spans="1:12" x14ac:dyDescent="0.35">
      <c r="A23" s="67" t="s">
        <v>179</v>
      </c>
      <c r="B23" s="268" t="b">
        <f>NOT(ISERROR(SEARCH(FILLING!$D$11,tblData[[#This Row],[ФО]])))</f>
        <v>1</v>
      </c>
      <c r="C23" s="268">
        <f>IF(tblData[[#This Row],[Статус]],COUNTIF($B$2:tblData[[#This Row],[Статус]],TRUE),"")</f>
        <v>22</v>
      </c>
      <c r="D23" s="269" t="str">
        <f>IFERROR(INDEX(tblData[ФО],MATCH(ROWS($C$2:tblData[[#This Row],[Индекс]]),tblData[Индекс],0)),"")</f>
        <v>ООО СО «ВЕРНА»</v>
      </c>
      <c r="E23" t="b">
        <f>NOT(ISERROR(SEARCH(FILLING!$D$15,tblData[[#This Row],[ФО]])))</f>
        <v>1</v>
      </c>
      <c r="F23" s="267">
        <f>IF(tblData[[#This Row],[Статус2]],COUNTIF($E$2:tblData[[#This Row],[Статус2]],TRUE),"")</f>
        <v>22</v>
      </c>
      <c r="G23" t="str">
        <f>IFERROR(INDEX(tblData[ФО],MATCH(ROWS($F$2:tblData[[#This Row],[Индекс2]]),tblData[Индекс2],0)),"")</f>
        <v>ООО СО «ВЕРНА»</v>
      </c>
      <c r="I23" t="s">
        <v>1452</v>
      </c>
      <c r="J23" t="b">
        <f>NOT(ISERROR(SEARCH(FILLING!$L$16,tblData_Region[[#This Row],[РЕГИОН]])))</f>
        <v>1</v>
      </c>
      <c r="K23" s="267">
        <f>IF(tblData_Region[[#This Row],[Статус]],COUNTIF($J$2:tblData_Region[[#This Row],[Статус]],TRUE),"")</f>
        <v>22</v>
      </c>
      <c r="L23" t="str">
        <f>IFERROR(INDEX(tblData_Region[РЕГИОН],MATCH(ROWS($K$2:tblData_Region[[#This Row],[Индекс]]),tblData_Region[Индекс],0)),"")</f>
        <v>Костромская область</v>
      </c>
    </row>
    <row r="24" spans="1:12" x14ac:dyDescent="0.35">
      <c r="A24" s="67" t="s">
        <v>191</v>
      </c>
      <c r="B24" s="268" t="b">
        <f>NOT(ISERROR(SEARCH(FILLING!$D$11,tblData[[#This Row],[ФО]])))</f>
        <v>1</v>
      </c>
      <c r="C24" s="268">
        <f>IF(tblData[[#This Row],[Статус]],COUNTIF($B$2:tblData[[#This Row],[Статус]],TRUE),"")</f>
        <v>23</v>
      </c>
      <c r="D24" s="269" t="str">
        <f>IFERROR(INDEX(tblData[ФО],MATCH(ROWS($C$2:tblData[[#This Row],[Индекс]]),tblData[Индекс],0)),"")</f>
        <v>ООО Страховая Компания «Гелиос»</v>
      </c>
      <c r="E24" t="b">
        <f>NOT(ISERROR(SEARCH(FILLING!$D$15,tblData[[#This Row],[ФО]])))</f>
        <v>1</v>
      </c>
      <c r="F24" s="267">
        <f>IF(tblData[[#This Row],[Статус2]],COUNTIF($E$2:tblData[[#This Row],[Статус2]],TRUE),"")</f>
        <v>23</v>
      </c>
      <c r="G24" t="str">
        <f>IFERROR(INDEX(tblData[ФО],MATCH(ROWS($F$2:tblData[[#This Row],[Индекс2]]),tblData[Индекс2],0)),"")</f>
        <v>ООО Страховая Компания «Гелиос»</v>
      </c>
      <c r="I24" t="s">
        <v>1453</v>
      </c>
      <c r="J24" t="b">
        <f>NOT(ISERROR(SEARCH(FILLING!$L$16,tblData_Region[[#This Row],[РЕГИОН]])))</f>
        <v>1</v>
      </c>
      <c r="K24" s="267">
        <f>IF(tblData_Region[[#This Row],[Статус]],COUNTIF($J$2:tblData_Region[[#This Row],[Статус]],TRUE),"")</f>
        <v>23</v>
      </c>
      <c r="L24" t="str">
        <f>IFERROR(INDEX(tblData_Region[РЕГИОН],MATCH(ROWS($K$2:tblData_Region[[#This Row],[Индекс]]),tblData_Region[Индекс],0)),"")</f>
        <v>Краснодарский край</v>
      </c>
    </row>
    <row r="25" spans="1:12" x14ac:dyDescent="0.35">
      <c r="A25" s="15" t="s">
        <v>168</v>
      </c>
      <c r="B25" s="268" t="b">
        <f>NOT(ISERROR(SEARCH(FILLING!$D$11,tblData[[#This Row],[ФО]])))</f>
        <v>1</v>
      </c>
      <c r="C25" s="268">
        <f>IF(tblData[[#This Row],[Статус]],COUNTIF($B$2:tblData[[#This Row],[Статус]],TRUE),"")</f>
        <v>24</v>
      </c>
      <c r="D25" s="269" t="str">
        <f>IFERROR(INDEX(tblData[ФО],MATCH(ROWS($C$2:tblData[[#This Row],[Индекс]]),tblData[Индекс],0)),"")</f>
        <v>ПАО «АСКО-СТРАХОВАНИЕ»</v>
      </c>
      <c r="E25" t="b">
        <f>NOT(ISERROR(SEARCH(FILLING!$D$15,tblData[[#This Row],[ФО]])))</f>
        <v>1</v>
      </c>
      <c r="F25" s="267">
        <f>IF(tblData[[#This Row],[Статус2]],COUNTIF($E$2:tblData[[#This Row],[Статус2]],TRUE),"")</f>
        <v>24</v>
      </c>
      <c r="G25" t="str">
        <f>IFERROR(INDEX(tblData[ФО],MATCH(ROWS($F$2:tblData[[#This Row],[Индекс2]]),tblData[Индекс2],0)),"")</f>
        <v>ПАО «АСКО-СТРАХОВАНИЕ»</v>
      </c>
      <c r="I25" t="s">
        <v>1454</v>
      </c>
      <c r="J25" t="b">
        <f>NOT(ISERROR(SEARCH(FILLING!$L$16,tblData_Region[[#This Row],[РЕГИОН]])))</f>
        <v>1</v>
      </c>
      <c r="K25" s="267">
        <f>IF(tblData_Region[[#This Row],[Статус]],COUNTIF($J$2:tblData_Region[[#This Row],[Статус]],TRUE),"")</f>
        <v>24</v>
      </c>
      <c r="L25" t="str">
        <f>IFERROR(INDEX(tblData_Region[РЕГИОН],MATCH(ROWS($K$2:tblData_Region[[#This Row],[Индекс]]),tblData_Region[Индекс],0)),"")</f>
        <v>Красноярский край</v>
      </c>
    </row>
    <row r="26" spans="1:12" x14ac:dyDescent="0.35">
      <c r="A26" s="15" t="s">
        <v>172</v>
      </c>
      <c r="B26" s="268" t="b">
        <f>NOT(ISERROR(SEARCH(FILLING!$D$11,tblData[[#This Row],[ФО]])))</f>
        <v>1</v>
      </c>
      <c r="C26" s="268">
        <f>IF(tblData[[#This Row],[Статус]],COUNTIF($B$2:tblData[[#This Row],[Статус]],TRUE),"")</f>
        <v>25</v>
      </c>
      <c r="D26" s="269" t="str">
        <f>IFERROR(INDEX(tblData[ФО],MATCH(ROWS($C$2:tblData[[#This Row],[Индекс]]),tblData[Индекс],0)),"")</f>
        <v>ПАО «САК «Энергогарант»</v>
      </c>
      <c r="E26" t="b">
        <f>NOT(ISERROR(SEARCH(FILLING!$D$15,tblData[[#This Row],[ФО]])))</f>
        <v>1</v>
      </c>
      <c r="F26" s="267">
        <f>IF(tblData[[#This Row],[Статус2]],COUNTIF($E$2:tblData[[#This Row],[Статус2]],TRUE),"")</f>
        <v>25</v>
      </c>
      <c r="G26" t="str">
        <f>IFERROR(INDEX(tblData[ФО],MATCH(ROWS($F$2:tblData[[#This Row],[Индекс2]]),tblData[Индекс2],0)),"")</f>
        <v>ПАО «САК «Энергогарант»</v>
      </c>
      <c r="I26" t="s">
        <v>1455</v>
      </c>
      <c r="J26" t="b">
        <f>NOT(ISERROR(SEARCH(FILLING!$L$16,tblData_Region[[#This Row],[РЕГИОН]])))</f>
        <v>1</v>
      </c>
      <c r="K26" s="267">
        <f>IF(tblData_Region[[#This Row],[Статус]],COUNTIF($J$2:tblData_Region[[#This Row],[Статус]],TRUE),"")</f>
        <v>25</v>
      </c>
      <c r="L26" t="str">
        <f>IFERROR(INDEX(tblData_Region[РЕГИОН],MATCH(ROWS($K$2:tblData_Region[[#This Row],[Индекс]]),tblData_Region[Индекс],0)),"")</f>
        <v>Курганская область</v>
      </c>
    </row>
    <row r="27" spans="1:12" x14ac:dyDescent="0.35">
      <c r="A27" s="15" t="s">
        <v>154</v>
      </c>
      <c r="B27" s="268" t="b">
        <f>NOT(ISERROR(SEARCH(FILLING!$D$11,tblData[[#This Row],[ФО]])))</f>
        <v>1</v>
      </c>
      <c r="C27" s="268">
        <f>IF(tblData[[#This Row],[Статус]],COUNTIF($B$2:tblData[[#This Row],[Статус]],TRUE),"")</f>
        <v>26</v>
      </c>
      <c r="D27" s="269" t="str">
        <f>IFERROR(INDEX(tblData[ФО],MATCH(ROWS($C$2:tblData[[#This Row],[Индекс]]),tblData[Индекс],0)),"")</f>
        <v>ПАО СК «Росгосстрах»</v>
      </c>
      <c r="E27" t="b">
        <f>NOT(ISERROR(SEARCH(FILLING!$D$15,tblData[[#This Row],[ФО]])))</f>
        <v>1</v>
      </c>
      <c r="F27" s="267">
        <f>IF(tblData[[#This Row],[Статус2]],COUNTIF($E$2:tblData[[#This Row],[Статус2]],TRUE),"")</f>
        <v>26</v>
      </c>
      <c r="G27" t="str">
        <f>IFERROR(INDEX(tblData[ФО],MATCH(ROWS($F$2:tblData[[#This Row],[Индекс2]]),tblData[Индекс2],0)),"")</f>
        <v>ПАО СК «Росгосстрах»</v>
      </c>
      <c r="I27" t="s">
        <v>1456</v>
      </c>
      <c r="J27" t="b">
        <f>NOT(ISERROR(SEARCH(FILLING!$L$16,tblData_Region[[#This Row],[РЕГИОН]])))</f>
        <v>1</v>
      </c>
      <c r="K27" s="267">
        <f>IF(tblData_Region[[#This Row],[Статус]],COUNTIF($J$2:tblData_Region[[#This Row],[Статус]],TRUE),"")</f>
        <v>26</v>
      </c>
      <c r="L27" t="str">
        <f>IFERROR(INDEX(tblData_Region[РЕГИОН],MATCH(ROWS($K$2:tblData_Region[[#This Row],[Индекс]]),tblData_Region[Индекс],0)),"")</f>
        <v>Курская область</v>
      </c>
    </row>
    <row r="28" spans="1:12" x14ac:dyDescent="0.35">
      <c r="A28" s="15" t="s">
        <v>156</v>
      </c>
      <c r="B28" s="268" t="b">
        <f>NOT(ISERROR(SEARCH(FILLING!$D$11,tblData[[#This Row],[ФО]])))</f>
        <v>1</v>
      </c>
      <c r="C28" s="268">
        <f>IF(tblData[[#This Row],[Статус]],COUNTIF($B$2:tblData[[#This Row],[Статус]],TRUE),"")</f>
        <v>27</v>
      </c>
      <c r="D28" s="269" t="str">
        <f>IFERROR(INDEX(tblData[ФО],MATCH(ROWS($C$2:tblData[[#This Row],[Индекс]]),tblData[Индекс],0)),"")</f>
        <v>САО «ВСК»</v>
      </c>
      <c r="E28" t="b">
        <f>NOT(ISERROR(SEARCH(FILLING!$D$15,tblData[[#This Row],[ФО]])))</f>
        <v>1</v>
      </c>
      <c r="F28" s="267">
        <f>IF(tblData[[#This Row],[Статус2]],COUNTIF($E$2:tblData[[#This Row],[Статус2]],TRUE),"")</f>
        <v>27</v>
      </c>
      <c r="G28" t="str">
        <f>IFERROR(INDEX(tblData[ФО],MATCH(ROWS($F$2:tblData[[#This Row],[Индекс2]]),tblData[Индекс2],0)),"")</f>
        <v>САО «ВСК»</v>
      </c>
      <c r="I28" t="s">
        <v>1457</v>
      </c>
      <c r="J28" t="b">
        <f>NOT(ISERROR(SEARCH(FILLING!$L$16,tblData_Region[[#This Row],[РЕГИОН]])))</f>
        <v>1</v>
      </c>
      <c r="K28" s="267">
        <f>IF(tblData_Region[[#This Row],[Статус]],COUNTIF($J$2:tblData_Region[[#This Row],[Статус]],TRUE),"")</f>
        <v>27</v>
      </c>
      <c r="L28" t="str">
        <f>IFERROR(INDEX(tblData_Region[РЕГИОН],MATCH(ROWS($K$2:tblData_Region[[#This Row],[Индекс]]),tblData_Region[Индекс],0)),"")</f>
        <v>Ленинградская область</v>
      </c>
    </row>
    <row r="29" spans="1:12" x14ac:dyDescent="0.35">
      <c r="A29" s="67" t="s">
        <v>181</v>
      </c>
      <c r="B29" s="268" t="b">
        <f>NOT(ISERROR(SEARCH(FILLING!$D$11,tblData[[#This Row],[ФО]])))</f>
        <v>1</v>
      </c>
      <c r="C29" s="268">
        <f>IF(tblData[[#This Row],[Статус]],COUNTIF($B$2:tblData[[#This Row],[Статус]],TRUE),"")</f>
        <v>28</v>
      </c>
      <c r="D29" s="269" t="str">
        <f>IFERROR(INDEX(tblData[ФО],MATCH(ROWS($C$2:tblData[[#This Row],[Индекс]]),tblData[Индекс],0)),"")</f>
        <v>САО «Надежда»</v>
      </c>
      <c r="E29" t="b">
        <f>NOT(ISERROR(SEARCH(FILLING!$D$15,tblData[[#This Row],[ФО]])))</f>
        <v>1</v>
      </c>
      <c r="F29" s="267">
        <f>IF(tblData[[#This Row],[Статус2]],COUNTIF($E$2:tblData[[#This Row],[Статус2]],TRUE),"")</f>
        <v>28</v>
      </c>
      <c r="G29" t="str">
        <f>IFERROR(INDEX(tblData[ФО],MATCH(ROWS($F$2:tblData[[#This Row],[Индекс2]]),tblData[Индекс2],0)),"")</f>
        <v>САО «Надежда»</v>
      </c>
      <c r="I29" s="3" t="s">
        <v>1458</v>
      </c>
      <c r="J29" t="b">
        <f>NOT(ISERROR(SEARCH(FILLING!$L$16,tblData_Region[[#This Row],[РЕГИОН]])))</f>
        <v>1</v>
      </c>
      <c r="K29" s="267">
        <f>IF(tblData_Region[[#This Row],[Статус]],COUNTIF($J$2:tblData_Region[[#This Row],[Статус]],TRUE),"")</f>
        <v>28</v>
      </c>
      <c r="L29" t="str">
        <f>IFERROR(INDEX(tblData_Region[РЕГИОН],MATCH(ROWS($K$2:tblData_Region[[#This Row],[Индекс]]),tblData_Region[Индекс],0)),"")</f>
        <v>Липецкая область</v>
      </c>
    </row>
    <row r="30" spans="1:12" x14ac:dyDescent="0.35">
      <c r="A30" s="67" t="s">
        <v>545</v>
      </c>
      <c r="B30" s="268" t="b">
        <f>NOT(ISERROR(SEARCH(FILLING!$D$11,tblData[[#This Row],[ФО]])))</f>
        <v>1</v>
      </c>
      <c r="C30" s="268">
        <f>IF(tblData[[#This Row],[Статус]],COUNTIF($B$2:tblData[[#This Row],[Статус]],TRUE),"")</f>
        <v>29</v>
      </c>
      <c r="D30" s="269" t="str">
        <f>IFERROR(INDEX(tblData[ФО],MATCH(ROWS($C$2:tblData[[#This Row],[Индекс]]),tblData[Индекс],0)),"")</f>
        <v>САО ЭРГО</v>
      </c>
      <c r="E30" t="b">
        <f>NOT(ISERROR(SEARCH(FILLING!$D$15,tblData[[#This Row],[ФО]])))</f>
        <v>1</v>
      </c>
      <c r="F30" s="267">
        <f>IF(tblData[[#This Row],[Статус2]],COUNTIF($E$2:tblData[[#This Row],[Статус2]],TRUE),"")</f>
        <v>29</v>
      </c>
      <c r="G30" t="str">
        <f>IFERROR(INDEX(tblData[ФО],MATCH(ROWS($F$2:tblData[[#This Row],[Индекс2]]),tblData[Индекс2],0)),"")</f>
        <v>САО ЭРГО</v>
      </c>
      <c r="I30" t="s">
        <v>1459</v>
      </c>
      <c r="J30" t="b">
        <f>NOT(ISERROR(SEARCH(FILLING!$L$16,tblData_Region[[#This Row],[РЕГИОН]])))</f>
        <v>1</v>
      </c>
      <c r="K30" s="267">
        <f>IF(tblData_Region[[#This Row],[Статус]],COUNTIF($J$2:tblData_Region[[#This Row],[Статус]],TRUE),"")</f>
        <v>29</v>
      </c>
      <c r="L30" t="str">
        <f>IFERROR(INDEX(tblData_Region[РЕГИОН],MATCH(ROWS($K$2:tblData_Region[[#This Row],[Индекс]]),tblData_Region[Индекс],0)),"")</f>
        <v>Магаданская область</v>
      </c>
    </row>
    <row r="31" spans="1:12" x14ac:dyDescent="0.35">
      <c r="A31" s="15" t="s">
        <v>149</v>
      </c>
      <c r="B31" s="268" t="b">
        <f>NOT(ISERROR(SEARCH(FILLING!$D$11,tblData[[#This Row],[ФО]])))</f>
        <v>1</v>
      </c>
      <c r="C31" s="268">
        <f>IF(tblData[[#This Row],[Статус]],COUNTIF($B$2:tblData[[#This Row],[Статус]],TRUE),"")</f>
        <v>30</v>
      </c>
      <c r="D31" s="269" t="str">
        <f>IFERROR(INDEX(tblData[ФО],MATCH(ROWS($C$2:tblData[[#This Row],[Индекс]]),tblData[Индекс],0)),"")</f>
        <v>СПАО «Ингосстрах»</v>
      </c>
      <c r="E31" t="b">
        <f>NOT(ISERROR(SEARCH(FILLING!$D$15,tblData[[#This Row],[ФО]])))</f>
        <v>1</v>
      </c>
      <c r="F31" s="267">
        <f>IF(tblData[[#This Row],[Статус2]],COUNTIF($E$2:tblData[[#This Row],[Статус2]],TRUE),"")</f>
        <v>30</v>
      </c>
      <c r="G31" t="str">
        <f>IFERROR(INDEX(tblData[ФО],MATCH(ROWS($F$2:tblData[[#This Row],[Индекс2]]),tblData[Индекс2],0)),"")</f>
        <v>СПАО «Ингосстрах»</v>
      </c>
      <c r="I31" t="s">
        <v>1440</v>
      </c>
      <c r="J31" t="b">
        <f>NOT(ISERROR(SEARCH(FILLING!$L$16,tblData_Region[[#This Row],[РЕГИОН]])))</f>
        <v>1</v>
      </c>
      <c r="K31" s="267">
        <f>IF(tblData_Region[[#This Row],[Статус]],COUNTIF($J$2:tblData_Region[[#This Row],[Статус]],TRUE),"")</f>
        <v>30</v>
      </c>
      <c r="L31" t="str">
        <f>IFERROR(INDEX(tblData_Region[РЕГИОН],MATCH(ROWS($K$2:tblData_Region[[#This Row],[Индекс]]),tblData_Region[Индекс],0)),"")</f>
        <v>г. Москва</v>
      </c>
    </row>
    <row r="32" spans="1:12" x14ac:dyDescent="0.35">
      <c r="A32" s="15" t="s">
        <v>162</v>
      </c>
      <c r="B32" s="268" t="b">
        <f>NOT(ISERROR(SEARCH(FILLING!$D$11,tblData[[#This Row],[ФО]])))</f>
        <v>1</v>
      </c>
      <c r="C32" s="268">
        <f>IF(tblData[[#This Row],[Статус]],COUNTIF($B$2:tblData[[#This Row],[Статус]],TRUE),"")</f>
        <v>31</v>
      </c>
      <c r="D32" s="269" t="str">
        <f>IFERROR(INDEX(tblData[ФО],MATCH(ROWS($C$2:tblData[[#This Row],[Индекс]]),tblData[Индекс],0)),"")</f>
        <v>СПАО «РЕСО-Гарантия»</v>
      </c>
      <c r="E32" t="b">
        <f>NOT(ISERROR(SEARCH(FILLING!$D$15,tblData[[#This Row],[ФО]])))</f>
        <v>1</v>
      </c>
      <c r="F32" s="267">
        <f>IF(tblData[[#This Row],[Статус2]],COUNTIF($E$2:tblData[[#This Row],[Статус2]],TRUE),"")</f>
        <v>31</v>
      </c>
      <c r="G32" t="str">
        <f>IFERROR(INDEX(tblData[ФО],MATCH(ROWS($F$2:tblData[[#This Row],[Индекс2]]),tblData[Индекс2],0)),"")</f>
        <v>СПАО «РЕСО-Гарантия»</v>
      </c>
      <c r="I32" t="s">
        <v>1460</v>
      </c>
      <c r="J32" t="b">
        <f>NOT(ISERROR(SEARCH(FILLING!$L$16,tblData_Region[[#This Row],[РЕГИОН]])))</f>
        <v>1</v>
      </c>
      <c r="K32" s="267">
        <f>IF(tblData_Region[[#This Row],[Статус]],COUNTIF($J$2:tblData_Region[[#This Row],[Статус]],TRUE),"")</f>
        <v>31</v>
      </c>
      <c r="L32" t="str">
        <f>IFERROR(INDEX(tblData_Region[РЕГИОН],MATCH(ROWS($K$2:tblData_Region[[#This Row],[Индекс]]),tblData_Region[Индекс],0)),"")</f>
        <v>Московская область</v>
      </c>
    </row>
    <row r="33" spans="1:12" x14ac:dyDescent="0.35">
      <c r="A33" s="67" t="s">
        <v>1390</v>
      </c>
      <c r="B33" s="268" t="b">
        <f>NOT(ISERROR(SEARCH(FILLING!$D$11,tblData[[#This Row],[ФО]])))</f>
        <v>1</v>
      </c>
      <c r="C33" s="268">
        <f>IF(tblData[[#This Row],[Статус]],COUNTIF($B$2:tblData[[#This Row],[Статус]],TRUE),"")</f>
        <v>32</v>
      </c>
      <c r="D33" s="269" t="str">
        <f>IFERROR(INDEX(tblData[ФО],MATCH(ROWS($C$2:tblData[[#This Row],[Индекс]]),tblData[Индекс],0)),"")</f>
        <v>АО «Страховая бизнес группа»</v>
      </c>
      <c r="E33" t="b">
        <f>NOT(ISERROR(SEARCH(FILLING!$D$15,tblData[[#This Row],[ФО]])))</f>
        <v>1</v>
      </c>
      <c r="F33" s="267">
        <f>IF(tblData[[#This Row],[Статус2]],COUNTIF($E$2:tblData[[#This Row],[Статус2]],TRUE),"")</f>
        <v>32</v>
      </c>
      <c r="G33" t="str">
        <f>IFERROR(INDEX(tblData[ФО],MATCH(ROWS($F$2:tblData[[#This Row],[Индекс2]]),tblData[Индекс2],0)),"")</f>
        <v>АО «Страховая бизнес группа»</v>
      </c>
      <c r="I33" t="s">
        <v>1461</v>
      </c>
      <c r="J33" t="b">
        <f>NOT(ISERROR(SEARCH(FILLING!$L$16,tblData_Region[[#This Row],[РЕГИОН]])))</f>
        <v>1</v>
      </c>
      <c r="K33" s="267">
        <f>IF(tblData_Region[[#This Row],[Статус]],COUNTIF($J$2:tblData_Region[[#This Row],[Статус]],TRUE),"")</f>
        <v>32</v>
      </c>
      <c r="L33" t="str">
        <f>IFERROR(INDEX(tblData_Region[РЕГИОН],MATCH(ROWS($K$2:tblData_Region[[#This Row],[Индекс]]),tblData_Region[Индекс],0)),"")</f>
        <v>Мурманская область</v>
      </c>
    </row>
    <row r="34" spans="1:12" x14ac:dyDescent="0.35">
      <c r="A34" s="67" t="s">
        <v>1337</v>
      </c>
      <c r="B34" s="268" t="b">
        <f>NOT(ISERROR(SEARCH(FILLING!$D$11,tblData[[#This Row],[ФО]])))</f>
        <v>1</v>
      </c>
      <c r="C34" s="268">
        <f>IF(tblData[[#This Row],[Статус]],COUNTIF($B$2:tblData[[#This Row],[Статус]],TRUE),"")</f>
        <v>33</v>
      </c>
      <c r="D34" s="269" t="str">
        <f>IFERROR(INDEX(tblData[ФО],MATCH(ROWS($C$2:tblData[[#This Row],[Индекс]]),tblData[Индекс],0)),"")</f>
        <v>ООО «СФ «Адонис»</v>
      </c>
      <c r="E34" t="b">
        <f>NOT(ISERROR(SEARCH(FILLING!$D$15,tblData[[#This Row],[ФО]])))</f>
        <v>1</v>
      </c>
      <c r="F34" s="267">
        <f>IF(tblData[[#This Row],[Статус2]],COUNTIF($E$2:tblData[[#This Row],[Статус2]],TRUE),"")</f>
        <v>33</v>
      </c>
      <c r="G34" t="str">
        <f>IFERROR(INDEX(tblData[ФО],MATCH(ROWS($F$2:tblData[[#This Row],[Индекс2]]),tblData[Индекс2],0)),"")</f>
        <v>ООО «СФ «Адонис»</v>
      </c>
      <c r="I34" t="s">
        <v>1462</v>
      </c>
      <c r="J34" t="b">
        <f>NOT(ISERROR(SEARCH(FILLING!$L$16,tblData_Region[[#This Row],[РЕГИОН]])))</f>
        <v>1</v>
      </c>
      <c r="K34" s="267">
        <f>IF(tblData_Region[[#This Row],[Статус]],COUNTIF($J$2:tblData_Region[[#This Row],[Статус]],TRUE),"")</f>
        <v>33</v>
      </c>
      <c r="L34" t="str">
        <f>IFERROR(INDEX(tblData_Region[РЕГИОН],MATCH(ROWS($K$2:tblData_Region[[#This Row],[Индекс]]),tblData_Region[Индекс],0)),"")</f>
        <v>Ненецкий автономный округ</v>
      </c>
    </row>
    <row r="35" spans="1:12" x14ac:dyDescent="0.35">
      <c r="A35" s="67" t="s">
        <v>1625</v>
      </c>
      <c r="B35" s="268" t="b">
        <f>NOT(ISERROR(SEARCH(FILLING!$D$11,tblData[[#This Row],[ФО]])))</f>
        <v>1</v>
      </c>
      <c r="C35" s="268">
        <f>IF(tblData[[#This Row],[Статус]],COUNTIF($B$2:tblData[[#This Row],[Статус]],TRUE),"")</f>
        <v>34</v>
      </c>
      <c r="D35" s="269" t="str">
        <f>IFERROR(INDEX(tblData[ФО],MATCH(ROWS($C$2:tblData[[#This Row],[Индекс]]),tblData[Индекс],0)),"")</f>
        <v>ПАО «МСЦ»</v>
      </c>
      <c r="E35" t="b">
        <f>NOT(ISERROR(SEARCH(FILLING!$D$15,tblData[[#This Row],[ФО]])))</f>
        <v>1</v>
      </c>
      <c r="F35" s="267">
        <f>IF(tblData[[#This Row],[Статус2]],COUNTIF($E$2:tblData[[#This Row],[Статус2]],TRUE),"")</f>
        <v>34</v>
      </c>
      <c r="G35" t="str">
        <f>IFERROR(INDEX(tblData[ФО],MATCH(ROWS($F$2:tblData[[#This Row],[Индекс2]]),tblData[Индекс2],0)),"")</f>
        <v>ПАО «МСЦ»</v>
      </c>
      <c r="I35" t="s">
        <v>1463</v>
      </c>
      <c r="J35" t="b">
        <f>NOT(ISERROR(SEARCH(FILLING!$L$16,tblData_Region[[#This Row],[РЕГИОН]])))</f>
        <v>1</v>
      </c>
      <c r="K35" s="267">
        <f>IF(tblData_Region[[#This Row],[Статус]],COUNTIF($J$2:tblData_Region[[#This Row],[Статус]],TRUE),"")</f>
        <v>34</v>
      </c>
      <c r="L35" t="str">
        <f>IFERROR(INDEX(tblData_Region[РЕГИОН],MATCH(ROWS($K$2:tblData_Region[[#This Row],[Индекс]]),tblData_Region[Индекс],0)),"")</f>
        <v>Нижегородская область</v>
      </c>
    </row>
    <row r="36" spans="1:12" x14ac:dyDescent="0.35">
      <c r="A36" s="67" t="s">
        <v>1673</v>
      </c>
      <c r="B36" s="268" t="b">
        <f>NOT(ISERROR(SEARCH(FILLING!$D$11,tblData[[#This Row],[ФО]])))</f>
        <v>1</v>
      </c>
      <c r="C36" s="268">
        <f>IF(tblData[[#This Row],[Статус]],COUNTIF($B$2:tblData[[#This Row],[Статус]],TRUE),"")</f>
        <v>35</v>
      </c>
      <c r="D36" s="269" t="str">
        <f>IFERROR(INDEX(tblData[ФО],MATCH(ROWS($C$2:tblData[[#This Row],[Индекс]]),tblData[Индекс],0)),"")</f>
        <v>ООО «СК «СЕРВИСРЕЗЕРВ»</v>
      </c>
      <c r="E36" t="b">
        <f>NOT(ISERROR(SEARCH(FILLING!$D$15,tblData[[#This Row],[ФО]])))</f>
        <v>1</v>
      </c>
      <c r="F36" s="267">
        <f>IF(tblData[[#This Row],[Статус2]],COUNTIF($E$2:tblData[[#This Row],[Статус2]],TRUE),"")</f>
        <v>35</v>
      </c>
      <c r="G36" t="str">
        <f>IFERROR(INDEX(tblData[ФО],MATCH(ROWS($F$2:tblData[[#This Row],[Индекс2]]),tblData[Индекс2],0)),"")</f>
        <v>ООО «СК «СЕРВИСРЕЗЕРВ»</v>
      </c>
      <c r="I36" s="3" t="s">
        <v>1464</v>
      </c>
      <c r="J36" t="b">
        <f>NOT(ISERROR(SEARCH(FILLING!$L$16,tblData_Region[[#This Row],[РЕГИОН]])))</f>
        <v>1</v>
      </c>
      <c r="K36" s="267">
        <f>IF(tblData_Region[[#This Row],[Статус]],COUNTIF($J$2:tblData_Region[[#This Row],[Статус]],TRUE),"")</f>
        <v>35</v>
      </c>
      <c r="L36" t="str">
        <f>IFERROR(INDEX(tblData_Region[РЕГИОН],MATCH(ROWS($K$2:tblData_Region[[#This Row],[Индекс]]),tblData_Region[Индекс],0)),"")</f>
        <v>Новгородская область</v>
      </c>
    </row>
    <row r="37" spans="1:12" x14ac:dyDescent="0.35">
      <c r="A37" s="67" t="s">
        <v>1393</v>
      </c>
      <c r="B37" s="268" t="b">
        <f>NOT(ISERROR(SEARCH(FILLING!$D$11,tblData[[#This Row],[ФО]])))</f>
        <v>1</v>
      </c>
      <c r="C37" s="268">
        <f>IF(tblData[[#This Row],[Статус]],COUNTIF($B$2:tblData[[#This Row],[Статус]],TRUE),"")</f>
        <v>36</v>
      </c>
      <c r="D37" s="269" t="str">
        <f>IFERROR(INDEX(tblData[ФО],MATCH(ROWS($C$2:tblData[[#This Row],[Индекс]]),tblData[Индекс],0)),"")</f>
        <v>АО «СО «Талисман»</v>
      </c>
      <c r="E37" t="b">
        <f>NOT(ISERROR(SEARCH(FILLING!$D$15,tblData[[#This Row],[ФО]])))</f>
        <v>1</v>
      </c>
      <c r="F37" s="267">
        <f>IF(tblData[[#This Row],[Статус2]],COUNTIF($E$2:tblData[[#This Row],[Статус2]],TRUE),"")</f>
        <v>36</v>
      </c>
      <c r="G37" t="str">
        <f>IFERROR(INDEX(tblData[ФО],MATCH(ROWS($F$2:tblData[[#This Row],[Индекс2]]),tblData[Индекс2],0)),"")</f>
        <v>АО «СО «Талисман»</v>
      </c>
      <c r="I37" t="s">
        <v>1465</v>
      </c>
      <c r="J37" t="b">
        <f>NOT(ISERROR(SEARCH(FILLING!$L$16,tblData_Region[[#This Row],[РЕГИОН]])))</f>
        <v>1</v>
      </c>
      <c r="K37" s="267">
        <f>IF(tblData_Region[[#This Row],[Статус]],COUNTIF($J$2:tblData_Region[[#This Row],[Статус]],TRUE),"")</f>
        <v>36</v>
      </c>
      <c r="L37" t="str">
        <f>IFERROR(INDEX(tblData_Region[РЕГИОН],MATCH(ROWS($K$2:tblData_Region[[#This Row],[Индекс]]),tblData_Region[Индекс],0)),"")</f>
        <v>Новосибирская область</v>
      </c>
    </row>
    <row r="38" spans="1:12" x14ac:dyDescent="0.35">
      <c r="A38" s="67" t="s">
        <v>1692</v>
      </c>
      <c r="B38" s="268" t="b">
        <f>NOT(ISERROR(SEARCH(FILLING!$D$11,tblData[[#This Row],[ФО]])))</f>
        <v>1</v>
      </c>
      <c r="C38" s="268">
        <f>IF(tblData[[#This Row],[Статус]],COUNTIF($B$2:tblData[[#This Row],[Статус]],TRUE),"")</f>
        <v>37</v>
      </c>
      <c r="D38" s="269" t="str">
        <f>IFERROR(INDEX(tblData[ФО],MATCH(ROWS($C$2:tblData[[#This Row],[Индекс]]),tblData[Индекс],0)),"")</f>
        <v>ООО «Зетта Страхование»</v>
      </c>
      <c r="E38" t="b">
        <f>NOT(ISERROR(SEARCH(FILLING!$D$15,tblData[[#This Row],[ФО]])))</f>
        <v>1</v>
      </c>
      <c r="F38" s="267">
        <f>IF(tblData[[#This Row],[Статус2]],COUNTIF($E$2:tblData[[#This Row],[Статус2]],TRUE),"")</f>
        <v>37</v>
      </c>
      <c r="G38" t="str">
        <f>IFERROR(INDEX(tblData[ФО],MATCH(ROWS($F$2:tblData[[#This Row],[Индекс2]]),tblData[Индекс2],0)),"")</f>
        <v>ООО «Зетта Страхование»</v>
      </c>
      <c r="I38" t="s">
        <v>1466</v>
      </c>
      <c r="J38" t="b">
        <f>NOT(ISERROR(SEARCH(FILLING!$L$16,tblData_Region[[#This Row],[РЕГИОН]])))</f>
        <v>1</v>
      </c>
      <c r="K38" s="267">
        <f>IF(tblData_Region[[#This Row],[Статус]],COUNTIF($J$2:tblData_Region[[#This Row],[Статус]],TRUE),"")</f>
        <v>37</v>
      </c>
      <c r="L38" t="str">
        <f>IFERROR(INDEX(tblData_Region[РЕГИОН],MATCH(ROWS($K$2:tblData_Region[[#This Row],[Индекс]]),tblData_Region[Индекс],0)),"")</f>
        <v>Омская область</v>
      </c>
    </row>
    <row r="39" spans="1:12" x14ac:dyDescent="0.35">
      <c r="A39" s="67" t="s">
        <v>1699</v>
      </c>
      <c r="B39" s="268" t="b">
        <f>NOT(ISERROR(SEARCH(FILLING!$D$11,tblData[[#This Row],[ФО]])))</f>
        <v>1</v>
      </c>
      <c r="C39" s="268">
        <f>IF(tblData[[#This Row],[Статус]],COUNTIF($B$2:tblData[[#This Row],[Статус]],TRUE),"")</f>
        <v>38</v>
      </c>
      <c r="D39" s="269" t="str">
        <f>IFERROR(INDEX(tblData[ФО],MATCH(ROWS($C$2:tblData[[#This Row],[Индекс]]),tblData[Индекс],0)),"")</f>
        <v>АО СК «Сибирский спас»</v>
      </c>
      <c r="E39" t="b">
        <f>NOT(ISERROR(SEARCH(FILLING!$D$15,tblData[[#This Row],[ФО]])))</f>
        <v>1</v>
      </c>
      <c r="F39" s="267">
        <f>IF(tblData[[#This Row],[Статус2]],COUNTIF($E$2:tblData[[#This Row],[Статус2]],TRUE),"")</f>
        <v>38</v>
      </c>
      <c r="G39" t="str">
        <f>IFERROR(INDEX(tblData[ФО],MATCH(ROWS($F$2:tblData[[#This Row],[Индекс2]]),tblData[Индекс2],0)),"")</f>
        <v>АО СК «Сибирский спас»</v>
      </c>
      <c r="I39" t="s">
        <v>1467</v>
      </c>
      <c r="J39" t="b">
        <f>NOT(ISERROR(SEARCH(FILLING!$L$16,tblData_Region[[#This Row],[РЕГИОН]])))</f>
        <v>1</v>
      </c>
      <c r="K39" s="267">
        <f>IF(tblData_Region[[#This Row],[Статус]],COUNTIF($J$2:tblData_Region[[#This Row],[Статус]],TRUE),"")</f>
        <v>38</v>
      </c>
      <c r="L39" t="str">
        <f>IFERROR(INDEX(tblData_Region[РЕГИОН],MATCH(ROWS($K$2:tblData_Region[[#This Row],[Индекс]]),tblData_Region[Индекс],0)),"")</f>
        <v>Оренбургская область</v>
      </c>
    </row>
    <row r="40" spans="1:12" x14ac:dyDescent="0.35">
      <c r="A40" t="s">
        <v>1866</v>
      </c>
      <c r="B40" s="268" t="b">
        <f>NOT(ISERROR(SEARCH(FILLING!$D$11,tblData[[#This Row],[ФО]])))</f>
        <v>1</v>
      </c>
      <c r="C40" s="268">
        <f>IF(tblData[[#This Row],[Статус]],COUNTIF($B$2:tblData[[#This Row],[Статус]],TRUE),"")</f>
        <v>39</v>
      </c>
      <c r="D40" s="269" t="str">
        <f>IFERROR(INDEX(tblData[ФО],MATCH(ROWS($C$2:tblData[[#This Row],[Индекс]]),tblData[Индекс],0)),"")</f>
        <v>АО Страховое общество «Якорь»</v>
      </c>
      <c r="E40" t="b">
        <f>NOT(ISERROR(SEARCH(FILLING!$D$15,tblData[[#This Row],[ФО]])))</f>
        <v>1</v>
      </c>
      <c r="F40" s="267">
        <f>IF(tblData[[#This Row],[Статус2]],COUNTIF($E$2:tblData[[#This Row],[Статус2]],TRUE),"")</f>
        <v>39</v>
      </c>
      <c r="G40" t="str">
        <f>IFERROR(INDEX(tblData[ФО],MATCH(ROWS($F$2:tblData[[#This Row],[Индекс2]]),tblData[Индекс2],0)),"")</f>
        <v>АО Страховое общество «Якорь»</v>
      </c>
      <c r="I40" t="s">
        <v>1468</v>
      </c>
      <c r="J40" t="b">
        <f>NOT(ISERROR(SEARCH(FILLING!$L$16,tblData_Region[[#This Row],[РЕГИОН]])))</f>
        <v>1</v>
      </c>
      <c r="K40" s="267">
        <f>IF(tblData_Region[[#This Row],[Статус]],COUNTIF($J$2:tblData_Region[[#This Row],[Статус]],TRUE),"")</f>
        <v>39</v>
      </c>
      <c r="L40" t="str">
        <f>IFERROR(INDEX(tblData_Region[РЕГИОН],MATCH(ROWS($K$2:tblData_Region[[#This Row],[Индекс]]),tblData_Region[Индекс],0)),"")</f>
        <v>Орловская область</v>
      </c>
    </row>
    <row r="41" spans="1:12" x14ac:dyDescent="0.35">
      <c r="A41" t="s">
        <v>1230</v>
      </c>
      <c r="B41" s="268" t="b">
        <f>NOT(ISERROR(SEARCH(FILLING!$D$11,tblData[[#This Row],[ФО]])))</f>
        <v>1</v>
      </c>
      <c r="C41" s="268">
        <f>IF(tblData[[#This Row],[Статус]],COUNTIF($B$2:tblData[[#This Row],[Статус]],TRUE),"")</f>
        <v>40</v>
      </c>
      <c r="D41" s="269" t="str">
        <f>IFERROR(INDEX(tblData[ФО],MATCH(ROWS($C$2:tblData[[#This Row],[Индекс]]),tblData[Индекс],0)),"")</f>
        <v>АО СГ «Спасские ворота»</v>
      </c>
      <c r="E41" t="b">
        <f>NOT(ISERROR(SEARCH(FILLING!$D$15,tblData[[#This Row],[ФО]])))</f>
        <v>1</v>
      </c>
      <c r="F41" s="267">
        <f>IF(tblData[[#This Row],[Статус2]],COUNTIF($E$2:tblData[[#This Row],[Статус2]],TRUE),"")</f>
        <v>40</v>
      </c>
      <c r="G41" t="str">
        <f>IFERROR(INDEX(tblData[ФО],MATCH(ROWS($F$2:tblData[[#This Row],[Индекс2]]),tblData[Индекс2],0)),"")</f>
        <v>АО СГ «Спасские ворота»</v>
      </c>
      <c r="I41" t="s">
        <v>1469</v>
      </c>
      <c r="J41" t="b">
        <f>NOT(ISERROR(SEARCH(FILLING!$L$16,tblData_Region[[#This Row],[РЕГИОН]])))</f>
        <v>1</v>
      </c>
      <c r="K41" s="267">
        <f>IF(tblData_Region[[#This Row],[Статус]],COUNTIF($J$2:tblData_Region[[#This Row],[Статус]],TRUE),"")</f>
        <v>40</v>
      </c>
      <c r="L41" t="str">
        <f>IFERROR(INDEX(tblData_Region[РЕГИОН],MATCH(ROWS($K$2:tblData_Region[[#This Row],[Индекс]]),tblData_Region[Индекс],0)),"")</f>
        <v>Пензенская область</v>
      </c>
    </row>
    <row r="42" spans="1:12" x14ac:dyDescent="0.35">
      <c r="A42" t="s">
        <v>1875</v>
      </c>
      <c r="B42" s="268" t="b">
        <f>NOT(ISERROR(SEARCH(FILLING!$D$11,tblData[[#This Row],[ФО]])))</f>
        <v>1</v>
      </c>
      <c r="C42" s="268">
        <f>IF(tblData[[#This Row],[Статус]],COUNTIF($B$2:tblData[[#This Row],[Статус]],TRUE),"")</f>
        <v>41</v>
      </c>
      <c r="D42" s="269" t="str">
        <f>IFERROR(INDEX(tblData[ФО],MATCH(ROWS($C$2:tblData[[#This Row],[Индекс]]),tblData[Индекс],0)),"")</f>
        <v>АО «СК ОПОРА»</v>
      </c>
      <c r="E42" t="b">
        <f>NOT(ISERROR(SEARCH(FILLING!$D$15,tblData[[#This Row],[ФО]])))</f>
        <v>1</v>
      </c>
      <c r="F42" s="267">
        <f>IF(tblData[[#This Row],[Статус2]],COUNTIF($E$2:tblData[[#This Row],[Статус2]],TRUE),"")</f>
        <v>41</v>
      </c>
      <c r="G42" t="str">
        <f>IFERROR(INDEX(tblData[ФО],MATCH(ROWS($F$2:tblData[[#This Row],[Индекс2]]),tblData[Индекс2],0)),"")</f>
        <v>АО «СК ОПОРА»</v>
      </c>
      <c r="I42" t="s">
        <v>1470</v>
      </c>
      <c r="J42" t="b">
        <f>NOT(ISERROR(SEARCH(FILLING!$L$16,tblData_Region[[#This Row],[РЕГИОН]])))</f>
        <v>1</v>
      </c>
      <c r="K42" s="267">
        <f>IF(tblData_Region[[#This Row],[Статус]],COUNTIF($J$2:tblData_Region[[#This Row],[Статус]],TRUE),"")</f>
        <v>41</v>
      </c>
      <c r="L42" t="str">
        <f>IFERROR(INDEX(tblData_Region[РЕГИОН],MATCH(ROWS($K$2:tblData_Region[[#This Row],[Индекс]]),tblData_Region[Индекс],0)),"")</f>
        <v>Пермский край</v>
      </c>
    </row>
    <row r="43" spans="1:12" x14ac:dyDescent="0.35">
      <c r="B43" s="268" t="b">
        <f>NOT(ISERROR(SEARCH(FILLING!$D$11,tblData[[#This Row],[ФО]])))</f>
        <v>0</v>
      </c>
      <c r="C43" s="268" t="str">
        <f>IF(tblData[[#This Row],[Статус]],COUNTIF($B$2:tblData[[#This Row],[Статус]],TRUE),"")</f>
        <v/>
      </c>
      <c r="D43" s="269" t="str">
        <f>IFERROR(INDEX(tblData[ФО],MATCH(ROWS($C$2:tblData[[#This Row],[Индекс]]),tblData[Индекс],0)),"")</f>
        <v/>
      </c>
      <c r="E43" t="b">
        <f>NOT(ISERROR(SEARCH(FILLING!$D$15,tblData[[#This Row],[ФО]])))</f>
        <v>0</v>
      </c>
      <c r="F43" s="267" t="str">
        <f>IF(tblData[[#This Row],[Статус2]],COUNTIF($E$2:tblData[[#This Row],[Статус2]],TRUE),"")</f>
        <v/>
      </c>
      <c r="G43" t="str">
        <f>IFERROR(INDEX(tblData[ФО],MATCH(ROWS($F$2:tblData[[#This Row],[Индекс2]]),tblData[Индекс2],0)),"")</f>
        <v/>
      </c>
      <c r="I43" t="s">
        <v>1471</v>
      </c>
      <c r="J43" t="b">
        <f>NOT(ISERROR(SEARCH(FILLING!$L$16,tblData_Region[[#This Row],[РЕГИОН]])))</f>
        <v>1</v>
      </c>
      <c r="K43" s="267">
        <f>IF(tblData_Region[[#This Row],[Статус]],COUNTIF($J$2:tblData_Region[[#This Row],[Статус]],TRUE),"")</f>
        <v>42</v>
      </c>
      <c r="L43" t="str">
        <f>IFERROR(INDEX(tblData_Region[РЕГИОН],MATCH(ROWS($K$2:tblData_Region[[#This Row],[Индекс]]),tblData_Region[Индекс],0)),"")</f>
        <v>Приморский край</v>
      </c>
    </row>
    <row r="44" spans="1:12" x14ac:dyDescent="0.35">
      <c r="B44" s="268" t="b">
        <f>NOT(ISERROR(SEARCH(FILLING!$D$11,tblData[[#This Row],[ФО]])))</f>
        <v>0</v>
      </c>
      <c r="C44" s="268" t="str">
        <f>IF(tblData[[#This Row],[Статус]],COUNTIF($B$2:tblData[[#This Row],[Статус]],TRUE),"")</f>
        <v/>
      </c>
      <c r="D44" s="269" t="str">
        <f>IFERROR(INDEX(tblData[ФО],MATCH(ROWS($C$2:tblData[[#This Row],[Индекс]]),tblData[Индекс],0)),"")</f>
        <v/>
      </c>
      <c r="E44" t="b">
        <f>NOT(ISERROR(SEARCH(FILLING!$D$15,tblData[[#This Row],[ФО]])))</f>
        <v>0</v>
      </c>
      <c r="F44" s="267" t="str">
        <f>IF(tblData[[#This Row],[Статус2]],COUNTIF($E$2:tblData[[#This Row],[Статус2]],TRUE),"")</f>
        <v/>
      </c>
      <c r="G44" t="str">
        <f>IFERROR(INDEX(tblData[ФО],MATCH(ROWS($F$2:tblData[[#This Row],[Индекс2]]),tblData[Индекс2],0)),"")</f>
        <v/>
      </c>
      <c r="I44" t="s">
        <v>1472</v>
      </c>
      <c r="J44" t="b">
        <f>NOT(ISERROR(SEARCH(FILLING!$L$16,tblData_Region[[#This Row],[РЕГИОН]])))</f>
        <v>1</v>
      </c>
      <c r="K44" s="267">
        <f>IF(tblData_Region[[#This Row],[Статус]],COUNTIF($J$2:tblData_Region[[#This Row],[Статус]],TRUE),"")</f>
        <v>43</v>
      </c>
      <c r="L44" t="str">
        <f>IFERROR(INDEX(tblData_Region[РЕГИОН],MATCH(ROWS($K$2:tblData_Region[[#This Row],[Индекс]]),tblData_Region[Индекс],0)),"")</f>
        <v>Псковская область</v>
      </c>
    </row>
    <row r="45" spans="1:12" x14ac:dyDescent="0.35">
      <c r="B45" s="268" t="b">
        <f>NOT(ISERROR(SEARCH(FILLING!$D$11,tblData[[#This Row],[ФО]])))</f>
        <v>0</v>
      </c>
      <c r="C45" s="268" t="str">
        <f>IF(tblData[[#This Row],[Статус]],COUNTIF($B$2:tblData[[#This Row],[Статус]],TRUE),"")</f>
        <v/>
      </c>
      <c r="D45" s="269" t="str">
        <f>IFERROR(INDEX(tblData[ФО],MATCH(ROWS($C$2:tblData[[#This Row],[Индекс]]),tblData[Индекс],0)),"")</f>
        <v/>
      </c>
      <c r="E45" t="b">
        <f>NOT(ISERROR(SEARCH(FILLING!$D$15,tblData[[#This Row],[ФО]])))</f>
        <v>0</v>
      </c>
      <c r="F45" s="267" t="str">
        <f>IF(tblData[[#This Row],[Статус2]],COUNTIF($E$2:tblData[[#This Row],[Статус2]],TRUE),"")</f>
        <v/>
      </c>
      <c r="G45" t="str">
        <f>IFERROR(INDEX(tblData[ФО],MATCH(ROWS($F$2:tblData[[#This Row],[Индекс2]]),tblData[Индекс2],0)),"")</f>
        <v/>
      </c>
      <c r="I45" t="s">
        <v>1473</v>
      </c>
      <c r="J45" t="b">
        <f>NOT(ISERROR(SEARCH(FILLING!$L$16,tblData_Region[[#This Row],[РЕГИОН]])))</f>
        <v>1</v>
      </c>
      <c r="K45" s="267">
        <f>IF(tblData_Region[[#This Row],[Статус]],COUNTIF($J$2:tblData_Region[[#This Row],[Статус]],TRUE),"")</f>
        <v>44</v>
      </c>
      <c r="L45" t="str">
        <f>IFERROR(INDEX(tblData_Region[РЕГИОН],MATCH(ROWS($K$2:tblData_Region[[#This Row],[Индекс]]),tblData_Region[Индекс],0)),"")</f>
        <v>Республика Адыгея (Адыгея)</v>
      </c>
    </row>
    <row r="46" spans="1:12" x14ac:dyDescent="0.35">
      <c r="B46" s="268" t="b">
        <f>NOT(ISERROR(SEARCH(FILLING!$D$11,tblData[[#This Row],[ФО]])))</f>
        <v>0</v>
      </c>
      <c r="C46" s="268" t="str">
        <f>IF(tblData[[#This Row],[Статус]],COUNTIF($B$2:tblData[[#This Row],[Статус]],TRUE),"")</f>
        <v/>
      </c>
      <c r="D46" s="269" t="str">
        <f>IFERROR(INDEX(tblData[ФО],MATCH(ROWS($C$2:tblData[[#This Row],[Индекс]]),tblData[Индекс],0)),"")</f>
        <v/>
      </c>
      <c r="E46" t="b">
        <f>NOT(ISERROR(SEARCH(FILLING!$D$15,tblData[[#This Row],[ФО]])))</f>
        <v>0</v>
      </c>
      <c r="F46" s="267" t="str">
        <f>IF(tblData[[#This Row],[Статус2]],COUNTIF($E$2:tblData[[#This Row],[Статус2]],TRUE),"")</f>
        <v/>
      </c>
      <c r="G46" t="str">
        <f>IFERROR(INDEX(tblData[ФО],MATCH(ROWS($F$2:tblData[[#This Row],[Индекс2]]),tblData[Индекс2],0)),"")</f>
        <v/>
      </c>
      <c r="I46" t="s">
        <v>1474</v>
      </c>
      <c r="J46" t="b">
        <f>NOT(ISERROR(SEARCH(FILLING!$L$16,tblData_Region[[#This Row],[РЕГИОН]])))</f>
        <v>1</v>
      </c>
      <c r="K46" s="267">
        <f>IF(tblData_Region[[#This Row],[Статус]],COUNTIF($J$2:tblData_Region[[#This Row],[Статус]],TRUE),"")</f>
        <v>45</v>
      </c>
      <c r="L46" t="str">
        <f>IFERROR(INDEX(tblData_Region[РЕГИОН],MATCH(ROWS($K$2:tblData_Region[[#This Row],[Индекс]]),tblData_Region[Индекс],0)),"")</f>
        <v>Республика Алтай</v>
      </c>
    </row>
    <row r="47" spans="1:12" x14ac:dyDescent="0.35">
      <c r="B47" s="268" t="b">
        <f>NOT(ISERROR(SEARCH(FILLING!$D$11,tblData[[#This Row],[ФО]])))</f>
        <v>0</v>
      </c>
      <c r="C47" s="268" t="str">
        <f>IF(tblData[[#This Row],[Статус]],COUNTIF($B$2:tblData[[#This Row],[Статус]],TRUE),"")</f>
        <v/>
      </c>
      <c r="D47" s="269" t="str">
        <f>IFERROR(INDEX(tblData[ФО],MATCH(ROWS($C$2:tblData[[#This Row],[Индекс]]),tblData[Индекс],0)),"")</f>
        <v/>
      </c>
      <c r="E47" t="b">
        <f>NOT(ISERROR(SEARCH(FILLING!$D$15,tblData[[#This Row],[ФО]])))</f>
        <v>0</v>
      </c>
      <c r="F47" s="267" t="str">
        <f>IF(tblData[[#This Row],[Статус2]],COUNTIF($E$2:tblData[[#This Row],[Статус2]],TRUE),"")</f>
        <v/>
      </c>
      <c r="G47" t="str">
        <f>IFERROR(INDEX(tblData[ФО],MATCH(ROWS($F$2:tblData[[#This Row],[Индекс2]]),tblData[Индекс2],0)),"")</f>
        <v/>
      </c>
      <c r="I47" t="s">
        <v>1475</v>
      </c>
      <c r="J47" t="b">
        <f>NOT(ISERROR(SEARCH(FILLING!$L$16,tblData_Region[[#This Row],[РЕГИОН]])))</f>
        <v>1</v>
      </c>
      <c r="K47" s="267">
        <f>IF(tblData_Region[[#This Row],[Статус]],COUNTIF($J$2:tblData_Region[[#This Row],[Статус]],TRUE),"")</f>
        <v>46</v>
      </c>
      <c r="L47" t="str">
        <f>IFERROR(INDEX(tblData_Region[РЕГИОН],MATCH(ROWS($K$2:tblData_Region[[#This Row],[Индекс]]),tblData_Region[Индекс],0)),"")</f>
        <v>Республика Башкортостан</v>
      </c>
    </row>
    <row r="48" spans="1:12" x14ac:dyDescent="0.35">
      <c r="B48" s="268" t="b">
        <f>NOT(ISERROR(SEARCH(FILLING!$D$11,tblData[[#This Row],[ФО]])))</f>
        <v>0</v>
      </c>
      <c r="C48" s="268" t="str">
        <f>IF(tblData[[#This Row],[Статус]],COUNTIF($B$2:tblData[[#This Row],[Статус]],TRUE),"")</f>
        <v/>
      </c>
      <c r="D48" s="269" t="str">
        <f>IFERROR(INDEX(tblData[ФО],MATCH(ROWS($C$2:tblData[[#This Row],[Индекс]]),tblData[Индекс],0)),"")</f>
        <v/>
      </c>
      <c r="E48" t="b">
        <f>NOT(ISERROR(SEARCH(FILLING!$D$15,tblData[[#This Row],[ФО]])))</f>
        <v>0</v>
      </c>
      <c r="F48" s="267" t="str">
        <f>IF(tblData[[#This Row],[Статус2]],COUNTIF($E$2:tblData[[#This Row],[Статус2]],TRUE),"")</f>
        <v/>
      </c>
      <c r="G48" t="str">
        <f>IFERROR(INDEX(tblData[ФО],MATCH(ROWS($F$2:tblData[[#This Row],[Индекс2]]),tblData[Индекс2],0)),"")</f>
        <v/>
      </c>
      <c r="I48" t="s">
        <v>1476</v>
      </c>
      <c r="J48" t="b">
        <f>NOT(ISERROR(SEARCH(FILLING!$L$16,tblData_Region[[#This Row],[РЕГИОН]])))</f>
        <v>1</v>
      </c>
      <c r="K48" s="267">
        <f>IF(tblData_Region[[#This Row],[Статус]],COUNTIF($J$2:tblData_Region[[#This Row],[Статус]],TRUE),"")</f>
        <v>47</v>
      </c>
      <c r="L48" t="str">
        <f>IFERROR(INDEX(tblData_Region[РЕГИОН],MATCH(ROWS($K$2:tblData_Region[[#This Row],[Индекс]]),tblData_Region[Индекс],0)),"")</f>
        <v>Республика Бурятия</v>
      </c>
    </row>
    <row r="49" spans="2:12" x14ac:dyDescent="0.35">
      <c r="B49" s="268" t="b">
        <f>NOT(ISERROR(SEARCH(FILLING!$D$11,tblData[[#This Row],[ФО]])))</f>
        <v>0</v>
      </c>
      <c r="C49" s="268" t="str">
        <f>IF(tblData[[#This Row],[Статус]],COUNTIF($B$2:tblData[[#This Row],[Статус]],TRUE),"")</f>
        <v/>
      </c>
      <c r="D49" s="269" t="str">
        <f>IFERROR(INDEX(tblData[ФО],MATCH(ROWS($C$2:tblData[[#This Row],[Индекс]]),tblData[Индекс],0)),"")</f>
        <v/>
      </c>
      <c r="E49" t="b">
        <f>NOT(ISERROR(SEARCH(FILLING!$D$15,tblData[[#This Row],[ФО]])))</f>
        <v>0</v>
      </c>
      <c r="F49" s="267" t="str">
        <f>IF(tblData[[#This Row],[Статус2]],COUNTIF($E$2:tblData[[#This Row],[Статус2]],TRUE),"")</f>
        <v/>
      </c>
      <c r="G49" t="str">
        <f>IFERROR(INDEX(tblData[ФО],MATCH(ROWS($F$2:tblData[[#This Row],[Индекс2]]),tblData[Индекс2],0)),"")</f>
        <v/>
      </c>
      <c r="I49" t="s">
        <v>1477</v>
      </c>
      <c r="J49" t="b">
        <f>NOT(ISERROR(SEARCH(FILLING!$L$16,tblData_Region[[#This Row],[РЕГИОН]])))</f>
        <v>1</v>
      </c>
      <c r="K49" s="267">
        <f>IF(tblData_Region[[#This Row],[Статус]],COUNTIF($J$2:tblData_Region[[#This Row],[Статус]],TRUE),"")</f>
        <v>48</v>
      </c>
      <c r="L49" t="str">
        <f>IFERROR(INDEX(tblData_Region[РЕГИОН],MATCH(ROWS($K$2:tblData_Region[[#This Row],[Индекс]]),tblData_Region[Индекс],0)),"")</f>
        <v>Республика Дагестан</v>
      </c>
    </row>
    <row r="50" spans="2:12" x14ac:dyDescent="0.35">
      <c r="B50" s="268" t="b">
        <f>NOT(ISERROR(SEARCH(FILLING!$D$11,tblData[[#This Row],[ФО]])))</f>
        <v>0</v>
      </c>
      <c r="C50" s="268" t="str">
        <f>IF(tblData[[#This Row],[Статус]],COUNTIF($B$2:tblData[[#This Row],[Статус]],TRUE),"")</f>
        <v/>
      </c>
      <c r="D50" s="269" t="str">
        <f>IFERROR(INDEX(tblData[ФО],MATCH(ROWS($C$2:tblData[[#This Row],[Индекс]]),tblData[Индекс],0)),"")</f>
        <v/>
      </c>
      <c r="E50" t="b">
        <f>NOT(ISERROR(SEARCH(FILLING!$D$15,tblData[[#This Row],[ФО]])))</f>
        <v>0</v>
      </c>
      <c r="F50" s="267" t="str">
        <f>IF(tblData[[#This Row],[Статус2]],COUNTIF($E$2:tblData[[#This Row],[Статус2]],TRUE),"")</f>
        <v/>
      </c>
      <c r="G50" t="str">
        <f>IFERROR(INDEX(tblData[ФО],MATCH(ROWS($F$2:tblData[[#This Row],[Индекс2]]),tblData[Индекс2],0)),"")</f>
        <v/>
      </c>
      <c r="I50" t="s">
        <v>1478</v>
      </c>
      <c r="J50" t="b">
        <f>NOT(ISERROR(SEARCH(FILLING!$L$16,tblData_Region[[#This Row],[РЕГИОН]])))</f>
        <v>1</v>
      </c>
      <c r="K50" s="267">
        <f>IF(tblData_Region[[#This Row],[Статус]],COUNTIF($J$2:tblData_Region[[#This Row],[Статус]],TRUE),"")</f>
        <v>49</v>
      </c>
      <c r="L50" t="str">
        <f>IFERROR(INDEX(tblData_Region[РЕГИОН],MATCH(ROWS($K$2:tblData_Region[[#This Row],[Индекс]]),tblData_Region[Индекс],0)),"")</f>
        <v>Республика Ингушетия</v>
      </c>
    </row>
    <row r="51" spans="2:12" x14ac:dyDescent="0.35">
      <c r="B51" s="268" t="b">
        <f>NOT(ISERROR(SEARCH(FILLING!$D$11,tblData[[#This Row],[ФО]])))</f>
        <v>0</v>
      </c>
      <c r="C51" s="268" t="str">
        <f>IF(tblData[[#This Row],[Статус]],COUNTIF($B$2:tblData[[#This Row],[Статус]],TRUE),"")</f>
        <v/>
      </c>
      <c r="D51" s="269" t="str">
        <f>IFERROR(INDEX(tblData[ФО],MATCH(ROWS($C$2:tblData[[#This Row],[Индекс]]),tblData[Индекс],0)),"")</f>
        <v/>
      </c>
      <c r="E51" t="b">
        <f>NOT(ISERROR(SEARCH(FILLING!$D$15,tblData[[#This Row],[ФО]])))</f>
        <v>0</v>
      </c>
      <c r="F51" s="267" t="str">
        <f>IF(tblData[[#This Row],[Статус2]],COUNTIF($E$2:tblData[[#This Row],[Статус2]],TRUE),"")</f>
        <v/>
      </c>
      <c r="G51" t="str">
        <f>IFERROR(INDEX(tblData[ФО],MATCH(ROWS($F$2:tblData[[#This Row],[Индекс2]]),tblData[Индекс2],0)),"")</f>
        <v/>
      </c>
      <c r="I51" t="s">
        <v>1479</v>
      </c>
      <c r="J51" t="b">
        <f>NOT(ISERROR(SEARCH(FILLING!$L$16,tblData_Region[[#This Row],[РЕГИОН]])))</f>
        <v>1</v>
      </c>
      <c r="K51" s="267">
        <f>IF(tblData_Region[[#This Row],[Статус]],COUNTIF($J$2:tblData_Region[[#This Row],[Статус]],TRUE),"")</f>
        <v>50</v>
      </c>
      <c r="L51" t="str">
        <f>IFERROR(INDEX(tblData_Region[РЕГИОН],MATCH(ROWS($K$2:tblData_Region[[#This Row],[Индекс]]),tblData_Region[Индекс],0)),"")</f>
        <v>Республика Калмыкия</v>
      </c>
    </row>
    <row r="52" spans="2:12" x14ac:dyDescent="0.35">
      <c r="B52" s="268" t="b">
        <f>NOT(ISERROR(SEARCH(FILLING!$D$11,tblData[[#This Row],[ФО]])))</f>
        <v>0</v>
      </c>
      <c r="C52" s="268" t="str">
        <f>IF(tblData[[#This Row],[Статус]],COUNTIF($B$2:tblData[[#This Row],[Статус]],TRUE),"")</f>
        <v/>
      </c>
      <c r="D52" s="269" t="str">
        <f>IFERROR(INDEX(tblData[ФО],MATCH(ROWS($C$2:tblData[[#This Row],[Индекс]]),tblData[Индекс],0)),"")</f>
        <v/>
      </c>
      <c r="E52" t="b">
        <f>NOT(ISERROR(SEARCH(FILLING!$D$15,tblData[[#This Row],[ФО]])))</f>
        <v>0</v>
      </c>
      <c r="F52" s="267" t="str">
        <f>IF(tblData[[#This Row],[Статус2]],COUNTIF($E$2:tblData[[#This Row],[Статус2]],TRUE),"")</f>
        <v/>
      </c>
      <c r="G52" t="str">
        <f>IFERROR(INDEX(tblData[ФО],MATCH(ROWS($F$2:tblData[[#This Row],[Индекс2]]),tblData[Индекс2],0)),"")</f>
        <v/>
      </c>
      <c r="I52" t="s">
        <v>1480</v>
      </c>
      <c r="J52" t="b">
        <f>NOT(ISERROR(SEARCH(FILLING!$L$16,tblData_Region[[#This Row],[РЕГИОН]])))</f>
        <v>1</v>
      </c>
      <c r="K52" s="267">
        <f>IF(tblData_Region[[#This Row],[Статус]],COUNTIF($J$2:tblData_Region[[#This Row],[Статус]],TRUE),"")</f>
        <v>51</v>
      </c>
      <c r="L52" t="str">
        <f>IFERROR(INDEX(tblData_Region[РЕГИОН],MATCH(ROWS($K$2:tblData_Region[[#This Row],[Индекс]]),tblData_Region[Индекс],0)),"")</f>
        <v>Республика Карелия</v>
      </c>
    </row>
    <row r="53" spans="2:12" x14ac:dyDescent="0.35">
      <c r="B53" s="268" t="b">
        <f>NOT(ISERROR(SEARCH(FILLING!$D$11,tblData[[#This Row],[ФО]])))</f>
        <v>0</v>
      </c>
      <c r="C53" s="268" t="str">
        <f>IF(tblData[[#This Row],[Статус]],COUNTIF($B$2:tblData[[#This Row],[Статус]],TRUE),"")</f>
        <v/>
      </c>
      <c r="D53" s="269" t="str">
        <f>IFERROR(INDEX(tblData[ФО],MATCH(ROWS($C$2:tblData[[#This Row],[Индекс]]),tblData[Индекс],0)),"")</f>
        <v/>
      </c>
      <c r="E53" t="b">
        <f>NOT(ISERROR(SEARCH(FILLING!$D$15,tblData[[#This Row],[ФО]])))</f>
        <v>0</v>
      </c>
      <c r="F53" s="267" t="str">
        <f>IF(tblData[[#This Row],[Статус2]],COUNTIF($E$2:tblData[[#This Row],[Статус2]],TRUE),"")</f>
        <v/>
      </c>
      <c r="G53" t="str">
        <f>IFERROR(INDEX(tblData[ФО],MATCH(ROWS($F$2:tblData[[#This Row],[Индекс2]]),tblData[Индекс2],0)),"")</f>
        <v/>
      </c>
      <c r="I53" t="s">
        <v>1481</v>
      </c>
      <c r="J53" t="b">
        <f>NOT(ISERROR(SEARCH(FILLING!$L$16,tblData_Region[[#This Row],[РЕГИОН]])))</f>
        <v>1</v>
      </c>
      <c r="K53" s="267">
        <f>IF(tblData_Region[[#This Row],[Статус]],COUNTIF($J$2:tblData_Region[[#This Row],[Статус]],TRUE),"")</f>
        <v>52</v>
      </c>
      <c r="L53" t="str">
        <f>IFERROR(INDEX(tblData_Region[РЕГИОН],MATCH(ROWS($K$2:tblData_Region[[#This Row],[Индекс]]),tblData_Region[Индекс],0)),"")</f>
        <v>Республика Коми</v>
      </c>
    </row>
    <row r="54" spans="2:12" x14ac:dyDescent="0.35">
      <c r="B54" s="268" t="b">
        <f>NOT(ISERROR(SEARCH(FILLING!$D$11,tblData[[#This Row],[ФО]])))</f>
        <v>0</v>
      </c>
      <c r="C54" s="268" t="str">
        <f>IF(tblData[[#This Row],[Статус]],COUNTIF($B$2:tblData[[#This Row],[Статус]],TRUE),"")</f>
        <v/>
      </c>
      <c r="D54" s="269" t="str">
        <f>IFERROR(INDEX(tblData[ФО],MATCH(ROWS($C$2:tblData[[#This Row],[Индекс]]),tblData[Индекс],0)),"")</f>
        <v/>
      </c>
      <c r="E54" t="b">
        <f>NOT(ISERROR(SEARCH(FILLING!$D$15,tblData[[#This Row],[ФО]])))</f>
        <v>0</v>
      </c>
      <c r="F54" s="267" t="str">
        <f>IF(tblData[[#This Row],[Статус2]],COUNTIF($E$2:tblData[[#This Row],[Статус2]],TRUE),"")</f>
        <v/>
      </c>
      <c r="G54" t="str">
        <f>IFERROR(INDEX(tblData[ФО],MATCH(ROWS($F$2:tblData[[#This Row],[Индекс2]]),tblData[Индекс2],0)),"")</f>
        <v/>
      </c>
      <c r="I54" t="s">
        <v>1482</v>
      </c>
      <c r="J54" t="b">
        <f>NOT(ISERROR(SEARCH(FILLING!$L$16,tblData_Region[[#This Row],[РЕГИОН]])))</f>
        <v>1</v>
      </c>
      <c r="K54" s="267">
        <f>IF(tblData_Region[[#This Row],[Статус]],COUNTIF($J$2:tblData_Region[[#This Row],[Статус]],TRUE),"")</f>
        <v>53</v>
      </c>
      <c r="L54" t="str">
        <f>IFERROR(INDEX(tblData_Region[РЕГИОН],MATCH(ROWS($K$2:tblData_Region[[#This Row],[Индекс]]),tblData_Region[Индекс],0)),"")</f>
        <v>Республика Крым</v>
      </c>
    </row>
    <row r="55" spans="2:12" x14ac:dyDescent="0.35">
      <c r="B55" s="268" t="b">
        <f>NOT(ISERROR(SEARCH(FILLING!$D$11,tblData[[#This Row],[ФО]])))</f>
        <v>0</v>
      </c>
      <c r="C55" s="268" t="str">
        <f>IF(tblData[[#This Row],[Статус]],COUNTIF($B$2:tblData[[#This Row],[Статус]],TRUE),"")</f>
        <v/>
      </c>
      <c r="D55" s="269" t="str">
        <f>IFERROR(INDEX(tblData[ФО],MATCH(ROWS($C$2:tblData[[#This Row],[Индекс]]),tblData[Индекс],0)),"")</f>
        <v/>
      </c>
      <c r="E55" t="b">
        <f>NOT(ISERROR(SEARCH(FILLING!$D$15,tblData[[#This Row],[ФО]])))</f>
        <v>0</v>
      </c>
      <c r="F55" s="267" t="str">
        <f>IF(tblData[[#This Row],[Статус2]],COUNTIF($E$2:tblData[[#This Row],[Статус2]],TRUE),"")</f>
        <v/>
      </c>
      <c r="G55" t="str">
        <f>IFERROR(INDEX(tblData[ФО],MATCH(ROWS($F$2:tblData[[#This Row],[Индекс2]]),tblData[Индекс2],0)),"")</f>
        <v/>
      </c>
      <c r="I55" t="s">
        <v>1483</v>
      </c>
      <c r="J55" t="b">
        <f>NOT(ISERROR(SEARCH(FILLING!$L$16,tblData_Region[[#This Row],[РЕГИОН]])))</f>
        <v>1</v>
      </c>
      <c r="K55" s="267">
        <f>IF(tblData_Region[[#This Row],[Статус]],COUNTIF($J$2:tblData_Region[[#This Row],[Статус]],TRUE),"")</f>
        <v>54</v>
      </c>
      <c r="L55" t="str">
        <f>IFERROR(INDEX(tblData_Region[РЕГИОН],MATCH(ROWS($K$2:tblData_Region[[#This Row],[Индекс]]),tblData_Region[Индекс],0)),"")</f>
        <v>Республика Марий Эл</v>
      </c>
    </row>
    <row r="56" spans="2:12" x14ac:dyDescent="0.35">
      <c r="B56" s="268" t="b">
        <f>NOT(ISERROR(SEARCH(FILLING!$D$11,tblData[[#This Row],[ФО]])))</f>
        <v>0</v>
      </c>
      <c r="C56" s="268" t="str">
        <f>IF(tblData[[#This Row],[Статус]],COUNTIF($B$2:tblData[[#This Row],[Статус]],TRUE),"")</f>
        <v/>
      </c>
      <c r="D56" s="269" t="str">
        <f>IFERROR(INDEX(tblData[ФО],MATCH(ROWS($C$2:tblData[[#This Row],[Индекс]]),tblData[Индекс],0)),"")</f>
        <v/>
      </c>
      <c r="E56" t="b">
        <f>NOT(ISERROR(SEARCH(FILLING!$D$15,tblData[[#This Row],[ФО]])))</f>
        <v>0</v>
      </c>
      <c r="F56" s="267" t="str">
        <f>IF(tblData[[#This Row],[Статус2]],COUNTIF($E$2:tblData[[#This Row],[Статус2]],TRUE),"")</f>
        <v/>
      </c>
      <c r="G56" t="str">
        <f>IFERROR(INDEX(tblData[ФО],MATCH(ROWS($F$2:tblData[[#This Row],[Индекс2]]),tblData[Индекс2],0)),"")</f>
        <v/>
      </c>
      <c r="I56" t="s">
        <v>1484</v>
      </c>
      <c r="J56" t="b">
        <f>NOT(ISERROR(SEARCH(FILLING!$L$16,tblData_Region[[#This Row],[РЕГИОН]])))</f>
        <v>1</v>
      </c>
      <c r="K56" s="267">
        <f>IF(tblData_Region[[#This Row],[Статус]],COUNTIF($J$2:tblData_Region[[#This Row],[Статус]],TRUE),"")</f>
        <v>55</v>
      </c>
      <c r="L56" t="str">
        <f>IFERROR(INDEX(tblData_Region[РЕГИОН],MATCH(ROWS($K$2:tblData_Region[[#This Row],[Индекс]]),tblData_Region[Индекс],0)),"")</f>
        <v>Республика Мордовия</v>
      </c>
    </row>
    <row r="57" spans="2:12" x14ac:dyDescent="0.35">
      <c r="B57" s="268" t="b">
        <f>NOT(ISERROR(SEARCH(FILLING!$D$11,tblData[[#This Row],[ФО]])))</f>
        <v>0</v>
      </c>
      <c r="C57" s="268" t="str">
        <f>IF(tblData[[#This Row],[Статус]],COUNTIF($B$2:tblData[[#This Row],[Статус]],TRUE),"")</f>
        <v/>
      </c>
      <c r="D57" s="269" t="str">
        <f>IFERROR(INDEX(tblData[ФО],MATCH(ROWS($C$2:tblData[[#This Row],[Индекс]]),tblData[Индекс],0)),"")</f>
        <v/>
      </c>
      <c r="E57" t="b">
        <f>NOT(ISERROR(SEARCH(FILLING!$D$15,tblData[[#This Row],[ФО]])))</f>
        <v>0</v>
      </c>
      <c r="F57" s="267" t="str">
        <f>IF(tblData[[#This Row],[Статус2]],COUNTIF($E$2:tblData[[#This Row],[Статус2]],TRUE),"")</f>
        <v/>
      </c>
      <c r="G57" t="str">
        <f>IFERROR(INDEX(tblData[ФО],MATCH(ROWS($F$2:tblData[[#This Row],[Индекс2]]),tblData[Индекс2],0)),"")</f>
        <v/>
      </c>
      <c r="I57" t="s">
        <v>1485</v>
      </c>
      <c r="J57" t="b">
        <f>NOT(ISERROR(SEARCH(FILLING!$L$16,tblData_Region[[#This Row],[РЕГИОН]])))</f>
        <v>1</v>
      </c>
      <c r="K57" s="267">
        <f>IF(tblData_Region[[#This Row],[Статус]],COUNTIF($J$2:tblData_Region[[#This Row],[Статус]],TRUE),"")</f>
        <v>56</v>
      </c>
      <c r="L57" t="str">
        <f>IFERROR(INDEX(tblData_Region[РЕГИОН],MATCH(ROWS($K$2:tblData_Region[[#This Row],[Индекс]]),tblData_Region[Индекс],0)),"")</f>
        <v>Республика Саха (Якутия)</v>
      </c>
    </row>
    <row r="58" spans="2:12" x14ac:dyDescent="0.35">
      <c r="B58" s="268" t="b">
        <f>NOT(ISERROR(SEARCH(FILLING!$D$11,tblData[[#This Row],[ФО]])))</f>
        <v>0</v>
      </c>
      <c r="C58" s="268" t="str">
        <f>IF(tblData[[#This Row],[Статус]],COUNTIF($B$2:tblData[[#This Row],[Статус]],TRUE),"")</f>
        <v/>
      </c>
      <c r="D58" s="269" t="str">
        <f>IFERROR(INDEX(tblData[ФО],MATCH(ROWS($C$2:tblData[[#This Row],[Индекс]]),tblData[Индекс],0)),"")</f>
        <v/>
      </c>
      <c r="E58" t="b">
        <f>NOT(ISERROR(SEARCH(FILLING!$D$15,tblData[[#This Row],[ФО]])))</f>
        <v>0</v>
      </c>
      <c r="F58" s="267" t="str">
        <f>IF(tblData[[#This Row],[Статус2]],COUNTIF($E$2:tblData[[#This Row],[Статус2]],TRUE),"")</f>
        <v/>
      </c>
      <c r="G58" t="str">
        <f>IFERROR(INDEX(tblData[ФО],MATCH(ROWS($F$2:tblData[[#This Row],[Индекс2]]),tblData[Индекс2],0)),"")</f>
        <v/>
      </c>
      <c r="I58" t="s">
        <v>1486</v>
      </c>
      <c r="J58" t="b">
        <f>NOT(ISERROR(SEARCH(FILLING!$L$16,tblData_Region[[#This Row],[РЕГИОН]])))</f>
        <v>1</v>
      </c>
      <c r="K58" s="267">
        <f>IF(tblData_Region[[#This Row],[Статус]],COUNTIF($J$2:tblData_Region[[#This Row],[Статус]],TRUE),"")</f>
        <v>57</v>
      </c>
      <c r="L58" t="str">
        <f>IFERROR(INDEX(tblData_Region[РЕГИОН],MATCH(ROWS($K$2:tblData_Region[[#This Row],[Индекс]]),tblData_Region[Индекс],0)),"")</f>
        <v>Республика Северная Осетия - Алания</v>
      </c>
    </row>
    <row r="59" spans="2:12" x14ac:dyDescent="0.35">
      <c r="B59" s="268" t="b">
        <f>NOT(ISERROR(SEARCH(FILLING!$D$11,tblData[[#This Row],[ФО]])))</f>
        <v>0</v>
      </c>
      <c r="C59" s="268" t="str">
        <f>IF(tblData[[#This Row],[Статус]],COUNTIF($B$2:tblData[[#This Row],[Статус]],TRUE),"")</f>
        <v/>
      </c>
      <c r="D59" s="269" t="str">
        <f>IFERROR(INDEX(tblData[ФО],MATCH(ROWS($C$2:tblData[[#This Row],[Индекс]]),tblData[Индекс],0)),"")</f>
        <v/>
      </c>
      <c r="E59" t="b">
        <f>NOT(ISERROR(SEARCH(FILLING!$D$15,tblData[[#This Row],[ФО]])))</f>
        <v>0</v>
      </c>
      <c r="F59" s="267" t="str">
        <f>IF(tblData[[#This Row],[Статус2]],COUNTIF($E$2:tblData[[#This Row],[Статус2]],TRUE),"")</f>
        <v/>
      </c>
      <c r="G59" t="str">
        <f>IFERROR(INDEX(tblData[ФО],MATCH(ROWS($F$2:tblData[[#This Row],[Индекс2]]),tblData[Индекс2],0)),"")</f>
        <v/>
      </c>
      <c r="I59" t="s">
        <v>1548</v>
      </c>
      <c r="J59" t="b">
        <f>NOT(ISERROR(SEARCH(FILLING!$L$16,tblData_Region[[#This Row],[РЕГИОН]])))</f>
        <v>1</v>
      </c>
      <c r="K59" s="267">
        <f>IF(tblData_Region[[#This Row],[Статус]],COUNTIF($J$2:tblData_Region[[#This Row],[Статус]],TRUE),"")</f>
        <v>58</v>
      </c>
      <c r="L59" t="str">
        <f>IFERROR(INDEX(tblData_Region[РЕГИОН],MATCH(ROWS($K$2:tblData_Region[[#This Row],[Индекс]]),tblData_Region[Индекс],0)),"")</f>
        <v>Республика Татарстан</v>
      </c>
    </row>
    <row r="60" spans="2:12" x14ac:dyDescent="0.35">
      <c r="B60" s="268" t="b">
        <f>NOT(ISERROR(SEARCH(FILLING!$D$11,tblData[[#This Row],[ФО]])))</f>
        <v>0</v>
      </c>
      <c r="C60" s="268" t="str">
        <f>IF(tblData[[#This Row],[Статус]],COUNTIF($B$2:tblData[[#This Row],[Статус]],TRUE),"")</f>
        <v/>
      </c>
      <c r="D60" s="269" t="str">
        <f>IFERROR(INDEX(tblData[ФО],MATCH(ROWS($C$2:tblData[[#This Row],[Индекс]]),tblData[Индекс],0)),"")</f>
        <v/>
      </c>
      <c r="E60" t="b">
        <f>NOT(ISERROR(SEARCH(FILLING!$D$15,tblData[[#This Row],[ФО]])))</f>
        <v>0</v>
      </c>
      <c r="F60" s="267" t="str">
        <f>IF(tblData[[#This Row],[Статус2]],COUNTIF($E$2:tblData[[#This Row],[Статус2]],TRUE),"")</f>
        <v/>
      </c>
      <c r="G60" t="str">
        <f>IFERROR(INDEX(tblData[ФО],MATCH(ROWS($F$2:tblData[[#This Row],[Индекс2]]),tblData[Индекс2],0)),"")</f>
        <v/>
      </c>
      <c r="I60" t="s">
        <v>1487</v>
      </c>
      <c r="J60" t="b">
        <f>NOT(ISERROR(SEARCH(FILLING!$L$16,tblData_Region[[#This Row],[РЕГИОН]])))</f>
        <v>1</v>
      </c>
      <c r="K60" s="267">
        <f>IF(tblData_Region[[#This Row],[Статус]],COUNTIF($J$2:tblData_Region[[#This Row],[Статус]],TRUE),"")</f>
        <v>59</v>
      </c>
      <c r="L60" t="str">
        <f>IFERROR(INDEX(tblData_Region[РЕГИОН],MATCH(ROWS($K$2:tblData_Region[[#This Row],[Индекс]]),tblData_Region[Индекс],0)),"")</f>
        <v>Республика Тыва</v>
      </c>
    </row>
    <row r="61" spans="2:12" x14ac:dyDescent="0.35">
      <c r="B61" s="268" t="b">
        <f>NOT(ISERROR(SEARCH(FILLING!$D$11,tblData[[#This Row],[ФО]])))</f>
        <v>0</v>
      </c>
      <c r="C61" s="268" t="str">
        <f>IF(tblData[[#This Row],[Статус]],COUNTIF($B$2:tblData[[#This Row],[Статус]],TRUE),"")</f>
        <v/>
      </c>
      <c r="D61" s="269" t="str">
        <f>IFERROR(INDEX(tblData[ФО],MATCH(ROWS($C$2:tblData[[#This Row],[Индекс]]),tblData[Индекс],0)),"")</f>
        <v/>
      </c>
      <c r="E61" t="b">
        <f>NOT(ISERROR(SEARCH(FILLING!$D$15,tblData[[#This Row],[ФО]])))</f>
        <v>0</v>
      </c>
      <c r="F61" s="267" t="str">
        <f>IF(tblData[[#This Row],[Статус2]],COUNTIF($E$2:tblData[[#This Row],[Статус2]],TRUE),"")</f>
        <v/>
      </c>
      <c r="G61" t="str">
        <f>IFERROR(INDEX(tblData[ФО],MATCH(ROWS($F$2:tblData[[#This Row],[Индекс2]]),tblData[Индекс2],0)),"")</f>
        <v/>
      </c>
      <c r="I61" t="s">
        <v>1488</v>
      </c>
      <c r="J61" t="b">
        <f>NOT(ISERROR(SEARCH(FILLING!$L$16,tblData_Region[[#This Row],[РЕГИОН]])))</f>
        <v>1</v>
      </c>
      <c r="K61" s="267">
        <f>IF(tblData_Region[[#This Row],[Статус]],COUNTIF($J$2:tblData_Region[[#This Row],[Статус]],TRUE),"")</f>
        <v>60</v>
      </c>
      <c r="L61" t="str">
        <f>IFERROR(INDEX(tblData_Region[РЕГИОН],MATCH(ROWS($K$2:tblData_Region[[#This Row],[Индекс]]),tblData_Region[Индекс],0)),"")</f>
        <v>Республика Хакасия</v>
      </c>
    </row>
    <row r="62" spans="2:12" x14ac:dyDescent="0.35">
      <c r="B62" s="268" t="b">
        <f>NOT(ISERROR(SEARCH(FILLING!$D$11,tblData[[#This Row],[ФО]])))</f>
        <v>0</v>
      </c>
      <c r="C62" s="268" t="str">
        <f>IF(tblData[[#This Row],[Статус]],COUNTIF($B$2:tblData[[#This Row],[Статус]],TRUE),"")</f>
        <v/>
      </c>
      <c r="D62" s="269" t="str">
        <f>IFERROR(INDEX(tblData[ФО],MATCH(ROWS($C$2:tblData[[#This Row],[Индекс]]),tblData[Индекс],0)),"")</f>
        <v/>
      </c>
      <c r="E62" t="b">
        <f>NOT(ISERROR(SEARCH(FILLING!$D$15,tblData[[#This Row],[ФО]])))</f>
        <v>0</v>
      </c>
      <c r="F62" s="267" t="str">
        <f>IF(tblData[[#This Row],[Статус2]],COUNTIF($E$2:tblData[[#This Row],[Статус2]],TRUE),"")</f>
        <v/>
      </c>
      <c r="G62" t="str">
        <f>IFERROR(INDEX(tblData[ФО],MATCH(ROWS($F$2:tblData[[#This Row],[Индекс2]]),tblData[Индекс2],0)),"")</f>
        <v/>
      </c>
      <c r="I62" t="s">
        <v>1489</v>
      </c>
      <c r="J62" t="b">
        <f>NOT(ISERROR(SEARCH(FILLING!$L$16,tblData_Region[[#This Row],[РЕГИОН]])))</f>
        <v>1</v>
      </c>
      <c r="K62" s="267">
        <f>IF(tblData_Region[[#This Row],[Статус]],COUNTIF($J$2:tblData_Region[[#This Row],[Статус]],TRUE),"")</f>
        <v>61</v>
      </c>
      <c r="L62" t="str">
        <f>IFERROR(INDEX(tblData_Region[РЕГИОН],MATCH(ROWS($K$2:tblData_Region[[#This Row],[Индекс]]),tblData_Region[Индекс],0)),"")</f>
        <v>Ростовская область</v>
      </c>
    </row>
    <row r="63" spans="2:12" x14ac:dyDescent="0.35">
      <c r="B63" s="268" t="b">
        <f>NOT(ISERROR(SEARCH(FILLING!$D$11,tblData[[#This Row],[ФО]])))</f>
        <v>0</v>
      </c>
      <c r="C63" s="268" t="str">
        <f>IF(tblData[[#This Row],[Статус]],COUNTIF($B$2:tblData[[#This Row],[Статус]],TRUE),"")</f>
        <v/>
      </c>
      <c r="D63" s="269" t="str">
        <f>IFERROR(INDEX(tblData[ФО],MATCH(ROWS($C$2:tblData[[#This Row],[Индекс]]),tblData[Индекс],0)),"")</f>
        <v/>
      </c>
      <c r="E63" t="b">
        <f>NOT(ISERROR(SEARCH(FILLING!$D$15,tblData[[#This Row],[ФО]])))</f>
        <v>0</v>
      </c>
      <c r="F63" s="267" t="str">
        <f>IF(tblData[[#This Row],[Статус2]],COUNTIF($E$2:tblData[[#This Row],[Статус2]],TRUE),"")</f>
        <v/>
      </c>
      <c r="G63" t="str">
        <f>IFERROR(INDEX(tblData[ФО],MATCH(ROWS($F$2:tblData[[#This Row],[Индекс2]]),tblData[Индекс2],0)),"")</f>
        <v/>
      </c>
      <c r="I63" t="s">
        <v>1490</v>
      </c>
      <c r="J63" t="b">
        <f>NOT(ISERROR(SEARCH(FILLING!$L$16,tblData_Region[[#This Row],[РЕГИОН]])))</f>
        <v>1</v>
      </c>
      <c r="K63" s="267">
        <f>IF(tblData_Region[[#This Row],[Статус]],COUNTIF($J$2:tblData_Region[[#This Row],[Статус]],TRUE),"")</f>
        <v>62</v>
      </c>
      <c r="L63" t="str">
        <f>IFERROR(INDEX(tblData_Region[РЕГИОН],MATCH(ROWS($K$2:tblData_Region[[#This Row],[Индекс]]),tblData_Region[Индекс],0)),"")</f>
        <v>Рязанская область</v>
      </c>
    </row>
    <row r="64" spans="2:12" x14ac:dyDescent="0.35">
      <c r="B64" s="268" t="b">
        <f>NOT(ISERROR(SEARCH(FILLING!$D$11,tblData[[#This Row],[ФО]])))</f>
        <v>0</v>
      </c>
      <c r="C64" s="268" t="str">
        <f>IF(tblData[[#This Row],[Статус]],COUNTIF($B$2:tblData[[#This Row],[Статус]],TRUE),"")</f>
        <v/>
      </c>
      <c r="D64" s="269" t="str">
        <f>IFERROR(INDEX(tblData[ФО],MATCH(ROWS($C$2:tblData[[#This Row],[Индекс]]),tblData[Индекс],0)),"")</f>
        <v/>
      </c>
      <c r="E64" t="b">
        <f>NOT(ISERROR(SEARCH(FILLING!$D$15,tblData[[#This Row],[ФО]])))</f>
        <v>0</v>
      </c>
      <c r="F64" s="267" t="str">
        <f>IF(tblData[[#This Row],[Статус2]],COUNTIF($E$2:tblData[[#This Row],[Статус2]],TRUE),"")</f>
        <v/>
      </c>
      <c r="G64" t="str">
        <f>IFERROR(INDEX(tblData[ФО],MATCH(ROWS($F$2:tblData[[#This Row],[Индекс2]]),tblData[Индекс2],0)),"")</f>
        <v/>
      </c>
      <c r="I64" t="s">
        <v>1491</v>
      </c>
      <c r="J64" t="b">
        <f>NOT(ISERROR(SEARCH(FILLING!$L$16,tblData_Region[[#This Row],[РЕГИОН]])))</f>
        <v>1</v>
      </c>
      <c r="K64" s="267">
        <f>IF(tblData_Region[[#This Row],[Статус]],COUNTIF($J$2:tblData_Region[[#This Row],[Статус]],TRUE),"")</f>
        <v>63</v>
      </c>
      <c r="L64" t="str">
        <f>IFERROR(INDEX(tblData_Region[РЕГИОН],MATCH(ROWS($K$2:tblData_Region[[#This Row],[Индекс]]),tblData_Region[Индекс],0)),"")</f>
        <v>Самарская область</v>
      </c>
    </row>
    <row r="65" spans="2:12" x14ac:dyDescent="0.35">
      <c r="B65" s="268" t="b">
        <f>NOT(ISERROR(SEARCH(FILLING!$D$11,tblData[[#This Row],[ФО]])))</f>
        <v>0</v>
      </c>
      <c r="C65" s="268" t="str">
        <f>IF(tblData[[#This Row],[Статус]],COUNTIF($B$2:tblData[[#This Row],[Статус]],TRUE),"")</f>
        <v/>
      </c>
      <c r="D65" s="269" t="str">
        <f>IFERROR(INDEX(tblData[ФО],MATCH(ROWS($C$2:tblData[[#This Row],[Индекс]]),tblData[Индекс],0)),"")</f>
        <v/>
      </c>
      <c r="E65" t="b">
        <f>NOT(ISERROR(SEARCH(FILLING!$D$15,tblData[[#This Row],[ФО]])))</f>
        <v>0</v>
      </c>
      <c r="F65" s="267" t="str">
        <f>IF(tblData[[#This Row],[Статус2]],COUNTIF($E$2:tblData[[#This Row],[Статус2]],TRUE),"")</f>
        <v/>
      </c>
      <c r="G65" t="str">
        <f>IFERROR(INDEX(tblData[ФО],MATCH(ROWS($F$2:tblData[[#This Row],[Индекс2]]),tblData[Индекс2],0)),"")</f>
        <v/>
      </c>
      <c r="I65" t="s">
        <v>1517</v>
      </c>
      <c r="J65" t="b">
        <f>NOT(ISERROR(SEARCH(FILLING!$L$16,tblData_Region[[#This Row],[РЕГИОН]])))</f>
        <v>1</v>
      </c>
      <c r="K65" s="267">
        <f>IF(tblData_Region[[#This Row],[Статус]],COUNTIF($J$2:tblData_Region[[#This Row],[Статус]],TRUE),"")</f>
        <v>64</v>
      </c>
      <c r="L65" t="str">
        <f>IFERROR(INDEX(tblData_Region[РЕГИОН],MATCH(ROWS($K$2:tblData_Region[[#This Row],[Индекс]]),tblData_Region[Индекс],0)),"")</f>
        <v>г. Санкт-Петербург</v>
      </c>
    </row>
    <row r="66" spans="2:12" x14ac:dyDescent="0.35">
      <c r="B66" s="268" t="b">
        <f>NOT(ISERROR(SEARCH(FILLING!$D$11,tblData[[#This Row],[ФО]])))</f>
        <v>0</v>
      </c>
      <c r="C66" s="268" t="str">
        <f>IF(tblData[[#This Row],[Статус]],COUNTIF($B$2:tblData[[#This Row],[Статус]],TRUE),"")</f>
        <v/>
      </c>
      <c r="D66" s="269" t="str">
        <f>IFERROR(INDEX(tblData[ФО],MATCH(ROWS($C$2:tblData[[#This Row],[Индекс]]),tblData[Индекс],0)),"")</f>
        <v/>
      </c>
      <c r="E66" t="b">
        <f>NOT(ISERROR(SEARCH(FILLING!$D$15,tblData[[#This Row],[ФО]])))</f>
        <v>0</v>
      </c>
      <c r="F66" s="267" t="str">
        <f>IF(tblData[[#This Row],[Статус2]],COUNTIF($E$2:tblData[[#This Row],[Статус2]],TRUE),"")</f>
        <v/>
      </c>
      <c r="G66" t="str">
        <f>IFERROR(INDEX(tblData[ФО],MATCH(ROWS($F$2:tblData[[#This Row],[Индекс2]]),tblData[Индекс2],0)),"")</f>
        <v/>
      </c>
      <c r="I66" t="s">
        <v>1492</v>
      </c>
      <c r="J66" t="b">
        <f>NOT(ISERROR(SEARCH(FILLING!$L$16,tblData_Region[[#This Row],[РЕГИОН]])))</f>
        <v>1</v>
      </c>
      <c r="K66" s="267">
        <f>IF(tblData_Region[[#This Row],[Статус]],COUNTIF($J$2:tblData_Region[[#This Row],[Статус]],TRUE),"")</f>
        <v>65</v>
      </c>
      <c r="L66" t="str">
        <f>IFERROR(INDEX(tblData_Region[РЕГИОН],MATCH(ROWS($K$2:tblData_Region[[#This Row],[Индекс]]),tblData_Region[Индекс],0)),"")</f>
        <v>Саратовская область</v>
      </c>
    </row>
    <row r="67" spans="2:12" x14ac:dyDescent="0.35">
      <c r="B67" s="268" t="b">
        <f>NOT(ISERROR(SEARCH(FILLING!$D$11,tblData[[#This Row],[ФО]])))</f>
        <v>0</v>
      </c>
      <c r="C67" s="268" t="str">
        <f>IF(tblData[[#This Row],[Статус]],COUNTIF($B$2:tblData[[#This Row],[Статус]],TRUE),"")</f>
        <v/>
      </c>
      <c r="D67" s="269" t="str">
        <f>IFERROR(INDEX(tblData[ФО],MATCH(ROWS($C$2:tblData[[#This Row],[Индекс]]),tblData[Индекс],0)),"")</f>
        <v/>
      </c>
      <c r="E67" t="b">
        <f>NOT(ISERROR(SEARCH(FILLING!$D$15,tblData[[#This Row],[ФО]])))</f>
        <v>0</v>
      </c>
      <c r="F67" s="267" t="str">
        <f>IF(tblData[[#This Row],[Статус2]],COUNTIF($E$2:tblData[[#This Row],[Статус2]],TRUE),"")</f>
        <v/>
      </c>
      <c r="G67" t="str">
        <f>IFERROR(INDEX(tblData[ФО],MATCH(ROWS($F$2:tblData[[#This Row],[Индекс2]]),tblData[Индекс2],0)),"")</f>
        <v/>
      </c>
      <c r="I67" t="s">
        <v>1493</v>
      </c>
      <c r="J67" t="b">
        <f>NOT(ISERROR(SEARCH(FILLING!$L$16,tblData_Region[[#This Row],[РЕГИОН]])))</f>
        <v>1</v>
      </c>
      <c r="K67" s="267">
        <f>IF(tblData_Region[[#This Row],[Статус]],COUNTIF($J$2:tblData_Region[[#This Row],[Статус]],TRUE),"")</f>
        <v>66</v>
      </c>
      <c r="L67" t="str">
        <f>IFERROR(INDEX(tblData_Region[РЕГИОН],MATCH(ROWS($K$2:tblData_Region[[#This Row],[Индекс]]),tblData_Region[Индекс],0)),"")</f>
        <v>Сахалинская область</v>
      </c>
    </row>
    <row r="68" spans="2:12" x14ac:dyDescent="0.35">
      <c r="B68" s="268" t="b">
        <f>NOT(ISERROR(SEARCH(FILLING!$D$11,tblData[[#This Row],[ФО]])))</f>
        <v>0</v>
      </c>
      <c r="C68" s="268" t="str">
        <f>IF(tblData[[#This Row],[Статус]],COUNTIF($B$2:tblData[[#This Row],[Статус]],TRUE),"")</f>
        <v/>
      </c>
      <c r="D68" s="269" t="str">
        <f>IFERROR(INDEX(tblData[ФО],MATCH(ROWS($C$2:tblData[[#This Row],[Индекс]]),tblData[Индекс],0)),"")</f>
        <v/>
      </c>
      <c r="E68" t="b">
        <f>NOT(ISERROR(SEARCH(FILLING!$D$15,tblData[[#This Row],[ФО]])))</f>
        <v>0</v>
      </c>
      <c r="F68" s="267" t="str">
        <f>IF(tblData[[#This Row],[Статус2]],COUNTIF($E$2:tblData[[#This Row],[Статус2]],TRUE),"")</f>
        <v/>
      </c>
      <c r="G68" t="str">
        <f>IFERROR(INDEX(tblData[ФО],MATCH(ROWS($F$2:tblData[[#This Row],[Индекс2]]),tblData[Индекс2],0)),"")</f>
        <v/>
      </c>
      <c r="I68" t="s">
        <v>1494</v>
      </c>
      <c r="J68" t="b">
        <f>NOT(ISERROR(SEARCH(FILLING!$L$16,tblData_Region[[#This Row],[РЕГИОН]])))</f>
        <v>1</v>
      </c>
      <c r="K68" s="267">
        <f>IF(tblData_Region[[#This Row],[Статус]],COUNTIF($J$2:tblData_Region[[#This Row],[Статус]],TRUE),"")</f>
        <v>67</v>
      </c>
      <c r="L68" t="str">
        <f>IFERROR(INDEX(tblData_Region[РЕГИОН],MATCH(ROWS($K$2:tblData_Region[[#This Row],[Индекс]]),tblData_Region[Индекс],0)),"")</f>
        <v>Свердловская область</v>
      </c>
    </row>
    <row r="69" spans="2:12" x14ac:dyDescent="0.35">
      <c r="B69" s="268" t="b">
        <f>NOT(ISERROR(SEARCH(FILLING!$D$11,tblData[[#This Row],[ФО]])))</f>
        <v>0</v>
      </c>
      <c r="C69" s="268" t="str">
        <f>IF(tblData[[#This Row],[Статус]],COUNTIF($B$2:tblData[[#This Row],[Статус]],TRUE),"")</f>
        <v/>
      </c>
      <c r="D69" s="269" t="str">
        <f>IFERROR(INDEX(tblData[ФО],MATCH(ROWS($C$2:tblData[[#This Row],[Индекс]]),tblData[Индекс],0)),"")</f>
        <v/>
      </c>
      <c r="E69" t="b">
        <f>NOT(ISERROR(SEARCH(FILLING!$D$15,tblData[[#This Row],[ФО]])))</f>
        <v>0</v>
      </c>
      <c r="F69" s="267" t="str">
        <f>IF(tblData[[#This Row],[Статус2]],COUNTIF($E$2:tblData[[#This Row],[Статус2]],TRUE),"")</f>
        <v/>
      </c>
      <c r="G69" t="str">
        <f>IFERROR(INDEX(tblData[ФО],MATCH(ROWS($F$2:tblData[[#This Row],[Индекс2]]),tblData[Индекс2],0)),"")</f>
        <v/>
      </c>
      <c r="I69" t="s">
        <v>1516</v>
      </c>
      <c r="J69" t="b">
        <f>NOT(ISERROR(SEARCH(FILLING!$L$16,tblData_Region[[#This Row],[РЕГИОН]])))</f>
        <v>1</v>
      </c>
      <c r="K69" s="267">
        <f>IF(tblData_Region[[#This Row],[Статус]],COUNTIF($J$2:tblData_Region[[#This Row],[Статус]],TRUE),"")</f>
        <v>68</v>
      </c>
      <c r="L69" t="str">
        <f>IFERROR(INDEX(tblData_Region[РЕГИОН],MATCH(ROWS($K$2:tblData_Region[[#This Row],[Индекс]]),tblData_Region[Индекс],0)),"")</f>
        <v>г. Севастополь</v>
      </c>
    </row>
    <row r="70" spans="2:12" x14ac:dyDescent="0.35">
      <c r="B70" s="268" t="b">
        <f>NOT(ISERROR(SEARCH(FILLING!$D$11,tblData[[#This Row],[ФО]])))</f>
        <v>0</v>
      </c>
      <c r="C70" s="268" t="str">
        <f>IF(tblData[[#This Row],[Статус]],COUNTIF($B$2:tblData[[#This Row],[Статус]],TRUE),"")</f>
        <v/>
      </c>
      <c r="D70" s="269" t="str">
        <f>IFERROR(INDEX(tblData[ФО],MATCH(ROWS($C$2:tblData[[#This Row],[Индекс]]),tblData[Индекс],0)),"")</f>
        <v/>
      </c>
      <c r="E70" t="b">
        <f>NOT(ISERROR(SEARCH(FILLING!$D$15,tblData[[#This Row],[ФО]])))</f>
        <v>0</v>
      </c>
      <c r="F70" s="267" t="str">
        <f>IF(tblData[[#This Row],[Статус2]],COUNTIF($E$2:tblData[[#This Row],[Статус2]],TRUE),"")</f>
        <v/>
      </c>
      <c r="G70" t="str">
        <f>IFERROR(INDEX(tblData[ФО],MATCH(ROWS($F$2:tblData[[#This Row],[Индекс2]]),tblData[Индекс2],0)),"")</f>
        <v/>
      </c>
      <c r="I70" t="s">
        <v>1495</v>
      </c>
      <c r="J70" t="b">
        <f>NOT(ISERROR(SEARCH(FILLING!$L$16,tblData_Region[[#This Row],[РЕГИОН]])))</f>
        <v>1</v>
      </c>
      <c r="K70" s="267">
        <f>IF(tblData_Region[[#This Row],[Статус]],COUNTIF($J$2:tblData_Region[[#This Row],[Статус]],TRUE),"")</f>
        <v>69</v>
      </c>
      <c r="L70" t="str">
        <f>IFERROR(INDEX(tblData_Region[РЕГИОН],MATCH(ROWS($K$2:tblData_Region[[#This Row],[Индекс]]),tblData_Region[Индекс],0)),"")</f>
        <v>Смоленская область</v>
      </c>
    </row>
    <row r="71" spans="2:12" x14ac:dyDescent="0.35">
      <c r="B71" s="268" t="b">
        <f>NOT(ISERROR(SEARCH(FILLING!$D$11,tblData[[#This Row],[ФО]])))</f>
        <v>0</v>
      </c>
      <c r="C71" s="268" t="str">
        <f>IF(tblData[[#This Row],[Статус]],COUNTIF($B$2:tblData[[#This Row],[Статус]],TRUE),"")</f>
        <v/>
      </c>
      <c r="D71" s="269" t="str">
        <f>IFERROR(INDEX(tblData[ФО],MATCH(ROWS($C$2:tblData[[#This Row],[Индекс]]),tblData[Индекс],0)),"")</f>
        <v/>
      </c>
      <c r="E71" t="b">
        <f>NOT(ISERROR(SEARCH(FILLING!$D$15,tblData[[#This Row],[ФО]])))</f>
        <v>0</v>
      </c>
      <c r="F71" s="267" t="str">
        <f>IF(tblData[[#This Row],[Статус2]],COUNTIF($E$2:tblData[[#This Row],[Статус2]],TRUE),"")</f>
        <v/>
      </c>
      <c r="G71" t="str">
        <f>IFERROR(INDEX(tblData[ФО],MATCH(ROWS($F$2:tblData[[#This Row],[Индекс2]]),tblData[Индекс2],0)),"")</f>
        <v/>
      </c>
      <c r="I71" t="s">
        <v>1496</v>
      </c>
      <c r="J71" t="b">
        <f>NOT(ISERROR(SEARCH(FILLING!$L$16,tblData_Region[[#This Row],[РЕГИОН]])))</f>
        <v>1</v>
      </c>
      <c r="K71" s="267">
        <f>IF(tblData_Region[[#This Row],[Статус]],COUNTIF($J$2:tblData_Region[[#This Row],[Статус]],TRUE),"")</f>
        <v>70</v>
      </c>
      <c r="L71" t="str">
        <f>IFERROR(INDEX(tblData_Region[РЕГИОН],MATCH(ROWS($K$2:tblData_Region[[#This Row],[Индекс]]),tblData_Region[Индекс],0)),"")</f>
        <v>Ставропольский край</v>
      </c>
    </row>
    <row r="72" spans="2:12" x14ac:dyDescent="0.35">
      <c r="B72" s="268" t="b">
        <f>NOT(ISERROR(SEARCH(FILLING!$D$11,tblData[[#This Row],[ФО]])))</f>
        <v>0</v>
      </c>
      <c r="C72" s="268" t="str">
        <f>IF(tblData[[#This Row],[Статус]],COUNTIF($B$2:tblData[[#This Row],[Статус]],TRUE),"")</f>
        <v/>
      </c>
      <c r="D72" s="269" t="str">
        <f>IFERROR(INDEX(tblData[ФО],MATCH(ROWS($C$2:tblData[[#This Row],[Индекс]]),tblData[Индекс],0)),"")</f>
        <v/>
      </c>
      <c r="E72" t="b">
        <f>NOT(ISERROR(SEARCH(FILLING!$D$15,tblData[[#This Row],[ФО]])))</f>
        <v>0</v>
      </c>
      <c r="F72" s="267" t="str">
        <f>IF(tblData[[#This Row],[Статус2]],COUNTIF($E$2:tblData[[#This Row],[Статус2]],TRUE),"")</f>
        <v/>
      </c>
      <c r="G72" t="str">
        <f>IFERROR(INDEX(tblData[ФО],MATCH(ROWS($F$2:tblData[[#This Row],[Индекс2]]),tblData[Индекс2],0)),"")</f>
        <v/>
      </c>
      <c r="I72" t="s">
        <v>1497</v>
      </c>
      <c r="J72" t="b">
        <f>NOT(ISERROR(SEARCH(FILLING!$L$16,tblData_Region[[#This Row],[РЕГИОН]])))</f>
        <v>1</v>
      </c>
      <c r="K72" s="267">
        <f>IF(tblData_Region[[#This Row],[Статус]],COUNTIF($J$2:tblData_Region[[#This Row],[Статус]],TRUE),"")</f>
        <v>71</v>
      </c>
      <c r="L72" t="str">
        <f>IFERROR(INDEX(tblData_Region[РЕГИОН],MATCH(ROWS($K$2:tblData_Region[[#This Row],[Индекс]]),tblData_Region[Индекс],0)),"")</f>
        <v>Тамбовская область</v>
      </c>
    </row>
    <row r="73" spans="2:12" x14ac:dyDescent="0.35">
      <c r="B73" s="268" t="b">
        <f>NOT(ISERROR(SEARCH(FILLING!$D$11,tblData[[#This Row],[ФО]])))</f>
        <v>0</v>
      </c>
      <c r="C73" s="268" t="str">
        <f>IF(tblData[[#This Row],[Статус]],COUNTIF($B$2:tblData[[#This Row],[Статус]],TRUE),"")</f>
        <v/>
      </c>
      <c r="D73" s="269" t="str">
        <f>IFERROR(INDEX(tblData[ФО],MATCH(ROWS($C$2:tblData[[#This Row],[Индекс]]),tblData[Индекс],0)),"")</f>
        <v/>
      </c>
      <c r="E73" t="b">
        <f>NOT(ISERROR(SEARCH(FILLING!$D$15,tblData[[#This Row],[ФО]])))</f>
        <v>0</v>
      </c>
      <c r="F73" s="267" t="str">
        <f>IF(tblData[[#This Row],[Статус2]],COUNTIF($E$2:tblData[[#This Row],[Статус2]],TRUE),"")</f>
        <v/>
      </c>
      <c r="G73" t="str">
        <f>IFERROR(INDEX(tblData[ФО],MATCH(ROWS($F$2:tblData[[#This Row],[Индекс2]]),tblData[Индекс2],0)),"")</f>
        <v/>
      </c>
      <c r="I73" t="s">
        <v>1498</v>
      </c>
      <c r="J73" t="b">
        <f>NOT(ISERROR(SEARCH(FILLING!$L$16,tblData_Region[[#This Row],[РЕГИОН]])))</f>
        <v>1</v>
      </c>
      <c r="K73" s="267">
        <f>IF(tblData_Region[[#This Row],[Статус]],COUNTIF($J$2:tblData_Region[[#This Row],[Статус]],TRUE),"")</f>
        <v>72</v>
      </c>
      <c r="L73" t="str">
        <f>IFERROR(INDEX(tblData_Region[РЕГИОН],MATCH(ROWS($K$2:tblData_Region[[#This Row],[Индекс]]),tblData_Region[Индекс],0)),"")</f>
        <v>Тверская область</v>
      </c>
    </row>
    <row r="74" spans="2:12" x14ac:dyDescent="0.35">
      <c r="B74" s="268" t="b">
        <f>NOT(ISERROR(SEARCH(FILLING!$D$11,tblData[[#This Row],[ФО]])))</f>
        <v>0</v>
      </c>
      <c r="C74" s="268" t="str">
        <f>IF(tblData[[#This Row],[Статус]],COUNTIF($B$2:tblData[[#This Row],[Статус]],TRUE),"")</f>
        <v/>
      </c>
      <c r="D74" s="269" t="str">
        <f>IFERROR(INDEX(tblData[ФО],MATCH(ROWS($C$2:tblData[[#This Row],[Индекс]]),tblData[Индекс],0)),"")</f>
        <v/>
      </c>
      <c r="E74" t="b">
        <f>NOT(ISERROR(SEARCH(FILLING!$D$15,tblData[[#This Row],[ФО]])))</f>
        <v>0</v>
      </c>
      <c r="F74" s="267" t="str">
        <f>IF(tblData[[#This Row],[Статус2]],COUNTIF($E$2:tblData[[#This Row],[Статус2]],TRUE),"")</f>
        <v/>
      </c>
      <c r="G74" t="str">
        <f>IFERROR(INDEX(tblData[ФО],MATCH(ROWS($F$2:tblData[[#This Row],[Индекс2]]),tblData[Индекс2],0)),"")</f>
        <v/>
      </c>
      <c r="I74" t="s">
        <v>1499</v>
      </c>
      <c r="J74" t="b">
        <f>NOT(ISERROR(SEARCH(FILLING!$L$16,tblData_Region[[#This Row],[РЕГИОН]])))</f>
        <v>1</v>
      </c>
      <c r="K74" s="267">
        <f>IF(tblData_Region[[#This Row],[Статус]],COUNTIF($J$2:tblData_Region[[#This Row],[Статус]],TRUE),"")</f>
        <v>73</v>
      </c>
      <c r="L74" t="str">
        <f>IFERROR(INDEX(tblData_Region[РЕГИОН],MATCH(ROWS($K$2:tblData_Region[[#This Row],[Индекс]]),tblData_Region[Индекс],0)),"")</f>
        <v>Томская область</v>
      </c>
    </row>
    <row r="75" spans="2:12" x14ac:dyDescent="0.35">
      <c r="B75" s="268" t="b">
        <f>NOT(ISERROR(SEARCH(FILLING!$D$11,tblData[[#This Row],[ФО]])))</f>
        <v>0</v>
      </c>
      <c r="C75" s="268" t="str">
        <f>IF(tblData[[#This Row],[Статус]],COUNTIF($B$2:tblData[[#This Row],[Статус]],TRUE),"")</f>
        <v/>
      </c>
      <c r="D75" s="269" t="str">
        <f>IFERROR(INDEX(tblData[ФО],MATCH(ROWS($C$2:tblData[[#This Row],[Индекс]]),tblData[Индекс],0)),"")</f>
        <v/>
      </c>
      <c r="E75" t="b">
        <f>NOT(ISERROR(SEARCH(FILLING!$D$15,tblData[[#This Row],[ФО]])))</f>
        <v>0</v>
      </c>
      <c r="F75" s="267" t="str">
        <f>IF(tblData[[#This Row],[Статус2]],COUNTIF($E$2:tblData[[#This Row],[Статус2]],TRUE),"")</f>
        <v/>
      </c>
      <c r="G75" t="str">
        <f>IFERROR(INDEX(tblData[ФО],MATCH(ROWS($F$2:tblData[[#This Row],[Индекс2]]),tblData[Индекс2],0)),"")</f>
        <v/>
      </c>
      <c r="I75" t="s">
        <v>1500</v>
      </c>
      <c r="J75" t="b">
        <f>NOT(ISERROR(SEARCH(FILLING!$L$16,tblData_Region[[#This Row],[РЕГИОН]])))</f>
        <v>1</v>
      </c>
      <c r="K75" s="267">
        <f>IF(tblData_Region[[#This Row],[Статус]],COUNTIF($J$2:tblData_Region[[#This Row],[Статус]],TRUE),"")</f>
        <v>74</v>
      </c>
      <c r="L75" t="str">
        <f>IFERROR(INDEX(tblData_Region[РЕГИОН],MATCH(ROWS($K$2:tblData_Region[[#This Row],[Индекс]]),tblData_Region[Индекс],0)),"")</f>
        <v>Тульская область</v>
      </c>
    </row>
    <row r="76" spans="2:12" x14ac:dyDescent="0.35">
      <c r="B76" s="268" t="b">
        <f>NOT(ISERROR(SEARCH(FILLING!$D$11,tblData[[#This Row],[ФО]])))</f>
        <v>0</v>
      </c>
      <c r="C76" s="268" t="str">
        <f>IF(tblData[[#This Row],[Статус]],COUNTIF($B$2:tblData[[#This Row],[Статус]],TRUE),"")</f>
        <v/>
      </c>
      <c r="D76" s="269" t="str">
        <f>IFERROR(INDEX(tblData[ФО],MATCH(ROWS($C$2:tblData[[#This Row],[Индекс]]),tblData[Индекс],0)),"")</f>
        <v/>
      </c>
      <c r="E76" t="b">
        <f>NOT(ISERROR(SEARCH(FILLING!$D$15,tblData[[#This Row],[ФО]])))</f>
        <v>0</v>
      </c>
      <c r="F76" s="267" t="str">
        <f>IF(tblData[[#This Row],[Статус2]],COUNTIF($E$2:tblData[[#This Row],[Статус2]],TRUE),"")</f>
        <v/>
      </c>
      <c r="G76" t="str">
        <f>IFERROR(INDEX(tblData[ФО],MATCH(ROWS($F$2:tblData[[#This Row],[Индекс2]]),tblData[Индекс2],0)),"")</f>
        <v/>
      </c>
      <c r="I76" t="s">
        <v>1501</v>
      </c>
      <c r="J76" t="b">
        <f>NOT(ISERROR(SEARCH(FILLING!$L$16,tblData_Region[[#This Row],[РЕГИОН]])))</f>
        <v>1</v>
      </c>
      <c r="K76" s="267">
        <f>IF(tblData_Region[[#This Row],[Статус]],COUNTIF($J$2:tblData_Region[[#This Row],[Статус]],TRUE),"")</f>
        <v>75</v>
      </c>
      <c r="L76" t="str">
        <f>IFERROR(INDEX(tblData_Region[РЕГИОН],MATCH(ROWS($K$2:tblData_Region[[#This Row],[Индекс]]),tblData_Region[Индекс],0)),"")</f>
        <v>Тюменская область</v>
      </c>
    </row>
    <row r="77" spans="2:12" x14ac:dyDescent="0.35">
      <c r="B77" s="268" t="b">
        <f>NOT(ISERROR(SEARCH(FILLING!$D$11,tblData[[#This Row],[ФО]])))</f>
        <v>0</v>
      </c>
      <c r="C77" s="268" t="str">
        <f>IF(tblData[[#This Row],[Статус]],COUNTIF($B$2:tblData[[#This Row],[Статус]],TRUE),"")</f>
        <v/>
      </c>
      <c r="D77" s="269" t="str">
        <f>IFERROR(INDEX(tblData[ФО],MATCH(ROWS($C$2:tblData[[#This Row],[Индекс]]),tblData[Индекс],0)),"")</f>
        <v/>
      </c>
      <c r="E77" t="b">
        <f>NOT(ISERROR(SEARCH(FILLING!$D$15,tblData[[#This Row],[ФО]])))</f>
        <v>0</v>
      </c>
      <c r="F77" s="267" t="str">
        <f>IF(tblData[[#This Row],[Статус2]],COUNTIF($E$2:tblData[[#This Row],[Статус2]],TRUE),"")</f>
        <v/>
      </c>
      <c r="G77" t="str">
        <f>IFERROR(INDEX(tblData[ФО],MATCH(ROWS($F$2:tblData[[#This Row],[Индекс2]]),tblData[Индекс2],0)),"")</f>
        <v/>
      </c>
      <c r="I77" t="s">
        <v>1502</v>
      </c>
      <c r="J77" t="b">
        <f>NOT(ISERROR(SEARCH(FILLING!$L$16,tblData_Region[[#This Row],[РЕГИОН]])))</f>
        <v>1</v>
      </c>
      <c r="K77" s="267">
        <f>IF(tblData_Region[[#This Row],[Статус]],COUNTIF($J$2:tblData_Region[[#This Row],[Статус]],TRUE),"")</f>
        <v>76</v>
      </c>
      <c r="L77" t="str">
        <f>IFERROR(INDEX(tblData_Region[РЕГИОН],MATCH(ROWS($K$2:tblData_Region[[#This Row],[Индекс]]),tblData_Region[Индекс],0)),"")</f>
        <v>Удмуртская Республика</v>
      </c>
    </row>
    <row r="78" spans="2:12" x14ac:dyDescent="0.35">
      <c r="B78" s="268" t="b">
        <f>NOT(ISERROR(SEARCH(FILLING!$D$11,tblData[[#This Row],[ФО]])))</f>
        <v>0</v>
      </c>
      <c r="C78" s="268" t="str">
        <f>IF(tblData[[#This Row],[Статус]],COUNTIF($B$2:tblData[[#This Row],[Статус]],TRUE),"")</f>
        <v/>
      </c>
      <c r="D78" s="269" t="str">
        <f>IFERROR(INDEX(tblData[ФО],MATCH(ROWS($C$2:tblData[[#This Row],[Индекс]]),tblData[Индекс],0)),"")</f>
        <v/>
      </c>
      <c r="E78" t="b">
        <f>NOT(ISERROR(SEARCH(FILLING!$D$15,tblData[[#This Row],[ФО]])))</f>
        <v>0</v>
      </c>
      <c r="F78" s="267" t="str">
        <f>IF(tblData[[#This Row],[Статус2]],COUNTIF($E$2:tblData[[#This Row],[Статус2]],TRUE),"")</f>
        <v/>
      </c>
      <c r="G78" t="str">
        <f>IFERROR(INDEX(tblData[ФО],MATCH(ROWS($F$2:tblData[[#This Row],[Индекс2]]),tblData[Индекс2],0)),"")</f>
        <v/>
      </c>
      <c r="I78" t="s">
        <v>1503</v>
      </c>
      <c r="J78" t="b">
        <f>NOT(ISERROR(SEARCH(FILLING!$L$16,tblData_Region[[#This Row],[РЕГИОН]])))</f>
        <v>1</v>
      </c>
      <c r="K78" s="267">
        <f>IF(tblData_Region[[#This Row],[Статус]],COUNTIF($J$2:tblData_Region[[#This Row],[Статус]],TRUE),"")</f>
        <v>77</v>
      </c>
      <c r="L78" t="str">
        <f>IFERROR(INDEX(tblData_Region[РЕГИОН],MATCH(ROWS($K$2:tblData_Region[[#This Row],[Индекс]]),tblData_Region[Индекс],0)),"")</f>
        <v>Ульяновская область</v>
      </c>
    </row>
    <row r="79" spans="2:12" x14ac:dyDescent="0.35">
      <c r="B79" s="268" t="b">
        <f>NOT(ISERROR(SEARCH(FILLING!$D$11,tblData[[#This Row],[ФО]])))</f>
        <v>0</v>
      </c>
      <c r="C79" s="268" t="str">
        <f>IF(tblData[[#This Row],[Статус]],COUNTIF($B$2:tblData[[#This Row],[Статус]],TRUE),"")</f>
        <v/>
      </c>
      <c r="D79" s="269" t="str">
        <f>IFERROR(INDEX(tblData[ФО],MATCH(ROWS($C$2:tblData[[#This Row],[Индекс]]),tblData[Индекс],0)),"")</f>
        <v/>
      </c>
      <c r="E79" t="b">
        <f>NOT(ISERROR(SEARCH(FILLING!$D$15,tblData[[#This Row],[ФО]])))</f>
        <v>0</v>
      </c>
      <c r="F79" s="267" t="str">
        <f>IF(tblData[[#This Row],[Статус2]],COUNTIF($E$2:tblData[[#This Row],[Статус2]],TRUE),"")</f>
        <v/>
      </c>
      <c r="G79" t="str">
        <f>IFERROR(INDEX(tblData[ФО],MATCH(ROWS($F$2:tblData[[#This Row],[Индекс2]]),tblData[Индекс2],0)),"")</f>
        <v/>
      </c>
      <c r="I79" t="s">
        <v>1504</v>
      </c>
      <c r="J79" t="b">
        <f>NOT(ISERROR(SEARCH(FILLING!$L$16,tblData_Region[[#This Row],[РЕГИОН]])))</f>
        <v>1</v>
      </c>
      <c r="K79" s="267">
        <f>IF(tblData_Region[[#This Row],[Статус]],COUNTIF($J$2:tblData_Region[[#This Row],[Статус]],TRUE),"")</f>
        <v>78</v>
      </c>
      <c r="L79" t="str">
        <f>IFERROR(INDEX(tblData_Region[РЕГИОН],MATCH(ROWS($K$2:tblData_Region[[#This Row],[Индекс]]),tblData_Region[Индекс],0)),"")</f>
        <v>Хабаровский край</v>
      </c>
    </row>
    <row r="80" spans="2:12" x14ac:dyDescent="0.35">
      <c r="B80" s="268" t="b">
        <f>NOT(ISERROR(SEARCH(FILLING!$D$11,tblData[[#This Row],[ФО]])))</f>
        <v>0</v>
      </c>
      <c r="C80" s="268" t="str">
        <f>IF(tblData[[#This Row],[Статус]],COUNTIF($B$2:tblData[[#This Row],[Статус]],TRUE),"")</f>
        <v/>
      </c>
      <c r="D80" s="269" t="str">
        <f>IFERROR(INDEX(tblData[ФО],MATCH(ROWS($C$2:tblData[[#This Row],[Индекс]]),tblData[Индекс],0)),"")</f>
        <v/>
      </c>
      <c r="E80" t="b">
        <f>NOT(ISERROR(SEARCH(FILLING!$D$15,tblData[[#This Row],[ФО]])))</f>
        <v>0</v>
      </c>
      <c r="F80" s="267" t="str">
        <f>IF(tblData[[#This Row],[Статус2]],COUNTIF($E$2:tblData[[#This Row],[Статус2]],TRUE),"")</f>
        <v/>
      </c>
      <c r="G80" t="str">
        <f>IFERROR(INDEX(tblData[ФО],MATCH(ROWS($F$2:tblData[[#This Row],[Индекс2]]),tblData[Индекс2],0)),"")</f>
        <v/>
      </c>
      <c r="I80" t="s">
        <v>1505</v>
      </c>
      <c r="J80" t="b">
        <f>NOT(ISERROR(SEARCH(FILLING!$L$16,tblData_Region[[#This Row],[РЕГИОН]])))</f>
        <v>1</v>
      </c>
      <c r="K80" s="267">
        <f>IF(tblData_Region[[#This Row],[Статус]],COUNTIF($J$2:tblData_Region[[#This Row],[Статус]],TRUE),"")</f>
        <v>79</v>
      </c>
      <c r="L80" t="str">
        <f>IFERROR(INDEX(tblData_Region[РЕГИОН],MATCH(ROWS($K$2:tblData_Region[[#This Row],[Индекс]]),tblData_Region[Индекс],0)),"")</f>
        <v>Ханты-Мансийский автономный округ - Югра</v>
      </c>
    </row>
    <row r="81" spans="2:12" x14ac:dyDescent="0.35">
      <c r="B81" s="268" t="b">
        <f>NOT(ISERROR(SEARCH(FILLING!$D$11,tblData[[#This Row],[ФО]])))</f>
        <v>0</v>
      </c>
      <c r="C81" s="268" t="str">
        <f>IF(tblData[[#This Row],[Статус]],COUNTIF($B$2:tblData[[#This Row],[Статус]],TRUE),"")</f>
        <v/>
      </c>
      <c r="D81" s="269" t="str">
        <f>IFERROR(INDEX(tblData[ФО],MATCH(ROWS($C$2:tblData[[#This Row],[Индекс]]),tblData[Индекс],0)),"")</f>
        <v/>
      </c>
      <c r="E81" t="b">
        <f>NOT(ISERROR(SEARCH(FILLING!$D$15,tblData[[#This Row],[ФО]])))</f>
        <v>0</v>
      </c>
      <c r="F81" s="267" t="str">
        <f>IF(tblData[[#This Row],[Статус2]],COUNTIF($E$2:tblData[[#This Row],[Статус2]],TRUE),"")</f>
        <v/>
      </c>
      <c r="G81" t="str">
        <f>IFERROR(INDEX(tblData[ФО],MATCH(ROWS($F$2:tblData[[#This Row],[Индекс2]]),tblData[Индекс2],0)),"")</f>
        <v/>
      </c>
      <c r="I81" t="s">
        <v>1506</v>
      </c>
      <c r="J81" t="b">
        <f>NOT(ISERROR(SEARCH(FILLING!$L$16,tblData_Region[[#This Row],[РЕГИОН]])))</f>
        <v>1</v>
      </c>
      <c r="K81" s="267">
        <f>IF(tblData_Region[[#This Row],[Статус]],COUNTIF($J$2:tblData_Region[[#This Row],[Статус]],TRUE),"")</f>
        <v>80</v>
      </c>
      <c r="L81" t="str">
        <f>IFERROR(INDEX(tblData_Region[РЕГИОН],MATCH(ROWS($K$2:tblData_Region[[#This Row],[Индекс]]),tblData_Region[Индекс],0)),"")</f>
        <v>Челябинская область</v>
      </c>
    </row>
    <row r="82" spans="2:12" x14ac:dyDescent="0.35">
      <c r="B82" s="268" t="b">
        <f>NOT(ISERROR(SEARCH(FILLING!$D$11,tblData[[#This Row],[ФО]])))</f>
        <v>0</v>
      </c>
      <c r="C82" s="268" t="str">
        <f>IF(tblData[[#This Row],[Статус]],COUNTIF($B$2:tblData[[#This Row],[Статус]],TRUE),"")</f>
        <v/>
      </c>
      <c r="D82" s="269" t="str">
        <f>IFERROR(INDEX(tblData[ФО],MATCH(ROWS($C$2:tblData[[#This Row],[Индекс]]),tblData[Индекс],0)),"")</f>
        <v/>
      </c>
      <c r="E82" t="b">
        <f>NOT(ISERROR(SEARCH(FILLING!$D$15,tblData[[#This Row],[ФО]])))</f>
        <v>0</v>
      </c>
      <c r="F82" s="267" t="str">
        <f>IF(tblData[[#This Row],[Статус2]],COUNTIF($E$2:tblData[[#This Row],[Статус2]],TRUE),"")</f>
        <v/>
      </c>
      <c r="G82" t="str">
        <f>IFERROR(INDEX(tblData[ФО],MATCH(ROWS($F$2:tblData[[#This Row],[Индекс2]]),tblData[Индекс2],0)),"")</f>
        <v/>
      </c>
      <c r="I82" t="s">
        <v>1507</v>
      </c>
      <c r="J82" t="b">
        <f>NOT(ISERROR(SEARCH(FILLING!$L$16,tblData_Region[[#This Row],[РЕГИОН]])))</f>
        <v>1</v>
      </c>
      <c r="K82" s="267">
        <f>IF(tblData_Region[[#This Row],[Статус]],COUNTIF($J$2:tblData_Region[[#This Row],[Статус]],TRUE),"")</f>
        <v>81</v>
      </c>
      <c r="L82" t="str">
        <f>IFERROR(INDEX(tblData_Region[РЕГИОН],MATCH(ROWS($K$2:tblData_Region[[#This Row],[Индекс]]),tblData_Region[Индекс],0)),"")</f>
        <v>Чеченская Республика</v>
      </c>
    </row>
    <row r="83" spans="2:12" x14ac:dyDescent="0.35">
      <c r="B83" s="268" t="b">
        <f>NOT(ISERROR(SEARCH(FILLING!$D$11,tblData[[#This Row],[ФО]])))</f>
        <v>0</v>
      </c>
      <c r="C83" s="268" t="str">
        <f>IF(tblData[[#This Row],[Статус]],COUNTIF($B$2:tblData[[#This Row],[Статус]],TRUE),"")</f>
        <v/>
      </c>
      <c r="D83" s="269" t="str">
        <f>IFERROR(INDEX(tblData[ФО],MATCH(ROWS($C$2:tblData[[#This Row],[Индекс]]),tblData[Индекс],0)),"")</f>
        <v/>
      </c>
      <c r="E83" t="b">
        <f>NOT(ISERROR(SEARCH(FILLING!$D$15,tblData[[#This Row],[ФО]])))</f>
        <v>0</v>
      </c>
      <c r="F83" s="267" t="str">
        <f>IF(tblData[[#This Row],[Статус2]],COUNTIF($E$2:tblData[[#This Row],[Статус2]],TRUE),"")</f>
        <v/>
      </c>
      <c r="G83" t="str">
        <f>IFERROR(INDEX(tblData[ФО],MATCH(ROWS($F$2:tblData[[#This Row],[Индекс2]]),tblData[Индекс2],0)),"")</f>
        <v/>
      </c>
      <c r="I83" t="s">
        <v>1508</v>
      </c>
      <c r="J83" t="b">
        <f>NOT(ISERROR(SEARCH(FILLING!$L$16,tblData_Region[[#This Row],[РЕГИОН]])))</f>
        <v>1</v>
      </c>
      <c r="K83" s="267">
        <f>IF(tblData_Region[[#This Row],[Статус]],COUNTIF($J$2:tblData_Region[[#This Row],[Статус]],TRUE),"")</f>
        <v>82</v>
      </c>
      <c r="L83" t="str">
        <f>IFERROR(INDEX(tblData_Region[РЕГИОН],MATCH(ROWS($K$2:tblData_Region[[#This Row],[Индекс]]),tblData_Region[Индекс],0)),"")</f>
        <v>Чувашская Республика - Чувашия</v>
      </c>
    </row>
    <row r="84" spans="2:12" x14ac:dyDescent="0.35">
      <c r="B84" s="268" t="b">
        <f>NOT(ISERROR(SEARCH(FILLING!$D$11,tblData[[#This Row],[ФО]])))</f>
        <v>0</v>
      </c>
      <c r="C84" s="268" t="str">
        <f>IF(tblData[[#This Row],[Статус]],COUNTIF($B$2:tblData[[#This Row],[Статус]],TRUE),"")</f>
        <v/>
      </c>
      <c r="D84" s="269" t="str">
        <f>IFERROR(INDEX(tblData[ФО],MATCH(ROWS($C$2:tblData[[#This Row],[Индекс]]),tblData[Индекс],0)),"")</f>
        <v/>
      </c>
      <c r="E84" t="b">
        <f>NOT(ISERROR(SEARCH(FILLING!$D$15,tblData[[#This Row],[ФО]])))</f>
        <v>0</v>
      </c>
      <c r="F84" s="267" t="str">
        <f>IF(tblData[[#This Row],[Статус2]],COUNTIF($E$2:tblData[[#This Row],[Статус2]],TRUE),"")</f>
        <v/>
      </c>
      <c r="G84" t="str">
        <f>IFERROR(INDEX(tblData[ФО],MATCH(ROWS($F$2:tblData[[#This Row],[Индекс2]]),tblData[Индекс2],0)),"")</f>
        <v/>
      </c>
      <c r="I84" t="s">
        <v>1509</v>
      </c>
      <c r="J84" t="b">
        <f>NOT(ISERROR(SEARCH(FILLING!$L$16,tblData_Region[[#This Row],[РЕГИОН]])))</f>
        <v>1</v>
      </c>
      <c r="K84" s="267">
        <f>IF(tblData_Region[[#This Row],[Статус]],COUNTIF($J$2:tblData_Region[[#This Row],[Статус]],TRUE),"")</f>
        <v>83</v>
      </c>
      <c r="L84" t="str">
        <f>IFERROR(INDEX(tblData_Region[РЕГИОН],MATCH(ROWS($K$2:tblData_Region[[#This Row],[Индекс]]),tblData_Region[Индекс],0)),"")</f>
        <v>Чукотский автономный округ</v>
      </c>
    </row>
    <row r="85" spans="2:12" x14ac:dyDescent="0.35">
      <c r="B85" s="268" t="b">
        <f>NOT(ISERROR(SEARCH(FILLING!$D$11,tblData[[#This Row],[ФО]])))</f>
        <v>0</v>
      </c>
      <c r="C85" s="268" t="str">
        <f>IF(tblData[[#This Row],[Статус]],COUNTIF($B$2:tblData[[#This Row],[Статус]],TRUE),"")</f>
        <v/>
      </c>
      <c r="D85" s="269" t="str">
        <f>IFERROR(INDEX(tblData[ФО],MATCH(ROWS($C$2:tblData[[#This Row],[Индекс]]),tblData[Индекс],0)),"")</f>
        <v/>
      </c>
      <c r="E85" t="b">
        <f>NOT(ISERROR(SEARCH(FILLING!$D$15,tblData[[#This Row],[ФО]])))</f>
        <v>0</v>
      </c>
      <c r="F85" s="267" t="str">
        <f>IF(tblData[[#This Row],[Статус2]],COUNTIF($E$2:tblData[[#This Row],[Статус2]],TRUE),"")</f>
        <v/>
      </c>
      <c r="G85" t="str">
        <f>IFERROR(INDEX(tblData[ФО],MATCH(ROWS($F$2:tblData[[#This Row],[Индекс2]]),tblData[Индекс2],0)),"")</f>
        <v/>
      </c>
      <c r="I85" t="s">
        <v>1510</v>
      </c>
      <c r="J85" t="b">
        <f>NOT(ISERROR(SEARCH(FILLING!$L$16,tblData_Region[[#This Row],[РЕГИОН]])))</f>
        <v>1</v>
      </c>
      <c r="K85" s="267">
        <f>IF(tblData_Region[[#This Row],[Статус]],COUNTIF($J$2:tblData_Region[[#This Row],[Статус]],TRUE),"")</f>
        <v>84</v>
      </c>
      <c r="L85" t="str">
        <f>IFERROR(INDEX(tblData_Region[РЕГИОН],MATCH(ROWS($K$2:tblData_Region[[#This Row],[Индекс]]),tblData_Region[Индекс],0)),"")</f>
        <v>Ямало-Ненецкий автономный округ</v>
      </c>
    </row>
    <row r="86" spans="2:12" x14ac:dyDescent="0.35">
      <c r="B86" s="268" t="b">
        <f>NOT(ISERROR(SEARCH(FILLING!$D$11,tblData[[#This Row],[ФО]])))</f>
        <v>0</v>
      </c>
      <c r="C86" s="268" t="str">
        <f>IF(tblData[[#This Row],[Статус]],COUNTIF($B$2:tblData[[#This Row],[Статус]],TRUE),"")</f>
        <v/>
      </c>
      <c r="D86" s="269" t="str">
        <f>IFERROR(INDEX(tblData[ФО],MATCH(ROWS($C$2:tblData[[#This Row],[Индекс]]),tblData[Индекс],0)),"")</f>
        <v/>
      </c>
      <c r="E86" t="b">
        <f>NOT(ISERROR(SEARCH(FILLING!$D$15,tblData[[#This Row],[ФО]])))</f>
        <v>0</v>
      </c>
      <c r="F86" s="267" t="str">
        <f>IF(tblData[[#This Row],[Статус2]],COUNTIF($E$2:tblData[[#This Row],[Статус2]],TRUE),"")</f>
        <v/>
      </c>
      <c r="G86" t="str">
        <f>IFERROR(INDEX(tblData[ФО],MATCH(ROWS($F$2:tblData[[#This Row],[Индекс2]]),tblData[Индекс2],0)),"")</f>
        <v/>
      </c>
      <c r="I86" t="s">
        <v>1511</v>
      </c>
      <c r="J86" t="b">
        <f>NOT(ISERROR(SEARCH(FILLING!$L$16,tblData_Region[[#This Row],[РЕГИОН]])))</f>
        <v>1</v>
      </c>
      <c r="K86" s="267">
        <f>IF(tblData_Region[[#This Row],[Статус]],COUNTIF($J$2:tblData_Region[[#This Row],[Статус]],TRUE),"")</f>
        <v>85</v>
      </c>
      <c r="L86" t="str">
        <f>IFERROR(INDEX(tblData_Region[РЕГИОН],MATCH(ROWS($K$2:tblData_Region[[#This Row],[Индекс]]),tblData_Region[Индекс],0)),"")</f>
        <v>Ярославская область</v>
      </c>
    </row>
    <row r="87" spans="2:12" x14ac:dyDescent="0.35">
      <c r="B87" s="268" t="b">
        <f>NOT(ISERROR(SEARCH(FILLING!$D$11,tblData[[#This Row],[ФО]])))</f>
        <v>0</v>
      </c>
      <c r="C87" s="268" t="str">
        <f>IF(tblData[[#This Row],[Статус]],COUNTIF($B$2:tblData[[#This Row],[Статус]],TRUE),"")</f>
        <v/>
      </c>
      <c r="D87" s="269" t="str">
        <f>IFERROR(INDEX(tblData[ФО],MATCH(ROWS($C$2:tblData[[#This Row],[Индекс]]),tblData[Индекс],0)),"")</f>
        <v/>
      </c>
      <c r="E87" t="b">
        <f>NOT(ISERROR(SEARCH(FILLING!$D$15,tblData[[#This Row],[ФО]])))</f>
        <v>0</v>
      </c>
      <c r="F87" s="267" t="str">
        <f>IF(tblData[[#This Row],[Статус2]],COUNTIF($E$2:tblData[[#This Row],[Статус2]],TRUE),"")</f>
        <v/>
      </c>
      <c r="G87" t="str">
        <f>IFERROR(INDEX(tblData[ФО],MATCH(ROWS($F$2:tblData[[#This Row],[Индекс2]]),tblData[Индекс2],0)),"")</f>
        <v/>
      </c>
    </row>
    <row r="88" spans="2:12" x14ac:dyDescent="0.35">
      <c r="B88" s="268" t="b">
        <f>NOT(ISERROR(SEARCH(FILLING!$D$11,tblData[[#This Row],[ФО]])))</f>
        <v>0</v>
      </c>
      <c r="C88" s="268" t="str">
        <f>IF(tblData[[#This Row],[Статус]],COUNTIF($B$2:tblData[[#This Row],[Статус]],TRUE),"")</f>
        <v/>
      </c>
      <c r="D88" s="269" t="str">
        <f>IFERROR(INDEX(tblData[ФО],MATCH(ROWS($C$2:tblData[[#This Row],[Индекс]]),tblData[Индекс],0)),"")</f>
        <v/>
      </c>
      <c r="E88" t="b">
        <f>NOT(ISERROR(SEARCH(FILLING!$D$15,tblData[[#This Row],[ФО]])))</f>
        <v>0</v>
      </c>
      <c r="F88" s="267" t="str">
        <f>IF(tblData[[#This Row],[Статус2]],COUNTIF($E$2:tblData[[#This Row],[Статус2]],TRUE),"")</f>
        <v/>
      </c>
      <c r="G88" t="str">
        <f>IFERROR(INDEX(tblData[ФО],MATCH(ROWS($F$2:tblData[[#This Row],[Индекс2]]),tblData[Индекс2],0)),"")</f>
        <v/>
      </c>
    </row>
    <row r="89" spans="2:12" x14ac:dyDescent="0.35">
      <c r="B89" s="268" t="b">
        <f>NOT(ISERROR(SEARCH(FILLING!$D$11,tblData[[#This Row],[ФО]])))</f>
        <v>0</v>
      </c>
      <c r="C89" s="268" t="str">
        <f>IF(tblData[[#This Row],[Статус]],COUNTIF($B$2:tblData[[#This Row],[Статус]],TRUE),"")</f>
        <v/>
      </c>
      <c r="D89" s="269" t="str">
        <f>IFERROR(INDEX(tblData[ФО],MATCH(ROWS($C$2:tblData[[#This Row],[Индекс]]),tblData[Индекс],0)),"")</f>
        <v/>
      </c>
      <c r="E89" t="b">
        <f>NOT(ISERROR(SEARCH(FILLING!$D$15,tblData[[#This Row],[ФО]])))</f>
        <v>0</v>
      </c>
      <c r="F89" s="267" t="str">
        <f>IF(tblData[[#This Row],[Статус2]],COUNTIF($E$2:tblData[[#This Row],[Статус2]],TRUE),"")</f>
        <v/>
      </c>
      <c r="G89" t="str">
        <f>IFERROR(INDEX(tblData[ФО],MATCH(ROWS($F$2:tblData[[#This Row],[Индекс2]]),tblData[Индекс2],0)),"")</f>
        <v/>
      </c>
    </row>
    <row r="90" spans="2:12" x14ac:dyDescent="0.35">
      <c r="B90" s="268" t="b">
        <f>NOT(ISERROR(SEARCH(FILLING!$D$11,tblData[[#This Row],[ФО]])))</f>
        <v>0</v>
      </c>
      <c r="C90" s="268" t="str">
        <f>IF(tblData[[#This Row],[Статус]],COUNTIF($B$2:tblData[[#This Row],[Статус]],TRUE),"")</f>
        <v/>
      </c>
      <c r="D90" s="269" t="str">
        <f>IFERROR(INDEX(tblData[ФО],MATCH(ROWS($C$2:tblData[[#This Row],[Индекс]]),tblData[Индекс],0)),"")</f>
        <v/>
      </c>
      <c r="E90" t="b">
        <f>NOT(ISERROR(SEARCH(FILLING!$D$15,tblData[[#This Row],[ФО]])))</f>
        <v>0</v>
      </c>
      <c r="F90" s="267" t="str">
        <f>IF(tblData[[#This Row],[Статус2]],COUNTIF($E$2:tblData[[#This Row],[Статус2]],TRUE),"")</f>
        <v/>
      </c>
      <c r="G90" t="str">
        <f>IFERROR(INDEX(tblData[ФО],MATCH(ROWS($F$2:tblData[[#This Row],[Индекс2]]),tblData[Индекс2],0)),"")</f>
        <v/>
      </c>
    </row>
    <row r="91" spans="2:12" x14ac:dyDescent="0.35">
      <c r="B91" s="268" t="b">
        <f>NOT(ISERROR(SEARCH(FILLING!$D$11,tblData[[#This Row],[ФО]])))</f>
        <v>0</v>
      </c>
      <c r="C91" s="268" t="str">
        <f>IF(tblData[[#This Row],[Статус]],COUNTIF($B$2:tblData[[#This Row],[Статус]],TRUE),"")</f>
        <v/>
      </c>
      <c r="D91" s="269" t="str">
        <f>IFERROR(INDEX(tblData[ФО],MATCH(ROWS($C$2:tblData[[#This Row],[Индекс]]),tblData[Индекс],0)),"")</f>
        <v/>
      </c>
      <c r="E91" t="b">
        <f>NOT(ISERROR(SEARCH(FILLING!$D$15,tblData[[#This Row],[ФО]])))</f>
        <v>0</v>
      </c>
      <c r="F91" s="267" t="str">
        <f>IF(tblData[[#This Row],[Статус2]],COUNTIF($E$2:tblData[[#This Row],[Статус2]],TRUE),"")</f>
        <v/>
      </c>
      <c r="G91" t="str">
        <f>IFERROR(INDEX(tblData[ФО],MATCH(ROWS($F$2:tblData[[#This Row],[Индекс2]]),tblData[Индекс2],0)),"")</f>
        <v/>
      </c>
    </row>
    <row r="92" spans="2:12" x14ac:dyDescent="0.35">
      <c r="B92" s="268" t="b">
        <f>NOT(ISERROR(SEARCH(FILLING!$D$11,tblData[[#This Row],[ФО]])))</f>
        <v>0</v>
      </c>
      <c r="C92" s="268" t="str">
        <f>IF(tblData[[#This Row],[Статус]],COUNTIF($B$2:tblData[[#This Row],[Статус]],TRUE),"")</f>
        <v/>
      </c>
      <c r="D92" s="269" t="str">
        <f>IFERROR(INDEX(tblData[ФО],MATCH(ROWS($C$2:tblData[[#This Row],[Индекс]]),tblData[Индекс],0)),"")</f>
        <v/>
      </c>
      <c r="E92" t="b">
        <f>NOT(ISERROR(SEARCH(FILLING!$D$15,tblData[[#This Row],[ФО]])))</f>
        <v>0</v>
      </c>
      <c r="F92" s="267" t="str">
        <f>IF(tblData[[#This Row],[Статус2]],COUNTIF($E$2:tblData[[#This Row],[Статус2]],TRUE),"")</f>
        <v/>
      </c>
      <c r="G92" t="str">
        <f>IFERROR(INDEX(tblData[ФО],MATCH(ROWS($F$2:tblData[[#This Row],[Индекс2]]),tblData[Индекс2],0)),"")</f>
        <v/>
      </c>
    </row>
    <row r="93" spans="2:12" x14ac:dyDescent="0.35">
      <c r="B93" s="268" t="b">
        <f>NOT(ISERROR(SEARCH(FILLING!$D$11,tblData[[#This Row],[ФО]])))</f>
        <v>0</v>
      </c>
      <c r="C93" s="268" t="str">
        <f>IF(tblData[[#This Row],[Статус]],COUNTIF($B$2:tblData[[#This Row],[Статус]],TRUE),"")</f>
        <v/>
      </c>
      <c r="D93" s="269" t="str">
        <f>IFERROR(INDEX(tblData[ФО],MATCH(ROWS($C$2:tblData[[#This Row],[Индекс]]),tblData[Индекс],0)),"")</f>
        <v/>
      </c>
      <c r="E93" t="b">
        <f>NOT(ISERROR(SEARCH(FILLING!$D$15,tblData[[#This Row],[ФО]])))</f>
        <v>0</v>
      </c>
      <c r="F93" s="267" t="str">
        <f>IF(tblData[[#This Row],[Статус2]],COUNTIF($E$2:tblData[[#This Row],[Статус2]],TRUE),"")</f>
        <v/>
      </c>
      <c r="G93" t="str">
        <f>IFERROR(INDEX(tblData[ФО],MATCH(ROWS($F$2:tblData[[#This Row],[Индекс2]]),tblData[Индекс2],0)),"")</f>
        <v/>
      </c>
    </row>
    <row r="94" spans="2:12" x14ac:dyDescent="0.35">
      <c r="B94" s="268" t="b">
        <f>NOT(ISERROR(SEARCH(FILLING!$D$11,tblData[[#This Row],[ФО]])))</f>
        <v>0</v>
      </c>
      <c r="C94" s="268" t="str">
        <f>IF(tblData[[#This Row],[Статус]],COUNTIF($B$2:tblData[[#This Row],[Статус]],TRUE),"")</f>
        <v/>
      </c>
      <c r="D94" s="269" t="str">
        <f>IFERROR(INDEX(tblData[ФО],MATCH(ROWS($C$2:tblData[[#This Row],[Индекс]]),tblData[Индекс],0)),"")</f>
        <v/>
      </c>
      <c r="E94" t="b">
        <f>NOT(ISERROR(SEARCH(FILLING!$D$15,tblData[[#This Row],[ФО]])))</f>
        <v>0</v>
      </c>
      <c r="F94" s="267" t="str">
        <f>IF(tblData[[#This Row],[Статус2]],COUNTIF($E$2:tblData[[#This Row],[Статус2]],TRUE),"")</f>
        <v/>
      </c>
      <c r="G94" t="str">
        <f>IFERROR(INDEX(tblData[ФО],MATCH(ROWS($F$2:tblData[[#This Row],[Индекс2]]),tblData[Индекс2],0)),"")</f>
        <v/>
      </c>
    </row>
    <row r="95" spans="2:12" x14ac:dyDescent="0.35">
      <c r="B95" s="268" t="b">
        <f>NOT(ISERROR(SEARCH(FILLING!$D$11,tblData[[#This Row],[ФО]])))</f>
        <v>0</v>
      </c>
      <c r="C95" s="268" t="str">
        <f>IF(tblData[[#This Row],[Статус]],COUNTIF($B$2:tblData[[#This Row],[Статус]],TRUE),"")</f>
        <v/>
      </c>
      <c r="D95" s="269" t="str">
        <f>IFERROR(INDEX(tblData[ФО],MATCH(ROWS($C$2:tblData[[#This Row],[Индекс]]),tblData[Индекс],0)),"")</f>
        <v/>
      </c>
      <c r="E95" t="b">
        <f>NOT(ISERROR(SEARCH(FILLING!$D$15,tblData[[#This Row],[ФО]])))</f>
        <v>0</v>
      </c>
      <c r="F95" s="267" t="str">
        <f>IF(tblData[[#This Row],[Статус2]],COUNTIF($E$2:tblData[[#This Row],[Статус2]],TRUE),"")</f>
        <v/>
      </c>
      <c r="G95" t="str">
        <f>IFERROR(INDEX(tblData[ФО],MATCH(ROWS($F$2:tblData[[#This Row],[Индекс2]]),tblData[Индекс2],0)),"")</f>
        <v/>
      </c>
    </row>
    <row r="96" spans="2:12" x14ac:dyDescent="0.35">
      <c r="B96" s="268" t="b">
        <f>NOT(ISERROR(SEARCH(FILLING!$D$11,tblData[[#This Row],[ФО]])))</f>
        <v>0</v>
      </c>
      <c r="C96" s="268" t="str">
        <f>IF(tblData[[#This Row],[Статус]],COUNTIF($B$2:tblData[[#This Row],[Статус]],TRUE),"")</f>
        <v/>
      </c>
      <c r="D96" s="269" t="str">
        <f>IFERROR(INDEX(tblData[ФО],MATCH(ROWS($C$2:tblData[[#This Row],[Индекс]]),tblData[Индекс],0)),"")</f>
        <v/>
      </c>
      <c r="E96" t="b">
        <f>NOT(ISERROR(SEARCH(FILLING!$D$15,tblData[[#This Row],[ФО]])))</f>
        <v>0</v>
      </c>
      <c r="F96" s="267" t="str">
        <f>IF(tblData[[#This Row],[Статус2]],COUNTIF($E$2:tblData[[#This Row],[Статус2]],TRUE),"")</f>
        <v/>
      </c>
      <c r="G96" t="str">
        <f>IFERROR(INDEX(tblData[ФО],MATCH(ROWS($F$2:tblData[[#This Row],[Индекс2]]),tblData[Индекс2],0)),"")</f>
        <v/>
      </c>
    </row>
    <row r="97" spans="2:7" x14ac:dyDescent="0.35">
      <c r="B97" s="268" t="b">
        <f>NOT(ISERROR(SEARCH(FILLING!$D$11,tblData[[#This Row],[ФО]])))</f>
        <v>0</v>
      </c>
      <c r="C97" s="268" t="str">
        <f>IF(tblData[[#This Row],[Статус]],COUNTIF($B$2:tblData[[#This Row],[Статус]],TRUE),"")</f>
        <v/>
      </c>
      <c r="D97" s="269" t="str">
        <f>IFERROR(INDEX(tblData[ФО],MATCH(ROWS($C$2:tblData[[#This Row],[Индекс]]),tblData[Индекс],0)),"")</f>
        <v/>
      </c>
      <c r="E97" t="b">
        <f>NOT(ISERROR(SEARCH(FILLING!$D$15,tblData[[#This Row],[ФО]])))</f>
        <v>0</v>
      </c>
      <c r="F97" s="267" t="str">
        <f>IF(tblData[[#This Row],[Статус2]],COUNTIF($E$2:tblData[[#This Row],[Статус2]],TRUE),"")</f>
        <v/>
      </c>
      <c r="G97" t="str">
        <f>IFERROR(INDEX(tblData[ФО],MATCH(ROWS($F$2:tblData[[#This Row],[Индекс2]]),tblData[Индекс2],0)),"")</f>
        <v/>
      </c>
    </row>
    <row r="98" spans="2:7" x14ac:dyDescent="0.35">
      <c r="B98" s="268" t="b">
        <f>NOT(ISERROR(SEARCH(FILLING!$D$11,tblData[[#This Row],[ФО]])))</f>
        <v>0</v>
      </c>
      <c r="C98" s="268" t="str">
        <f>IF(tblData[[#This Row],[Статус]],COUNTIF($B$2:tblData[[#This Row],[Статус]],TRUE),"")</f>
        <v/>
      </c>
      <c r="D98" s="269" t="str">
        <f>IFERROR(INDEX(tblData[ФО],MATCH(ROWS($C$2:tblData[[#This Row],[Индекс]]),tblData[Индекс],0)),"")</f>
        <v/>
      </c>
      <c r="E98" t="b">
        <f>NOT(ISERROR(SEARCH(FILLING!$D$15,tblData[[#This Row],[ФО]])))</f>
        <v>0</v>
      </c>
      <c r="F98" s="267" t="str">
        <f>IF(tblData[[#This Row],[Статус2]],COUNTIF($E$2:tblData[[#This Row],[Статус2]],TRUE),"")</f>
        <v/>
      </c>
      <c r="G98" t="str">
        <f>IFERROR(INDEX(tblData[ФО],MATCH(ROWS($F$2:tblData[[#This Row],[Индекс2]]),tblData[Индекс2],0)),"")</f>
        <v/>
      </c>
    </row>
    <row r="99" spans="2:7" x14ac:dyDescent="0.35">
      <c r="B99" s="268" t="b">
        <f>NOT(ISERROR(SEARCH(FILLING!$D$11,tblData[[#This Row],[ФО]])))</f>
        <v>0</v>
      </c>
      <c r="C99" s="268" t="str">
        <f>IF(tblData[[#This Row],[Статус]],COUNTIF($B$2:tblData[[#This Row],[Статус]],TRUE),"")</f>
        <v/>
      </c>
      <c r="D99" s="269" t="str">
        <f>IFERROR(INDEX(tblData[ФО],MATCH(ROWS($C$2:tblData[[#This Row],[Индекс]]),tblData[Индекс],0)),"")</f>
        <v/>
      </c>
      <c r="E99" t="b">
        <f>NOT(ISERROR(SEARCH(FILLING!$D$15,tblData[[#This Row],[ФО]])))</f>
        <v>0</v>
      </c>
      <c r="F99" s="267" t="str">
        <f>IF(tblData[[#This Row],[Статус2]],COUNTIF($E$2:tblData[[#This Row],[Статус2]],TRUE),"")</f>
        <v/>
      </c>
      <c r="G99" t="str">
        <f>IFERROR(INDEX(tblData[ФО],MATCH(ROWS($F$2:tblData[[#This Row],[Индекс2]]),tblData[Индекс2],0)),"")</f>
        <v/>
      </c>
    </row>
    <row r="100" spans="2:7" x14ac:dyDescent="0.35">
      <c r="B100" s="268" t="b">
        <f>NOT(ISERROR(SEARCH(FILLING!$D$11,tblData[[#This Row],[ФО]])))</f>
        <v>0</v>
      </c>
      <c r="C100" s="268" t="str">
        <f>IF(tblData[[#This Row],[Статус]],COUNTIF($B$2:tblData[[#This Row],[Статус]],TRUE),"")</f>
        <v/>
      </c>
      <c r="D100" s="269" t="str">
        <f>IFERROR(INDEX(tblData[ФО],MATCH(ROWS($C$2:tblData[[#This Row],[Индекс]]),tblData[Индекс],0)),"")</f>
        <v/>
      </c>
      <c r="E100" t="b">
        <f>NOT(ISERROR(SEARCH(FILLING!$D$15,tblData[[#This Row],[ФО]])))</f>
        <v>0</v>
      </c>
      <c r="F100" s="267" t="str">
        <f>IF(tblData[[#This Row],[Статус2]],COUNTIF($E$2:tblData[[#This Row],[Статус2]],TRUE),"")</f>
        <v/>
      </c>
      <c r="G100" t="str">
        <f>IFERROR(INDEX(tblData[ФО],MATCH(ROWS($F$2:tblData[[#This Row],[Индекс2]]),tblData[Индекс2],0)),"")</f>
        <v/>
      </c>
    </row>
    <row r="101" spans="2:7" x14ac:dyDescent="0.35">
      <c r="B101" s="268" t="b">
        <f>NOT(ISERROR(SEARCH(FILLING!$D$11,tblData[[#This Row],[ФО]])))</f>
        <v>0</v>
      </c>
      <c r="C101" s="268" t="str">
        <f>IF(tblData[[#This Row],[Статус]],COUNTIF($B$2:tblData[[#This Row],[Статус]],TRUE),"")</f>
        <v/>
      </c>
      <c r="D101" s="269" t="str">
        <f>IFERROR(INDEX(tblData[ФО],MATCH(ROWS($C$2:tblData[[#This Row],[Индекс]]),tblData[Индекс],0)),"")</f>
        <v/>
      </c>
      <c r="E101" t="b">
        <f>NOT(ISERROR(SEARCH(FILLING!$D$15,tblData[[#This Row],[ФО]])))</f>
        <v>0</v>
      </c>
      <c r="F101" s="267" t="str">
        <f>IF(tblData[[#This Row],[Статус2]],COUNTIF($E$2:tblData[[#This Row],[Статус2]],TRUE),"")</f>
        <v/>
      </c>
      <c r="G101" t="str">
        <f>IFERROR(INDEX(tblData[ФО],MATCH(ROWS($F$2:tblData[[#This Row],[Индекс2]]),tblData[Индекс2],0)),"")</f>
        <v/>
      </c>
    </row>
    <row r="102" spans="2:7" x14ac:dyDescent="0.35">
      <c r="B102" s="268" t="b">
        <f>NOT(ISERROR(SEARCH(FILLING!$D$11,tblData[[#This Row],[ФО]])))</f>
        <v>0</v>
      </c>
      <c r="C102" s="268" t="str">
        <f>IF(tblData[[#This Row],[Статус]],COUNTIF($B$2:tblData[[#This Row],[Статус]],TRUE),"")</f>
        <v/>
      </c>
      <c r="D102" s="269" t="str">
        <f>IFERROR(INDEX(tblData[ФО],MATCH(ROWS($C$2:tblData[[#This Row],[Индекс]]),tblData[Индекс],0)),"")</f>
        <v/>
      </c>
      <c r="E102" t="b">
        <f>NOT(ISERROR(SEARCH(FILLING!$D$15,tblData[[#This Row],[ФО]])))</f>
        <v>0</v>
      </c>
      <c r="F102" s="267" t="str">
        <f>IF(tblData[[#This Row],[Статус2]],COUNTIF($E$2:tblData[[#This Row],[Статус2]],TRUE),"")</f>
        <v/>
      </c>
      <c r="G102" t="str">
        <f>IFERROR(INDEX(tblData[ФО],MATCH(ROWS($F$2:tblData[[#This Row],[Индекс2]]),tblData[Индекс2],0)),"")</f>
        <v/>
      </c>
    </row>
    <row r="103" spans="2:7" x14ac:dyDescent="0.35">
      <c r="B103" s="268" t="b">
        <f>NOT(ISERROR(SEARCH(FILLING!$D$11,tblData[[#This Row],[ФО]])))</f>
        <v>0</v>
      </c>
      <c r="C103" s="268" t="str">
        <f>IF(tblData[[#This Row],[Статус]],COUNTIF($B$2:tblData[[#This Row],[Статус]],TRUE),"")</f>
        <v/>
      </c>
      <c r="D103" s="269" t="str">
        <f>IFERROR(INDEX(tblData[ФО],MATCH(ROWS($C$2:tblData[[#This Row],[Индекс]]),tblData[Индекс],0)),"")</f>
        <v/>
      </c>
      <c r="E103" t="b">
        <f>NOT(ISERROR(SEARCH(FILLING!$D$15,tblData[[#This Row],[ФО]])))</f>
        <v>0</v>
      </c>
      <c r="F103" s="267" t="str">
        <f>IF(tblData[[#This Row],[Статус2]],COUNTIF($E$2:tblData[[#This Row],[Статус2]],TRUE),"")</f>
        <v/>
      </c>
      <c r="G103" t="str">
        <f>IFERROR(INDEX(tblData[ФО],MATCH(ROWS($F$2:tblData[[#This Row],[Индекс2]]),tblData[Индекс2],0)),"")</f>
        <v/>
      </c>
    </row>
    <row r="104" spans="2:7" x14ac:dyDescent="0.35">
      <c r="B104" s="268" t="b">
        <f>NOT(ISERROR(SEARCH(FILLING!$D$11,tblData[[#This Row],[ФО]])))</f>
        <v>0</v>
      </c>
      <c r="C104" s="268" t="str">
        <f>IF(tblData[[#This Row],[Статус]],COUNTIF($B$2:tblData[[#This Row],[Статус]],TRUE),"")</f>
        <v/>
      </c>
      <c r="D104" s="269" t="str">
        <f>IFERROR(INDEX(tblData[ФО],MATCH(ROWS($C$2:tblData[[#This Row],[Индекс]]),tblData[Индекс],0)),"")</f>
        <v/>
      </c>
      <c r="E104" t="b">
        <f>NOT(ISERROR(SEARCH(FILLING!$D$15,tblData[[#This Row],[ФО]])))</f>
        <v>0</v>
      </c>
      <c r="F104" s="267" t="str">
        <f>IF(tblData[[#This Row],[Статус2]],COUNTIF($E$2:tblData[[#This Row],[Статус2]],TRUE),"")</f>
        <v/>
      </c>
      <c r="G104" t="str">
        <f>IFERROR(INDEX(tblData[ФО],MATCH(ROWS($F$2:tblData[[#This Row],[Индекс2]]),tblData[Индекс2],0)),"")</f>
        <v/>
      </c>
    </row>
    <row r="105" spans="2:7" x14ac:dyDescent="0.35">
      <c r="B105" s="268" t="b">
        <f>NOT(ISERROR(SEARCH(FILLING!$D$11,tblData[[#This Row],[ФО]])))</f>
        <v>0</v>
      </c>
      <c r="C105" s="268" t="str">
        <f>IF(tblData[[#This Row],[Статус]],COUNTIF($B$2:tblData[[#This Row],[Статус]],TRUE),"")</f>
        <v/>
      </c>
      <c r="D105" s="269" t="str">
        <f>IFERROR(INDEX(tblData[ФО],MATCH(ROWS($C$2:tblData[[#This Row],[Индекс]]),tblData[Индекс],0)),"")</f>
        <v/>
      </c>
      <c r="E105" t="b">
        <f>NOT(ISERROR(SEARCH(FILLING!$D$15,tblData[[#This Row],[ФО]])))</f>
        <v>0</v>
      </c>
      <c r="F105" s="267" t="str">
        <f>IF(tblData[[#This Row],[Статус2]],COUNTIF($E$2:tblData[[#This Row],[Статус2]],TRUE),"")</f>
        <v/>
      </c>
      <c r="G105" t="str">
        <f>IFERROR(INDEX(tblData[ФО],MATCH(ROWS($F$2:tblData[[#This Row],[Индекс2]]),tblData[Индекс2],0)),"")</f>
        <v/>
      </c>
    </row>
    <row r="106" spans="2:7" x14ac:dyDescent="0.35">
      <c r="B106" s="268" t="b">
        <f>NOT(ISERROR(SEARCH(FILLING!$D$11,tblData[[#This Row],[ФО]])))</f>
        <v>0</v>
      </c>
      <c r="C106" s="268" t="str">
        <f>IF(tblData[[#This Row],[Статус]],COUNTIF($B$2:tblData[[#This Row],[Статус]],TRUE),"")</f>
        <v/>
      </c>
      <c r="D106" s="269" t="str">
        <f>IFERROR(INDEX(tblData[ФО],MATCH(ROWS($C$2:tblData[[#This Row],[Индекс]]),tblData[Индекс],0)),"")</f>
        <v/>
      </c>
      <c r="E106" t="b">
        <f>NOT(ISERROR(SEARCH(FILLING!$D$15,tblData[[#This Row],[ФО]])))</f>
        <v>0</v>
      </c>
      <c r="F106" s="267" t="str">
        <f>IF(tblData[[#This Row],[Статус2]],COUNTIF($E$2:tblData[[#This Row],[Статус2]],TRUE),"")</f>
        <v/>
      </c>
      <c r="G106" t="str">
        <f>IFERROR(INDEX(tblData[ФО],MATCH(ROWS($F$2:tblData[[#This Row],[Индекс2]]),tblData[Индекс2],0)),"")</f>
        <v/>
      </c>
    </row>
    <row r="107" spans="2:7" x14ac:dyDescent="0.35">
      <c r="B107" s="268" t="b">
        <f>NOT(ISERROR(SEARCH(FILLING!$D$11,tblData[[#This Row],[ФО]])))</f>
        <v>0</v>
      </c>
      <c r="C107" s="268" t="str">
        <f>IF(tblData[[#This Row],[Статус]],COUNTIF($B$2:tblData[[#This Row],[Статус]],TRUE),"")</f>
        <v/>
      </c>
      <c r="D107" s="269" t="str">
        <f>IFERROR(INDEX(tblData[ФО],MATCH(ROWS($C$2:tblData[[#This Row],[Индекс]]),tblData[Индекс],0)),"")</f>
        <v/>
      </c>
      <c r="E107" t="b">
        <f>NOT(ISERROR(SEARCH(FILLING!$D$15,tblData[[#This Row],[ФО]])))</f>
        <v>0</v>
      </c>
      <c r="F107" s="267" t="str">
        <f>IF(tblData[[#This Row],[Статус2]],COUNTIF($E$2:tblData[[#This Row],[Статус2]],TRUE),"")</f>
        <v/>
      </c>
      <c r="G107" t="str">
        <f>IFERROR(INDEX(tblData[ФО],MATCH(ROWS($F$2:tblData[[#This Row],[Индекс2]]),tblData[Индекс2],0)),"")</f>
        <v/>
      </c>
    </row>
    <row r="108" spans="2:7" x14ac:dyDescent="0.35">
      <c r="B108" s="268" t="b">
        <f>NOT(ISERROR(SEARCH(FILLING!$D$11,tblData[[#This Row],[ФО]])))</f>
        <v>0</v>
      </c>
      <c r="C108" s="268" t="str">
        <f>IF(tblData[[#This Row],[Статус]],COUNTIF($B$2:tblData[[#This Row],[Статус]],TRUE),"")</f>
        <v/>
      </c>
      <c r="D108" s="269" t="str">
        <f>IFERROR(INDEX(tblData[ФО],MATCH(ROWS($C$2:tblData[[#This Row],[Индекс]]),tblData[Индекс],0)),"")</f>
        <v/>
      </c>
      <c r="E108" t="b">
        <f>NOT(ISERROR(SEARCH(FILLING!$D$15,tblData[[#This Row],[ФО]])))</f>
        <v>0</v>
      </c>
      <c r="F108" s="267" t="str">
        <f>IF(tblData[[#This Row],[Статус2]],COUNTIF($E$2:tblData[[#This Row],[Статус2]],TRUE),"")</f>
        <v/>
      </c>
      <c r="G108" t="str">
        <f>IFERROR(INDEX(tblData[ФО],MATCH(ROWS($F$2:tblData[[#This Row],[Индекс2]]),tblData[Индекс2],0)),"")</f>
        <v/>
      </c>
    </row>
    <row r="109" spans="2:7" x14ac:dyDescent="0.35">
      <c r="B109" s="268" t="b">
        <f>NOT(ISERROR(SEARCH(FILLING!$D$11,tblData[[#This Row],[ФО]])))</f>
        <v>0</v>
      </c>
      <c r="C109" s="268" t="str">
        <f>IF(tblData[[#This Row],[Статус]],COUNTIF($B$2:tblData[[#This Row],[Статус]],TRUE),"")</f>
        <v/>
      </c>
      <c r="D109" s="269" t="str">
        <f>IFERROR(INDEX(tblData[ФО],MATCH(ROWS($C$2:tblData[[#This Row],[Индекс]]),tblData[Индекс],0)),"")</f>
        <v/>
      </c>
      <c r="E109" t="b">
        <f>NOT(ISERROR(SEARCH(FILLING!$D$15,tblData[[#This Row],[ФО]])))</f>
        <v>0</v>
      </c>
      <c r="F109" s="267" t="str">
        <f>IF(tblData[[#This Row],[Статус2]],COUNTIF($E$2:tblData[[#This Row],[Статус2]],TRUE),"")</f>
        <v/>
      </c>
      <c r="G109" t="str">
        <f>IFERROR(INDEX(tblData[ФО],MATCH(ROWS($F$2:tblData[[#This Row],[Индекс2]]),tblData[Индекс2],0)),"")</f>
        <v/>
      </c>
    </row>
    <row r="110" spans="2:7" x14ac:dyDescent="0.35">
      <c r="B110" s="268" t="b">
        <f>NOT(ISERROR(SEARCH(FILLING!$D$11,tblData[[#This Row],[ФО]])))</f>
        <v>0</v>
      </c>
      <c r="C110" s="268" t="str">
        <f>IF(tblData[[#This Row],[Статус]],COUNTIF($B$2:tblData[[#This Row],[Статус]],TRUE),"")</f>
        <v/>
      </c>
      <c r="D110" s="269" t="str">
        <f>IFERROR(INDEX(tblData[ФО],MATCH(ROWS($C$2:tblData[[#This Row],[Индекс]]),tblData[Индекс],0)),"")</f>
        <v/>
      </c>
      <c r="E110" t="b">
        <f>NOT(ISERROR(SEARCH(FILLING!$D$15,tblData[[#This Row],[ФО]])))</f>
        <v>0</v>
      </c>
      <c r="F110" s="267" t="str">
        <f>IF(tblData[[#This Row],[Статус2]],COUNTIF($E$2:tblData[[#This Row],[Статус2]],TRUE),"")</f>
        <v/>
      </c>
      <c r="G110" t="str">
        <f>IFERROR(INDEX(tblData[ФО],MATCH(ROWS($F$2:tblData[[#This Row],[Индекс2]]),tblData[Индекс2],0)),"")</f>
        <v/>
      </c>
    </row>
    <row r="111" spans="2:7" x14ac:dyDescent="0.35">
      <c r="B111" s="268" t="b">
        <f>NOT(ISERROR(SEARCH(FILLING!$D$11,tblData[[#This Row],[ФО]])))</f>
        <v>0</v>
      </c>
      <c r="C111" s="268" t="str">
        <f>IF(tblData[[#This Row],[Статус]],COUNTIF($B$2:tblData[[#This Row],[Статус]],TRUE),"")</f>
        <v/>
      </c>
      <c r="D111" s="269" t="str">
        <f>IFERROR(INDEX(tblData[ФО],MATCH(ROWS($C$2:tblData[[#This Row],[Индекс]]),tblData[Индекс],0)),"")</f>
        <v/>
      </c>
      <c r="E111" t="b">
        <f>NOT(ISERROR(SEARCH(FILLING!$D$15,tblData[[#This Row],[ФО]])))</f>
        <v>0</v>
      </c>
      <c r="F111" s="267" t="str">
        <f>IF(tblData[[#This Row],[Статус2]],COUNTIF($E$2:tblData[[#This Row],[Статус2]],TRUE),"")</f>
        <v/>
      </c>
      <c r="G111" t="str">
        <f>IFERROR(INDEX(tblData[ФО],MATCH(ROWS($F$2:tblData[[#This Row],[Индекс2]]),tblData[Индекс2],0)),"")</f>
        <v/>
      </c>
    </row>
    <row r="112" spans="2:7" x14ac:dyDescent="0.35">
      <c r="B112" s="268" t="b">
        <f>NOT(ISERROR(SEARCH(FILLING!$D$11,tblData[[#This Row],[ФО]])))</f>
        <v>0</v>
      </c>
      <c r="C112" s="268" t="str">
        <f>IF(tblData[[#This Row],[Статус]],COUNTIF($B$2:tblData[[#This Row],[Статус]],TRUE),"")</f>
        <v/>
      </c>
      <c r="D112" s="269" t="str">
        <f>IFERROR(INDEX(tblData[ФО],MATCH(ROWS($C$2:tblData[[#This Row],[Индекс]]),tblData[Индекс],0)),"")</f>
        <v/>
      </c>
      <c r="E112" t="b">
        <f>NOT(ISERROR(SEARCH(FILLING!$D$15,tblData[[#This Row],[ФО]])))</f>
        <v>0</v>
      </c>
      <c r="F112" s="267" t="str">
        <f>IF(tblData[[#This Row],[Статус2]],COUNTIF($E$2:tblData[[#This Row],[Статус2]],TRUE),"")</f>
        <v/>
      </c>
      <c r="G112" t="str">
        <f>IFERROR(INDEX(tblData[ФО],MATCH(ROWS($F$2:tblData[[#This Row],[Индекс2]]),tblData[Индекс2],0)),"")</f>
        <v/>
      </c>
    </row>
    <row r="113" spans="2:7" x14ac:dyDescent="0.35">
      <c r="B113" s="268" t="b">
        <f>NOT(ISERROR(SEARCH(FILLING!$D$11,tblData[[#This Row],[ФО]])))</f>
        <v>0</v>
      </c>
      <c r="C113" s="268" t="str">
        <f>IF(tblData[[#This Row],[Статус]],COUNTIF($B$2:tblData[[#This Row],[Статус]],TRUE),"")</f>
        <v/>
      </c>
      <c r="D113" s="269" t="str">
        <f>IFERROR(INDEX(tblData[ФО],MATCH(ROWS($C$2:tblData[[#This Row],[Индекс]]),tblData[Индекс],0)),"")</f>
        <v/>
      </c>
      <c r="E113" t="b">
        <f>NOT(ISERROR(SEARCH(FILLING!$D$15,tblData[[#This Row],[ФО]])))</f>
        <v>0</v>
      </c>
      <c r="F113" s="267" t="str">
        <f>IF(tblData[[#This Row],[Статус2]],COUNTIF($E$2:tblData[[#This Row],[Статус2]],TRUE),"")</f>
        <v/>
      </c>
      <c r="G113" t="str">
        <f>IFERROR(INDEX(tblData[ФО],MATCH(ROWS($F$2:tblData[[#This Row],[Индекс2]]),tblData[Индекс2],0)),"")</f>
        <v/>
      </c>
    </row>
    <row r="114" spans="2:7" x14ac:dyDescent="0.35">
      <c r="B114" s="268" t="b">
        <f>NOT(ISERROR(SEARCH(FILLING!$D$11,tblData[[#This Row],[ФО]])))</f>
        <v>0</v>
      </c>
      <c r="C114" s="268" t="str">
        <f>IF(tblData[[#This Row],[Статус]],COUNTIF($B$2:tblData[[#This Row],[Статус]],TRUE),"")</f>
        <v/>
      </c>
      <c r="D114" s="269" t="str">
        <f>IFERROR(INDEX(tblData[ФО],MATCH(ROWS($C$2:tblData[[#This Row],[Индекс]]),tblData[Индекс],0)),"")</f>
        <v/>
      </c>
      <c r="E114" t="b">
        <f>NOT(ISERROR(SEARCH(FILLING!$D$15,tblData[[#This Row],[ФО]])))</f>
        <v>0</v>
      </c>
      <c r="F114" s="267" t="str">
        <f>IF(tblData[[#This Row],[Статус2]],COUNTIF($E$2:tblData[[#This Row],[Статус2]],TRUE),"")</f>
        <v/>
      </c>
      <c r="G114" t="str">
        <f>IFERROR(INDEX(tblData[ФО],MATCH(ROWS($F$2:tblData[[#This Row],[Индекс2]]),tblData[Индекс2],0)),"")</f>
        <v/>
      </c>
    </row>
    <row r="115" spans="2:7" x14ac:dyDescent="0.35">
      <c r="B115" s="268" t="b">
        <f>NOT(ISERROR(SEARCH(FILLING!$D$11,tblData[[#This Row],[ФО]])))</f>
        <v>0</v>
      </c>
      <c r="C115" s="268" t="str">
        <f>IF(tblData[[#This Row],[Статус]],COUNTIF($B$2:tblData[[#This Row],[Статус]],TRUE),"")</f>
        <v/>
      </c>
      <c r="D115" s="269" t="str">
        <f>IFERROR(INDEX(tblData[ФО],MATCH(ROWS($C$2:tblData[[#This Row],[Индекс]]),tblData[Индекс],0)),"")</f>
        <v/>
      </c>
      <c r="E115" t="b">
        <f>NOT(ISERROR(SEARCH(FILLING!$D$15,tblData[[#This Row],[ФО]])))</f>
        <v>0</v>
      </c>
      <c r="F115" s="267" t="str">
        <f>IF(tblData[[#This Row],[Статус2]],COUNTIF($E$2:tblData[[#This Row],[Статус2]],TRUE),"")</f>
        <v/>
      </c>
      <c r="G115" t="str">
        <f>IFERROR(INDEX(tblData[ФО],MATCH(ROWS($F$2:tblData[[#This Row],[Индекс2]]),tblData[Индекс2],0)),"")</f>
        <v/>
      </c>
    </row>
    <row r="116" spans="2:7" x14ac:dyDescent="0.35">
      <c r="B116" s="268" t="b">
        <f>NOT(ISERROR(SEARCH(FILLING!$D$11,tblData[[#This Row],[ФО]])))</f>
        <v>0</v>
      </c>
      <c r="C116" s="268" t="str">
        <f>IF(tblData[[#This Row],[Статус]],COUNTIF($B$2:tblData[[#This Row],[Статус]],TRUE),"")</f>
        <v/>
      </c>
      <c r="D116" s="269" t="str">
        <f>IFERROR(INDEX(tblData[ФО],MATCH(ROWS($C$2:tblData[[#This Row],[Индекс]]),tblData[Индекс],0)),"")</f>
        <v/>
      </c>
      <c r="E116" t="b">
        <f>NOT(ISERROR(SEARCH(FILLING!$D$15,tblData[[#This Row],[ФО]])))</f>
        <v>0</v>
      </c>
      <c r="F116" s="267" t="str">
        <f>IF(tblData[[#This Row],[Статус2]],COUNTIF($E$2:tblData[[#This Row],[Статус2]],TRUE),"")</f>
        <v/>
      </c>
      <c r="G116" t="str">
        <f>IFERROR(INDEX(tblData[ФО],MATCH(ROWS($F$2:tblData[[#This Row],[Индекс2]]),tblData[Индекс2],0)),"")</f>
        <v/>
      </c>
    </row>
    <row r="117" spans="2:7" x14ac:dyDescent="0.35">
      <c r="B117" s="268" t="b">
        <f>NOT(ISERROR(SEARCH(FILLING!$D$11,tblData[[#This Row],[ФО]])))</f>
        <v>0</v>
      </c>
      <c r="C117" s="268" t="str">
        <f>IF(tblData[[#This Row],[Статус]],COUNTIF($B$2:tblData[[#This Row],[Статус]],TRUE),"")</f>
        <v/>
      </c>
      <c r="D117" s="269" t="str">
        <f>IFERROR(INDEX(tblData[ФО],MATCH(ROWS($C$2:tblData[[#This Row],[Индекс]]),tblData[Индекс],0)),"")</f>
        <v/>
      </c>
      <c r="E117" t="b">
        <f>NOT(ISERROR(SEARCH(FILLING!$D$15,tblData[[#This Row],[ФО]])))</f>
        <v>0</v>
      </c>
      <c r="F117" s="267" t="str">
        <f>IF(tblData[[#This Row],[Статус2]],COUNTIF($E$2:tblData[[#This Row],[Статус2]],TRUE),"")</f>
        <v/>
      </c>
      <c r="G117" t="str">
        <f>IFERROR(INDEX(tblData[ФО],MATCH(ROWS($F$2:tblData[[#This Row],[Индекс2]]),tblData[Индекс2],0)),"")</f>
        <v/>
      </c>
    </row>
    <row r="118" spans="2:7" x14ac:dyDescent="0.35">
      <c r="B118" s="268" t="b">
        <f>NOT(ISERROR(SEARCH(FILLING!$D$11,tblData[[#This Row],[ФО]])))</f>
        <v>0</v>
      </c>
      <c r="C118" s="268" t="str">
        <f>IF(tblData[[#This Row],[Статус]],COUNTIF($B$2:tblData[[#This Row],[Статус]],TRUE),"")</f>
        <v/>
      </c>
      <c r="D118" s="269" t="str">
        <f>IFERROR(INDEX(tblData[ФО],MATCH(ROWS($C$2:tblData[[#This Row],[Индекс]]),tblData[Индекс],0)),"")</f>
        <v/>
      </c>
      <c r="E118" t="b">
        <f>NOT(ISERROR(SEARCH(FILLING!$D$15,tblData[[#This Row],[ФО]])))</f>
        <v>0</v>
      </c>
      <c r="F118" s="267" t="str">
        <f>IF(tblData[[#This Row],[Статус2]],COUNTIF($E$2:tblData[[#This Row],[Статус2]],TRUE),"")</f>
        <v/>
      </c>
      <c r="G118" t="str">
        <f>IFERROR(INDEX(tblData[ФО],MATCH(ROWS($F$2:tblData[[#This Row],[Индекс2]]),tblData[Индекс2],0)),"")</f>
        <v/>
      </c>
    </row>
    <row r="119" spans="2:7" x14ac:dyDescent="0.35">
      <c r="B119" s="268" t="b">
        <f>NOT(ISERROR(SEARCH(FILLING!$D$11,tblData[[#This Row],[ФО]])))</f>
        <v>0</v>
      </c>
      <c r="C119" s="268" t="str">
        <f>IF(tblData[[#This Row],[Статус]],COUNTIF($B$2:tblData[[#This Row],[Статус]],TRUE),"")</f>
        <v/>
      </c>
      <c r="D119" s="269" t="str">
        <f>IFERROR(INDEX(tblData[ФО],MATCH(ROWS($C$2:tblData[[#This Row],[Индекс]]),tblData[Индекс],0)),"")</f>
        <v/>
      </c>
      <c r="E119" t="b">
        <f>NOT(ISERROR(SEARCH(FILLING!$D$15,tblData[[#This Row],[ФО]])))</f>
        <v>0</v>
      </c>
      <c r="F119" s="267" t="str">
        <f>IF(tblData[[#This Row],[Статус2]],COUNTIF($E$2:tblData[[#This Row],[Статус2]],TRUE),"")</f>
        <v/>
      </c>
      <c r="G119" t="str">
        <f>IFERROR(INDEX(tblData[ФО],MATCH(ROWS($F$2:tblData[[#This Row],[Индекс2]]),tblData[Индекс2],0)),"")</f>
        <v/>
      </c>
    </row>
    <row r="120" spans="2:7" x14ac:dyDescent="0.35">
      <c r="B120" s="268" t="b">
        <f>NOT(ISERROR(SEARCH(FILLING!$D$11,tblData[[#This Row],[ФО]])))</f>
        <v>0</v>
      </c>
      <c r="C120" s="268" t="str">
        <f>IF(tblData[[#This Row],[Статус]],COUNTIF($B$2:tblData[[#This Row],[Статус]],TRUE),"")</f>
        <v/>
      </c>
      <c r="D120" s="269" t="str">
        <f>IFERROR(INDEX(tblData[ФО],MATCH(ROWS($C$2:tblData[[#This Row],[Индекс]]),tblData[Индекс],0)),"")</f>
        <v/>
      </c>
      <c r="E120" t="b">
        <f>NOT(ISERROR(SEARCH(FILLING!$D$15,tblData[[#This Row],[ФО]])))</f>
        <v>0</v>
      </c>
      <c r="F120" s="267" t="str">
        <f>IF(tblData[[#This Row],[Статус2]],COUNTIF($E$2:tblData[[#This Row],[Статус2]],TRUE),"")</f>
        <v/>
      </c>
      <c r="G120" t="str">
        <f>IFERROR(INDEX(tblData[ФО],MATCH(ROWS($F$2:tblData[[#This Row],[Индекс2]]),tblData[Индекс2],0)),"")</f>
        <v/>
      </c>
    </row>
    <row r="121" spans="2:7" x14ac:dyDescent="0.35">
      <c r="B121" s="268" t="b">
        <f>NOT(ISERROR(SEARCH(FILLING!$D$11,tblData[[#This Row],[ФО]])))</f>
        <v>0</v>
      </c>
      <c r="C121" s="268" t="str">
        <f>IF(tblData[[#This Row],[Статус]],COUNTIF($B$2:tblData[[#This Row],[Статус]],TRUE),"")</f>
        <v/>
      </c>
      <c r="D121" s="269" t="str">
        <f>IFERROR(INDEX(tblData[ФО],MATCH(ROWS($C$2:tblData[[#This Row],[Индекс]]),tblData[Индекс],0)),"")</f>
        <v/>
      </c>
      <c r="E121" t="b">
        <f>NOT(ISERROR(SEARCH(FILLING!$D$15,tblData[[#This Row],[ФО]])))</f>
        <v>0</v>
      </c>
      <c r="F121" s="267" t="str">
        <f>IF(tblData[[#This Row],[Статус2]],COUNTIF($E$2:tblData[[#This Row],[Статус2]],TRUE),"")</f>
        <v/>
      </c>
      <c r="G121" t="str">
        <f>IFERROR(INDEX(tblData[ФО],MATCH(ROWS($F$2:tblData[[#This Row],[Индекс2]]),tblData[Индекс2],0)),"")</f>
        <v/>
      </c>
    </row>
    <row r="122" spans="2:7" x14ac:dyDescent="0.35">
      <c r="B122" s="268" t="b">
        <f>NOT(ISERROR(SEARCH(FILLING!$D$11,tblData[[#This Row],[ФО]])))</f>
        <v>0</v>
      </c>
      <c r="C122" s="268" t="str">
        <f>IF(tblData[[#This Row],[Статус]],COUNTIF($B$2:tblData[[#This Row],[Статус]],TRUE),"")</f>
        <v/>
      </c>
      <c r="D122" s="269" t="str">
        <f>IFERROR(INDEX(tblData[ФО],MATCH(ROWS($C$2:tblData[[#This Row],[Индекс]]),tblData[Индекс],0)),"")</f>
        <v/>
      </c>
      <c r="E122" t="b">
        <f>NOT(ISERROR(SEARCH(FILLING!$D$15,tblData[[#This Row],[ФО]])))</f>
        <v>0</v>
      </c>
      <c r="F122" s="267" t="str">
        <f>IF(tblData[[#This Row],[Статус2]],COUNTIF($E$2:tblData[[#This Row],[Статус2]],TRUE),"")</f>
        <v/>
      </c>
      <c r="G122" t="str">
        <f>IFERROR(INDEX(tblData[ФО],MATCH(ROWS($F$2:tblData[[#This Row],[Индекс2]]),tblData[Индекс2],0)),"")</f>
        <v/>
      </c>
    </row>
    <row r="123" spans="2:7" x14ac:dyDescent="0.35">
      <c r="B123" s="268" t="b">
        <f>NOT(ISERROR(SEARCH(FILLING!$D$11,tblData[[#This Row],[ФО]])))</f>
        <v>0</v>
      </c>
      <c r="C123" s="268" t="str">
        <f>IF(tblData[[#This Row],[Статус]],COUNTIF($B$2:tblData[[#This Row],[Статус]],TRUE),"")</f>
        <v/>
      </c>
      <c r="D123" s="269" t="str">
        <f>IFERROR(INDEX(tblData[ФО],MATCH(ROWS($C$2:tblData[[#This Row],[Индекс]]),tblData[Индекс],0)),"")</f>
        <v/>
      </c>
      <c r="E123" t="b">
        <f>NOT(ISERROR(SEARCH(FILLING!$D$15,tblData[[#This Row],[ФО]])))</f>
        <v>0</v>
      </c>
      <c r="F123" s="267" t="str">
        <f>IF(tblData[[#This Row],[Статус2]],COUNTIF($E$2:tblData[[#This Row],[Статус2]],TRUE),"")</f>
        <v/>
      </c>
      <c r="G123" t="str">
        <f>IFERROR(INDEX(tblData[ФО],MATCH(ROWS($F$2:tblData[[#This Row],[Индекс2]]),tblData[Индекс2],0)),"")</f>
        <v/>
      </c>
    </row>
    <row r="124" spans="2:7" x14ac:dyDescent="0.35">
      <c r="B124" s="268" t="b">
        <f>NOT(ISERROR(SEARCH(FILLING!$D$11,tblData[[#This Row],[ФО]])))</f>
        <v>0</v>
      </c>
      <c r="C124" s="268" t="str">
        <f>IF(tblData[[#This Row],[Статус]],COUNTIF($B$2:tblData[[#This Row],[Статус]],TRUE),"")</f>
        <v/>
      </c>
      <c r="D124" s="269" t="str">
        <f>IFERROR(INDEX(tblData[ФО],MATCH(ROWS($C$2:tblData[[#This Row],[Индекс]]),tblData[Индекс],0)),"")</f>
        <v/>
      </c>
      <c r="E124" t="b">
        <f>NOT(ISERROR(SEARCH(FILLING!$D$15,tblData[[#This Row],[ФО]])))</f>
        <v>0</v>
      </c>
      <c r="F124" s="267" t="str">
        <f>IF(tblData[[#This Row],[Статус2]],COUNTIF($E$2:tblData[[#This Row],[Статус2]],TRUE),"")</f>
        <v/>
      </c>
      <c r="G124" t="str">
        <f>IFERROR(INDEX(tblData[ФО],MATCH(ROWS($F$2:tblData[[#This Row],[Индекс2]]),tblData[Индекс2],0)),"")</f>
        <v/>
      </c>
    </row>
    <row r="125" spans="2:7" x14ac:dyDescent="0.35">
      <c r="B125" s="268" t="b">
        <f>NOT(ISERROR(SEARCH(FILLING!$D$11,tblData[[#This Row],[ФО]])))</f>
        <v>0</v>
      </c>
      <c r="C125" s="268" t="str">
        <f>IF(tblData[[#This Row],[Статус]],COUNTIF($B$2:tblData[[#This Row],[Статус]],TRUE),"")</f>
        <v/>
      </c>
      <c r="D125" s="269" t="str">
        <f>IFERROR(INDEX(tblData[ФО],MATCH(ROWS($C$2:tblData[[#This Row],[Индекс]]),tblData[Индекс],0)),"")</f>
        <v/>
      </c>
      <c r="E125" t="b">
        <f>NOT(ISERROR(SEARCH(FILLING!$D$15,tblData[[#This Row],[ФО]])))</f>
        <v>0</v>
      </c>
      <c r="F125" s="267" t="str">
        <f>IF(tblData[[#This Row],[Статус2]],COUNTIF($E$2:tblData[[#This Row],[Статус2]],TRUE),"")</f>
        <v/>
      </c>
      <c r="G125" t="str">
        <f>IFERROR(INDEX(tblData[ФО],MATCH(ROWS($F$2:tblData[[#This Row],[Индекс2]]),tblData[Индекс2],0)),"")</f>
        <v/>
      </c>
    </row>
    <row r="126" spans="2:7" x14ac:dyDescent="0.35">
      <c r="B126" s="268" t="b">
        <f>NOT(ISERROR(SEARCH(FILLING!$D$11,tblData[[#This Row],[ФО]])))</f>
        <v>0</v>
      </c>
      <c r="C126" s="268" t="str">
        <f>IF(tblData[[#This Row],[Статус]],COUNTIF($B$2:tblData[[#This Row],[Статус]],TRUE),"")</f>
        <v/>
      </c>
      <c r="D126" s="269" t="str">
        <f>IFERROR(INDEX(tblData[ФО],MATCH(ROWS($C$2:tblData[[#This Row],[Индекс]]),tblData[Индекс],0)),"")</f>
        <v/>
      </c>
      <c r="E126" t="b">
        <f>NOT(ISERROR(SEARCH(FILLING!$D$15,tblData[[#This Row],[ФО]])))</f>
        <v>0</v>
      </c>
      <c r="F126" s="267" t="str">
        <f>IF(tblData[[#This Row],[Статус2]],COUNTIF($E$2:tblData[[#This Row],[Статус2]],TRUE),"")</f>
        <v/>
      </c>
      <c r="G126" t="str">
        <f>IFERROR(INDEX(tblData[ФО],MATCH(ROWS($F$2:tblData[[#This Row],[Индекс2]]),tblData[Индекс2],0)),"")</f>
        <v/>
      </c>
    </row>
    <row r="127" spans="2:7" x14ac:dyDescent="0.35">
      <c r="B127" s="268" t="b">
        <f>NOT(ISERROR(SEARCH(FILLING!$D$11,tblData[[#This Row],[ФО]])))</f>
        <v>0</v>
      </c>
      <c r="C127" s="268" t="str">
        <f>IF(tblData[[#This Row],[Статус]],COUNTIF($B$2:tblData[[#This Row],[Статус]],TRUE),"")</f>
        <v/>
      </c>
      <c r="D127" s="269" t="str">
        <f>IFERROR(INDEX(tblData[ФО],MATCH(ROWS($C$2:tblData[[#This Row],[Индекс]]),tblData[Индекс],0)),"")</f>
        <v/>
      </c>
      <c r="E127" t="b">
        <f>NOT(ISERROR(SEARCH(FILLING!$D$15,tblData[[#This Row],[ФО]])))</f>
        <v>0</v>
      </c>
      <c r="F127" s="267" t="str">
        <f>IF(tblData[[#This Row],[Статус2]],COUNTIF($E$2:tblData[[#This Row],[Статус2]],TRUE),"")</f>
        <v/>
      </c>
      <c r="G127" t="str">
        <f>IFERROR(INDEX(tblData[ФО],MATCH(ROWS($F$2:tblData[[#This Row],[Индекс2]]),tblData[Индекс2],0)),"")</f>
        <v/>
      </c>
    </row>
    <row r="128" spans="2:7" x14ac:dyDescent="0.35">
      <c r="B128" s="268" t="b">
        <f>NOT(ISERROR(SEARCH(FILLING!$D$11,tblData[[#This Row],[ФО]])))</f>
        <v>0</v>
      </c>
      <c r="C128" s="268" t="str">
        <f>IF(tblData[[#This Row],[Статус]],COUNTIF($B$2:tblData[[#This Row],[Статус]],TRUE),"")</f>
        <v/>
      </c>
      <c r="D128" s="269" t="str">
        <f>IFERROR(INDEX(tblData[ФО],MATCH(ROWS($C$2:tblData[[#This Row],[Индекс]]),tblData[Индекс],0)),"")</f>
        <v/>
      </c>
      <c r="E128" t="b">
        <f>NOT(ISERROR(SEARCH(FILLING!$D$15,tblData[[#This Row],[ФО]])))</f>
        <v>0</v>
      </c>
      <c r="F128" s="267" t="str">
        <f>IF(tblData[[#This Row],[Статус2]],COUNTIF($E$2:tblData[[#This Row],[Статус2]],TRUE),"")</f>
        <v/>
      </c>
      <c r="G128" t="str">
        <f>IFERROR(INDEX(tblData[ФО],MATCH(ROWS($F$2:tblData[[#This Row],[Индекс2]]),tblData[Индекс2],0)),"")</f>
        <v/>
      </c>
    </row>
    <row r="129" spans="2:7" x14ac:dyDescent="0.35">
      <c r="B129" s="268" t="b">
        <f>NOT(ISERROR(SEARCH(FILLING!$D$11,tblData[[#This Row],[ФО]])))</f>
        <v>0</v>
      </c>
      <c r="C129" s="268" t="str">
        <f>IF(tblData[[#This Row],[Статус]],COUNTIF($B$2:tblData[[#This Row],[Статус]],TRUE),"")</f>
        <v/>
      </c>
      <c r="D129" s="269" t="str">
        <f>IFERROR(INDEX(tblData[ФО],MATCH(ROWS($C$2:tblData[[#This Row],[Индекс]]),tblData[Индекс],0)),"")</f>
        <v/>
      </c>
      <c r="E129" t="b">
        <f>NOT(ISERROR(SEARCH(FILLING!$D$15,tblData[[#This Row],[ФО]])))</f>
        <v>0</v>
      </c>
      <c r="F129" s="267" t="str">
        <f>IF(tblData[[#This Row],[Статус2]],COUNTIF($E$2:tblData[[#This Row],[Статус2]],TRUE),"")</f>
        <v/>
      </c>
      <c r="G129" t="str">
        <f>IFERROR(INDEX(tblData[ФО],MATCH(ROWS($F$2:tblData[[#This Row],[Индекс2]]),tblData[Индекс2],0)),"")</f>
        <v/>
      </c>
    </row>
    <row r="130" spans="2:7" x14ac:dyDescent="0.35">
      <c r="B130" s="268" t="b">
        <f>NOT(ISERROR(SEARCH(FILLING!$D$11,tblData[[#This Row],[ФО]])))</f>
        <v>0</v>
      </c>
      <c r="C130" s="268" t="str">
        <f>IF(tblData[[#This Row],[Статус]],COUNTIF($B$2:tblData[[#This Row],[Статус]],TRUE),"")</f>
        <v/>
      </c>
      <c r="D130" s="269" t="str">
        <f>IFERROR(INDEX(tblData[ФО],MATCH(ROWS($C$2:tblData[[#This Row],[Индекс]]),tblData[Индекс],0)),"")</f>
        <v/>
      </c>
      <c r="E130" t="b">
        <f>NOT(ISERROR(SEARCH(FILLING!$D$15,tblData[[#This Row],[ФО]])))</f>
        <v>0</v>
      </c>
      <c r="F130" s="267" t="str">
        <f>IF(tblData[[#This Row],[Статус2]],COUNTIF($E$2:tblData[[#This Row],[Статус2]],TRUE),"")</f>
        <v/>
      </c>
      <c r="G130" t="str">
        <f>IFERROR(INDEX(tblData[ФО],MATCH(ROWS($F$2:tblData[[#This Row],[Индекс2]]),tblData[Индекс2],0)),"")</f>
        <v/>
      </c>
    </row>
    <row r="131" spans="2:7" x14ac:dyDescent="0.35">
      <c r="B131" s="268" t="b">
        <f>NOT(ISERROR(SEARCH(FILLING!$D$11,tblData[[#This Row],[ФО]])))</f>
        <v>0</v>
      </c>
      <c r="C131" s="268" t="str">
        <f>IF(tblData[[#This Row],[Статус]],COUNTIF($B$2:tblData[[#This Row],[Статус]],TRUE),"")</f>
        <v/>
      </c>
      <c r="D131" s="269" t="str">
        <f>IFERROR(INDEX(tblData[ФО],MATCH(ROWS($C$2:tblData[[#This Row],[Индекс]]),tblData[Индекс],0)),"")</f>
        <v/>
      </c>
      <c r="E131" t="b">
        <f>NOT(ISERROR(SEARCH(FILLING!$D$15,tblData[[#This Row],[ФО]])))</f>
        <v>0</v>
      </c>
      <c r="F131" s="267" t="str">
        <f>IF(tblData[[#This Row],[Статус2]],COUNTIF($E$2:tblData[[#This Row],[Статус2]],TRUE),"")</f>
        <v/>
      </c>
      <c r="G131" t="str">
        <f>IFERROR(INDEX(tblData[ФО],MATCH(ROWS($F$2:tblData[[#This Row],[Индекс2]]),tblData[Индекс2],0)),"")</f>
        <v/>
      </c>
    </row>
    <row r="132" spans="2:7" x14ac:dyDescent="0.35">
      <c r="B132" s="268" t="b">
        <f>NOT(ISERROR(SEARCH(FILLING!$D$11,tblData[[#This Row],[ФО]])))</f>
        <v>0</v>
      </c>
      <c r="C132" s="268" t="str">
        <f>IF(tblData[[#This Row],[Статус]],COUNTIF($B$2:tblData[[#This Row],[Статус]],TRUE),"")</f>
        <v/>
      </c>
      <c r="D132" s="269" t="str">
        <f>IFERROR(INDEX(tblData[ФО],MATCH(ROWS($C$2:tblData[[#This Row],[Индекс]]),tblData[Индекс],0)),"")</f>
        <v/>
      </c>
      <c r="E132" t="b">
        <f>NOT(ISERROR(SEARCH(FILLING!$D$15,tblData[[#This Row],[ФО]])))</f>
        <v>0</v>
      </c>
      <c r="F132" s="267" t="str">
        <f>IF(tblData[[#This Row],[Статус2]],COUNTIF($E$2:tblData[[#This Row],[Статус2]],TRUE),"")</f>
        <v/>
      </c>
      <c r="G132" t="str">
        <f>IFERROR(INDEX(tblData[ФО],MATCH(ROWS($F$2:tblData[[#This Row],[Индекс2]]),tblData[Индекс2],0)),"")</f>
        <v/>
      </c>
    </row>
    <row r="133" spans="2:7" x14ac:dyDescent="0.35">
      <c r="B133" s="268" t="b">
        <f>NOT(ISERROR(SEARCH(FILLING!$D$11,tblData[[#This Row],[ФО]])))</f>
        <v>0</v>
      </c>
      <c r="C133" s="268" t="str">
        <f>IF(tblData[[#This Row],[Статус]],COUNTIF($B$2:tblData[[#This Row],[Статус]],TRUE),"")</f>
        <v/>
      </c>
      <c r="D133" s="269" t="str">
        <f>IFERROR(INDEX(tblData[ФО],MATCH(ROWS($C$2:tblData[[#This Row],[Индекс]]),tblData[Индекс],0)),"")</f>
        <v/>
      </c>
      <c r="E133" t="b">
        <f>NOT(ISERROR(SEARCH(FILLING!$D$15,tblData[[#This Row],[ФО]])))</f>
        <v>0</v>
      </c>
      <c r="F133" s="267" t="str">
        <f>IF(tblData[[#This Row],[Статус2]],COUNTIF($E$2:tblData[[#This Row],[Статус2]],TRUE),"")</f>
        <v/>
      </c>
      <c r="G133" t="str">
        <f>IFERROR(INDEX(tblData[ФО],MATCH(ROWS($F$2:tblData[[#This Row],[Индекс2]]),tblData[Индекс2],0)),"")</f>
        <v/>
      </c>
    </row>
    <row r="134" spans="2:7" x14ac:dyDescent="0.35">
      <c r="B134" s="268" t="b">
        <f>NOT(ISERROR(SEARCH(FILLING!$D$11,tblData[[#This Row],[ФО]])))</f>
        <v>0</v>
      </c>
      <c r="C134" s="268" t="str">
        <f>IF(tblData[[#This Row],[Статус]],COUNTIF($B$2:tblData[[#This Row],[Статус]],TRUE),"")</f>
        <v/>
      </c>
      <c r="D134" s="269" t="str">
        <f>IFERROR(INDEX(tblData[ФО],MATCH(ROWS($C$2:tblData[[#This Row],[Индекс]]),tblData[Индекс],0)),"")</f>
        <v/>
      </c>
      <c r="E134" t="b">
        <f>NOT(ISERROR(SEARCH(FILLING!$D$15,tblData[[#This Row],[ФО]])))</f>
        <v>0</v>
      </c>
      <c r="F134" s="267" t="str">
        <f>IF(tblData[[#This Row],[Статус2]],COUNTIF($E$2:tblData[[#This Row],[Статус2]],TRUE),"")</f>
        <v/>
      </c>
      <c r="G134" t="str">
        <f>IFERROR(INDEX(tblData[ФО],MATCH(ROWS($F$2:tblData[[#This Row],[Индекс2]]),tblData[Индекс2],0)),"")</f>
        <v/>
      </c>
    </row>
    <row r="135" spans="2:7" x14ac:dyDescent="0.35">
      <c r="B135" s="268" t="b">
        <f>NOT(ISERROR(SEARCH(FILLING!$D$11,tblData[[#This Row],[ФО]])))</f>
        <v>0</v>
      </c>
      <c r="C135" s="268" t="str">
        <f>IF(tblData[[#This Row],[Статус]],COUNTIF($B$2:tblData[[#This Row],[Статус]],TRUE),"")</f>
        <v/>
      </c>
      <c r="D135" s="269" t="str">
        <f>IFERROR(INDEX(tblData[ФО],MATCH(ROWS($C$2:tblData[[#This Row],[Индекс]]),tblData[Индекс],0)),"")</f>
        <v/>
      </c>
      <c r="E135" t="b">
        <f>NOT(ISERROR(SEARCH(FILLING!$D$15,tblData[[#This Row],[ФО]])))</f>
        <v>0</v>
      </c>
      <c r="F135" s="267" t="str">
        <f>IF(tblData[[#This Row],[Статус2]],COUNTIF($E$2:tblData[[#This Row],[Статус2]],TRUE),"")</f>
        <v/>
      </c>
      <c r="G135" t="str">
        <f>IFERROR(INDEX(tblData[ФО],MATCH(ROWS($F$2:tblData[[#This Row],[Индекс2]]),tblData[Индекс2],0)),"")</f>
        <v/>
      </c>
    </row>
    <row r="136" spans="2:7" x14ac:dyDescent="0.35">
      <c r="B136" s="268" t="b">
        <f>NOT(ISERROR(SEARCH(FILLING!$D$11,tblData[[#This Row],[ФО]])))</f>
        <v>0</v>
      </c>
      <c r="C136" s="268" t="str">
        <f>IF(tblData[[#This Row],[Статус]],COUNTIF($B$2:tblData[[#This Row],[Статус]],TRUE),"")</f>
        <v/>
      </c>
      <c r="D136" s="269" t="str">
        <f>IFERROR(INDEX(tblData[ФО],MATCH(ROWS($C$2:tblData[[#This Row],[Индекс]]),tblData[Индекс],0)),"")</f>
        <v/>
      </c>
      <c r="E136" t="b">
        <f>NOT(ISERROR(SEARCH(FILLING!$D$15,tblData[[#This Row],[ФО]])))</f>
        <v>0</v>
      </c>
      <c r="F136" s="267" t="str">
        <f>IF(tblData[[#This Row],[Статус2]],COUNTIF($E$2:tblData[[#This Row],[Статус2]],TRUE),"")</f>
        <v/>
      </c>
      <c r="G136" t="str">
        <f>IFERROR(INDEX(tblData[ФО],MATCH(ROWS($F$2:tblData[[#This Row],[Индекс2]]),tblData[Индекс2],0)),"")</f>
        <v/>
      </c>
    </row>
    <row r="137" spans="2:7" x14ac:dyDescent="0.35">
      <c r="B137" s="268" t="b">
        <f>NOT(ISERROR(SEARCH(FILLING!$D$11,tblData[[#This Row],[ФО]])))</f>
        <v>0</v>
      </c>
      <c r="C137" s="268" t="str">
        <f>IF(tblData[[#This Row],[Статус]],COUNTIF($B$2:tblData[[#This Row],[Статус]],TRUE),"")</f>
        <v/>
      </c>
      <c r="D137" s="269" t="str">
        <f>IFERROR(INDEX(tblData[ФО],MATCH(ROWS($C$2:tblData[[#This Row],[Индекс]]),tblData[Индекс],0)),"")</f>
        <v/>
      </c>
      <c r="E137" t="b">
        <f>NOT(ISERROR(SEARCH(FILLING!$D$15,tblData[[#This Row],[ФО]])))</f>
        <v>0</v>
      </c>
      <c r="F137" s="267" t="str">
        <f>IF(tblData[[#This Row],[Статус2]],COUNTIF($E$2:tblData[[#This Row],[Статус2]],TRUE),"")</f>
        <v/>
      </c>
      <c r="G137" t="str">
        <f>IFERROR(INDEX(tblData[ФО],MATCH(ROWS($F$2:tblData[[#This Row],[Индекс2]]),tblData[Индекс2],0)),"")</f>
        <v/>
      </c>
    </row>
    <row r="138" spans="2:7" x14ac:dyDescent="0.35">
      <c r="B138" s="268" t="b">
        <f>NOT(ISERROR(SEARCH(FILLING!$D$11,tblData[[#This Row],[ФО]])))</f>
        <v>0</v>
      </c>
      <c r="C138" s="268" t="str">
        <f>IF(tblData[[#This Row],[Статус]],COUNTIF($B$2:tblData[[#This Row],[Статус]],TRUE),"")</f>
        <v/>
      </c>
      <c r="D138" s="269" t="str">
        <f>IFERROR(INDEX(tblData[ФО],MATCH(ROWS($C$2:tblData[[#This Row],[Индекс]]),tblData[Индекс],0)),"")</f>
        <v/>
      </c>
      <c r="E138" t="b">
        <f>NOT(ISERROR(SEARCH(FILLING!$D$15,tblData[[#This Row],[ФО]])))</f>
        <v>0</v>
      </c>
      <c r="F138" s="267" t="str">
        <f>IF(tblData[[#This Row],[Статус2]],COUNTIF($E$2:tblData[[#This Row],[Статус2]],TRUE),"")</f>
        <v/>
      </c>
      <c r="G138" t="str">
        <f>IFERROR(INDEX(tblData[ФО],MATCH(ROWS($F$2:tblData[[#This Row],[Индекс2]]),tblData[Индекс2],0)),"")</f>
        <v/>
      </c>
    </row>
    <row r="139" spans="2:7" x14ac:dyDescent="0.35">
      <c r="B139" s="268" t="b">
        <f>NOT(ISERROR(SEARCH(FILLING!$D$11,tblData[[#This Row],[ФО]])))</f>
        <v>0</v>
      </c>
      <c r="C139" s="268" t="str">
        <f>IF(tblData[[#This Row],[Статус]],COUNTIF($B$2:tblData[[#This Row],[Статус]],TRUE),"")</f>
        <v/>
      </c>
      <c r="D139" s="269" t="str">
        <f>IFERROR(INDEX(tblData[ФО],MATCH(ROWS($C$2:tblData[[#This Row],[Индекс]]),tblData[Индекс],0)),"")</f>
        <v/>
      </c>
      <c r="E139" t="b">
        <f>NOT(ISERROR(SEARCH(FILLING!$D$15,tblData[[#This Row],[ФО]])))</f>
        <v>0</v>
      </c>
      <c r="F139" s="267" t="str">
        <f>IF(tblData[[#This Row],[Статус2]],COUNTIF($E$2:tblData[[#This Row],[Статус2]],TRUE),"")</f>
        <v/>
      </c>
      <c r="G139" t="str">
        <f>IFERROR(INDEX(tblData[ФО],MATCH(ROWS($F$2:tblData[[#This Row],[Индекс2]]),tblData[Индекс2],0)),"")</f>
        <v/>
      </c>
    </row>
    <row r="140" spans="2:7" x14ac:dyDescent="0.35">
      <c r="B140" s="268" t="b">
        <f>NOT(ISERROR(SEARCH(FILLING!$D$11,tblData[[#This Row],[ФО]])))</f>
        <v>0</v>
      </c>
      <c r="C140" s="268" t="str">
        <f>IF(tblData[[#This Row],[Статус]],COUNTIF($B$2:tblData[[#This Row],[Статус]],TRUE),"")</f>
        <v/>
      </c>
      <c r="D140" s="269" t="str">
        <f>IFERROR(INDEX(tblData[ФО],MATCH(ROWS($C$2:tblData[[#This Row],[Индекс]]),tblData[Индекс],0)),"")</f>
        <v/>
      </c>
      <c r="E140" t="b">
        <f>NOT(ISERROR(SEARCH(FILLING!$D$15,tblData[[#This Row],[ФО]])))</f>
        <v>0</v>
      </c>
      <c r="F140" s="267" t="str">
        <f>IF(tblData[[#This Row],[Статус2]],COUNTIF($E$2:tblData[[#This Row],[Статус2]],TRUE),"")</f>
        <v/>
      </c>
      <c r="G140" t="str">
        <f>IFERROR(INDEX(tblData[ФО],MATCH(ROWS($F$2:tblData[[#This Row],[Индекс2]]),tblData[Индекс2],0)),"")</f>
        <v/>
      </c>
    </row>
    <row r="141" spans="2:7" x14ac:dyDescent="0.35">
      <c r="B141" s="268" t="b">
        <f>NOT(ISERROR(SEARCH(FILLING!$D$11,tblData[[#This Row],[ФО]])))</f>
        <v>0</v>
      </c>
      <c r="C141" s="268" t="str">
        <f>IF(tblData[[#This Row],[Статус]],COUNTIF($B$2:tblData[[#This Row],[Статус]],TRUE),"")</f>
        <v/>
      </c>
      <c r="D141" s="269" t="str">
        <f>IFERROR(INDEX(tblData[ФО],MATCH(ROWS($C$2:tblData[[#This Row],[Индекс]]),tblData[Индекс],0)),"")</f>
        <v/>
      </c>
      <c r="E141" t="b">
        <f>NOT(ISERROR(SEARCH(FILLING!$D$15,tblData[[#This Row],[ФО]])))</f>
        <v>0</v>
      </c>
      <c r="F141" s="267" t="str">
        <f>IF(tblData[[#This Row],[Статус2]],COUNTIF($E$2:tblData[[#This Row],[Статус2]],TRUE),"")</f>
        <v/>
      </c>
      <c r="G141" t="str">
        <f>IFERROR(INDEX(tblData[ФО],MATCH(ROWS($F$2:tblData[[#This Row],[Индекс2]]),tblData[Индекс2],0)),"")</f>
        <v/>
      </c>
    </row>
    <row r="142" spans="2:7" x14ac:dyDescent="0.35">
      <c r="B142" s="268" t="b">
        <f>NOT(ISERROR(SEARCH(FILLING!$D$11,tblData[[#This Row],[ФО]])))</f>
        <v>0</v>
      </c>
      <c r="C142" s="268" t="str">
        <f>IF(tblData[[#This Row],[Статус]],COUNTIF($B$2:tblData[[#This Row],[Статус]],TRUE),"")</f>
        <v/>
      </c>
      <c r="D142" s="269" t="str">
        <f>IFERROR(INDEX(tblData[ФО],MATCH(ROWS($C$2:tblData[[#This Row],[Индекс]]),tblData[Индекс],0)),"")</f>
        <v/>
      </c>
      <c r="E142" t="b">
        <f>NOT(ISERROR(SEARCH(FILLING!$D$15,tblData[[#This Row],[ФО]])))</f>
        <v>0</v>
      </c>
      <c r="F142" s="267" t="str">
        <f>IF(tblData[[#This Row],[Статус2]],COUNTIF($E$2:tblData[[#This Row],[Статус2]],TRUE),"")</f>
        <v/>
      </c>
      <c r="G142" t="str">
        <f>IFERROR(INDEX(tblData[ФО],MATCH(ROWS($F$2:tblData[[#This Row],[Индекс2]]),tblData[Индекс2],0)),"")</f>
        <v/>
      </c>
    </row>
    <row r="143" spans="2:7" x14ac:dyDescent="0.35">
      <c r="B143" s="268" t="b">
        <f>NOT(ISERROR(SEARCH(FILLING!$D$11,tblData[[#This Row],[ФО]])))</f>
        <v>0</v>
      </c>
      <c r="C143" s="268" t="str">
        <f>IF(tblData[[#This Row],[Статус]],COUNTIF($B$2:tblData[[#This Row],[Статус]],TRUE),"")</f>
        <v/>
      </c>
      <c r="D143" s="269" t="str">
        <f>IFERROR(INDEX(tblData[ФО],MATCH(ROWS($C$2:tblData[[#This Row],[Индекс]]),tblData[Индекс],0)),"")</f>
        <v/>
      </c>
      <c r="E143" t="b">
        <f>NOT(ISERROR(SEARCH(FILLING!$D$15,tblData[[#This Row],[ФО]])))</f>
        <v>0</v>
      </c>
      <c r="F143" s="267" t="str">
        <f>IF(tblData[[#This Row],[Статус2]],COUNTIF($E$2:tblData[[#This Row],[Статус2]],TRUE),"")</f>
        <v/>
      </c>
      <c r="G143" t="str">
        <f>IFERROR(INDEX(tblData[ФО],MATCH(ROWS($F$2:tblData[[#This Row],[Индекс2]]),tblData[Индекс2],0)),"")</f>
        <v/>
      </c>
    </row>
    <row r="144" spans="2:7" x14ac:dyDescent="0.35">
      <c r="B144" s="268" t="b">
        <f>NOT(ISERROR(SEARCH(FILLING!$D$11,tblData[[#This Row],[ФО]])))</f>
        <v>0</v>
      </c>
      <c r="C144" s="268" t="str">
        <f>IF(tblData[[#This Row],[Статус]],COUNTIF($B$2:tblData[[#This Row],[Статус]],TRUE),"")</f>
        <v/>
      </c>
      <c r="D144" s="269" t="str">
        <f>IFERROR(INDEX(tblData[ФО],MATCH(ROWS($C$2:tblData[[#This Row],[Индекс]]),tblData[Индекс],0)),"")</f>
        <v/>
      </c>
      <c r="E144" t="b">
        <f>NOT(ISERROR(SEARCH(FILLING!$D$15,tblData[[#This Row],[ФО]])))</f>
        <v>0</v>
      </c>
      <c r="F144" s="267" t="str">
        <f>IF(tblData[[#This Row],[Статус2]],COUNTIF($E$2:tblData[[#This Row],[Статус2]],TRUE),"")</f>
        <v/>
      </c>
      <c r="G144" t="str">
        <f>IFERROR(INDEX(tblData[ФО],MATCH(ROWS($F$2:tblData[[#This Row],[Индекс2]]),tblData[Индекс2],0)),"")</f>
        <v/>
      </c>
    </row>
    <row r="145" spans="2:7" x14ac:dyDescent="0.35">
      <c r="B145" s="268" t="b">
        <f>NOT(ISERROR(SEARCH(FILLING!$D$11,tblData[[#This Row],[ФО]])))</f>
        <v>0</v>
      </c>
      <c r="C145" s="268" t="str">
        <f>IF(tblData[[#This Row],[Статус]],COUNTIF($B$2:tblData[[#This Row],[Статус]],TRUE),"")</f>
        <v/>
      </c>
      <c r="D145" s="269" t="str">
        <f>IFERROR(INDEX(tblData[ФО],MATCH(ROWS($C$2:tblData[[#This Row],[Индекс]]),tblData[Индекс],0)),"")</f>
        <v/>
      </c>
      <c r="E145" t="b">
        <f>NOT(ISERROR(SEARCH(FILLING!$D$15,tblData[[#This Row],[ФО]])))</f>
        <v>0</v>
      </c>
      <c r="F145" s="267" t="str">
        <f>IF(tblData[[#This Row],[Статус2]],COUNTIF($E$2:tblData[[#This Row],[Статус2]],TRUE),"")</f>
        <v/>
      </c>
      <c r="G145" t="str">
        <f>IFERROR(INDEX(tblData[ФО],MATCH(ROWS($F$2:tblData[[#This Row],[Индекс2]]),tblData[Индекс2],0)),"")</f>
        <v/>
      </c>
    </row>
    <row r="146" spans="2:7" x14ac:dyDescent="0.35">
      <c r="B146" s="268" t="b">
        <f>NOT(ISERROR(SEARCH(FILLING!$D$11,tblData[[#This Row],[ФО]])))</f>
        <v>0</v>
      </c>
      <c r="C146" s="268" t="str">
        <f>IF(tblData[[#This Row],[Статус]],COUNTIF($B$2:tblData[[#This Row],[Статус]],TRUE),"")</f>
        <v/>
      </c>
      <c r="D146" s="269" t="str">
        <f>IFERROR(INDEX(tblData[ФО],MATCH(ROWS($C$2:tblData[[#This Row],[Индекс]]),tblData[Индекс],0)),"")</f>
        <v/>
      </c>
      <c r="E146" t="b">
        <f>NOT(ISERROR(SEARCH(FILLING!$D$15,tblData[[#This Row],[ФО]])))</f>
        <v>0</v>
      </c>
      <c r="F146" s="267" t="str">
        <f>IF(tblData[[#This Row],[Статус2]],COUNTIF($E$2:tblData[[#This Row],[Статус2]],TRUE),"")</f>
        <v/>
      </c>
      <c r="G146" t="str">
        <f>IFERROR(INDEX(tblData[ФО],MATCH(ROWS($F$2:tblData[[#This Row],[Индекс2]]),tblData[Индекс2],0)),"")</f>
        <v/>
      </c>
    </row>
    <row r="147" spans="2:7" x14ac:dyDescent="0.35">
      <c r="B147" s="268" t="b">
        <f>NOT(ISERROR(SEARCH(FILLING!$D$11,tblData[[#This Row],[ФО]])))</f>
        <v>0</v>
      </c>
      <c r="C147" s="268" t="str">
        <f>IF(tblData[[#This Row],[Статус]],COUNTIF($B$2:tblData[[#This Row],[Статус]],TRUE),"")</f>
        <v/>
      </c>
      <c r="D147" s="269" t="str">
        <f>IFERROR(INDEX(tblData[ФО],MATCH(ROWS($C$2:tblData[[#This Row],[Индекс]]),tblData[Индекс],0)),"")</f>
        <v/>
      </c>
      <c r="E147" t="b">
        <f>NOT(ISERROR(SEARCH(FILLING!$D$15,tblData[[#This Row],[ФО]])))</f>
        <v>0</v>
      </c>
      <c r="F147" s="267" t="str">
        <f>IF(tblData[[#This Row],[Статус2]],COUNTIF($E$2:tblData[[#This Row],[Статус2]],TRUE),"")</f>
        <v/>
      </c>
      <c r="G147" t="str">
        <f>IFERROR(INDEX(tblData[ФО],MATCH(ROWS($F$2:tblData[[#This Row],[Индекс2]]),tblData[Индекс2],0)),"")</f>
        <v/>
      </c>
    </row>
    <row r="148" spans="2:7" x14ac:dyDescent="0.35">
      <c r="B148" s="268" t="b">
        <f>NOT(ISERROR(SEARCH(FILLING!$D$11,tblData[[#This Row],[ФО]])))</f>
        <v>0</v>
      </c>
      <c r="C148" s="268" t="str">
        <f>IF(tblData[[#This Row],[Статус]],COUNTIF($B$2:tblData[[#This Row],[Статус]],TRUE),"")</f>
        <v/>
      </c>
      <c r="D148" s="269" t="str">
        <f>IFERROR(INDEX(tblData[ФО],MATCH(ROWS($C$2:tblData[[#This Row],[Индекс]]),tblData[Индекс],0)),"")</f>
        <v/>
      </c>
      <c r="E148" t="b">
        <f>NOT(ISERROR(SEARCH(FILLING!$D$15,tblData[[#This Row],[ФО]])))</f>
        <v>0</v>
      </c>
      <c r="F148" s="267" t="str">
        <f>IF(tblData[[#This Row],[Статус2]],COUNTIF($E$2:tblData[[#This Row],[Статус2]],TRUE),"")</f>
        <v/>
      </c>
      <c r="G148" t="str">
        <f>IFERROR(INDEX(tblData[ФО],MATCH(ROWS($F$2:tblData[[#This Row],[Индекс2]]),tblData[Индекс2],0)),"")</f>
        <v/>
      </c>
    </row>
    <row r="149" spans="2:7" x14ac:dyDescent="0.35">
      <c r="B149" s="268" t="b">
        <f>NOT(ISERROR(SEARCH(FILLING!$D$11,tblData[[#This Row],[ФО]])))</f>
        <v>0</v>
      </c>
      <c r="C149" s="268" t="str">
        <f>IF(tblData[[#This Row],[Статус]],COUNTIF($B$2:tblData[[#This Row],[Статус]],TRUE),"")</f>
        <v/>
      </c>
      <c r="D149" s="269" t="str">
        <f>IFERROR(INDEX(tblData[ФО],MATCH(ROWS($C$2:tblData[[#This Row],[Индекс]]),tblData[Индекс],0)),"")</f>
        <v/>
      </c>
      <c r="E149" t="b">
        <f>NOT(ISERROR(SEARCH(FILLING!$D$15,tblData[[#This Row],[ФО]])))</f>
        <v>0</v>
      </c>
      <c r="F149" s="267" t="str">
        <f>IF(tblData[[#This Row],[Статус2]],COUNTIF($E$2:tblData[[#This Row],[Статус2]],TRUE),"")</f>
        <v/>
      </c>
      <c r="G149" t="str">
        <f>IFERROR(INDEX(tblData[ФО],MATCH(ROWS($F$2:tblData[[#This Row],[Индекс2]]),tblData[Индекс2],0)),"")</f>
        <v/>
      </c>
    </row>
    <row r="150" spans="2:7" x14ac:dyDescent="0.35">
      <c r="B150" s="268" t="b">
        <f>NOT(ISERROR(SEARCH(FILLING!$D$11,tblData[[#This Row],[ФО]])))</f>
        <v>0</v>
      </c>
      <c r="C150" s="268" t="str">
        <f>IF(tblData[[#This Row],[Статус]],COUNTIF($B$2:tblData[[#This Row],[Статус]],TRUE),"")</f>
        <v/>
      </c>
      <c r="D150" s="269" t="str">
        <f>IFERROR(INDEX(tblData[ФО],MATCH(ROWS($C$2:tblData[[#This Row],[Индекс]]),tblData[Индекс],0)),"")</f>
        <v/>
      </c>
      <c r="E150" t="b">
        <f>NOT(ISERROR(SEARCH(FILLING!$D$15,tblData[[#This Row],[ФО]])))</f>
        <v>0</v>
      </c>
      <c r="F150" s="267" t="str">
        <f>IF(tblData[[#This Row],[Статус2]],COUNTIF($E$2:tblData[[#This Row],[Статус2]],TRUE),"")</f>
        <v/>
      </c>
      <c r="G150" t="str">
        <f>IFERROR(INDEX(tblData[ФО],MATCH(ROWS($F$2:tblData[[#This Row],[Индекс2]]),tblData[Индекс2],0)),"")</f>
        <v/>
      </c>
    </row>
    <row r="151" spans="2:7" x14ac:dyDescent="0.35">
      <c r="B151" s="268" t="b">
        <f>NOT(ISERROR(SEARCH(FILLING!$D$11,tblData[[#This Row],[ФО]])))</f>
        <v>0</v>
      </c>
      <c r="C151" s="268" t="str">
        <f>IF(tblData[[#This Row],[Статус]],COUNTIF($B$2:tblData[[#This Row],[Статус]],TRUE),"")</f>
        <v/>
      </c>
      <c r="D151" s="269" t="str">
        <f>IFERROR(INDEX(tblData[ФО],MATCH(ROWS($C$2:tblData[[#This Row],[Индекс]]),tblData[Индекс],0)),"")</f>
        <v/>
      </c>
      <c r="E151" t="b">
        <f>NOT(ISERROR(SEARCH(FILLING!$D$15,tblData[[#This Row],[ФО]])))</f>
        <v>0</v>
      </c>
      <c r="F151" s="267" t="str">
        <f>IF(tblData[[#This Row],[Статус2]],COUNTIF($E$2:tblData[[#This Row],[Статус2]],TRUE),"")</f>
        <v/>
      </c>
      <c r="G151" t="str">
        <f>IFERROR(INDEX(tblData[ФО],MATCH(ROWS($F$2:tblData[[#This Row],[Индекс2]]),tblData[Индекс2],0)),"")</f>
        <v/>
      </c>
    </row>
    <row r="152" spans="2:7" x14ac:dyDescent="0.35">
      <c r="B152" s="268" t="b">
        <f>NOT(ISERROR(SEARCH(FILLING!$D$11,tblData[[#This Row],[ФО]])))</f>
        <v>0</v>
      </c>
      <c r="C152" s="268" t="str">
        <f>IF(tblData[[#This Row],[Статус]],COUNTIF($B$2:tblData[[#This Row],[Статус]],TRUE),"")</f>
        <v/>
      </c>
      <c r="D152" s="269" t="str">
        <f>IFERROR(INDEX(tblData[ФО],MATCH(ROWS($C$2:tblData[[#This Row],[Индекс]]),tblData[Индекс],0)),"")</f>
        <v/>
      </c>
      <c r="E152" t="b">
        <f>NOT(ISERROR(SEARCH(FILLING!$D$15,tblData[[#This Row],[ФО]])))</f>
        <v>0</v>
      </c>
      <c r="F152" s="267" t="str">
        <f>IF(tblData[[#This Row],[Статус2]],COUNTIF($E$2:tblData[[#This Row],[Статус2]],TRUE),"")</f>
        <v/>
      </c>
      <c r="G152" t="str">
        <f>IFERROR(INDEX(tblData[ФО],MATCH(ROWS($F$2:tblData[[#This Row],[Индекс2]]),tblData[Индекс2],0)),"")</f>
        <v/>
      </c>
    </row>
    <row r="153" spans="2:7" x14ac:dyDescent="0.35">
      <c r="B153" s="268" t="b">
        <f>NOT(ISERROR(SEARCH(FILLING!$D$11,tblData[[#This Row],[ФО]])))</f>
        <v>0</v>
      </c>
      <c r="C153" s="268" t="str">
        <f>IF(tblData[[#This Row],[Статус]],COUNTIF($B$2:tblData[[#This Row],[Статус]],TRUE),"")</f>
        <v/>
      </c>
      <c r="D153" s="269" t="str">
        <f>IFERROR(INDEX(tblData[ФО],MATCH(ROWS($C$2:tblData[[#This Row],[Индекс]]),tblData[Индекс],0)),"")</f>
        <v/>
      </c>
      <c r="E153" t="b">
        <f>NOT(ISERROR(SEARCH(FILLING!$D$15,tblData[[#This Row],[ФО]])))</f>
        <v>0</v>
      </c>
      <c r="F153" s="267" t="str">
        <f>IF(tblData[[#This Row],[Статус2]],COUNTIF($E$2:tblData[[#This Row],[Статус2]],TRUE),"")</f>
        <v/>
      </c>
      <c r="G153" t="str">
        <f>IFERROR(INDEX(tblData[ФО],MATCH(ROWS($F$2:tblData[[#This Row],[Индекс2]]),tblData[Индекс2],0)),"")</f>
        <v/>
      </c>
    </row>
    <row r="154" spans="2:7" x14ac:dyDescent="0.35">
      <c r="B154" s="268" t="b">
        <f>NOT(ISERROR(SEARCH(FILLING!$D$11,tblData[[#This Row],[ФО]])))</f>
        <v>0</v>
      </c>
      <c r="C154" s="268" t="str">
        <f>IF(tblData[[#This Row],[Статус]],COUNTIF($B$2:tblData[[#This Row],[Статус]],TRUE),"")</f>
        <v/>
      </c>
      <c r="D154" s="269" t="str">
        <f>IFERROR(INDEX(tblData[ФО],MATCH(ROWS($C$2:tblData[[#This Row],[Индекс]]),tblData[Индекс],0)),"")</f>
        <v/>
      </c>
      <c r="E154" t="b">
        <f>NOT(ISERROR(SEARCH(FILLING!$D$15,tblData[[#This Row],[ФО]])))</f>
        <v>0</v>
      </c>
      <c r="F154" s="267" t="str">
        <f>IF(tblData[[#This Row],[Статус2]],COUNTIF($E$2:tblData[[#This Row],[Статус2]],TRUE),"")</f>
        <v/>
      </c>
      <c r="G154" t="str">
        <f>IFERROR(INDEX(tblData[ФО],MATCH(ROWS($F$2:tblData[[#This Row],[Индекс2]]),tblData[Индекс2],0)),"")</f>
        <v/>
      </c>
    </row>
    <row r="155" spans="2:7" x14ac:dyDescent="0.35">
      <c r="B155" s="268" t="b">
        <f>NOT(ISERROR(SEARCH(FILLING!$D$11,tblData[[#This Row],[ФО]])))</f>
        <v>0</v>
      </c>
      <c r="C155" s="268" t="str">
        <f>IF(tblData[[#This Row],[Статус]],COUNTIF($B$2:tblData[[#This Row],[Статус]],TRUE),"")</f>
        <v/>
      </c>
      <c r="D155" s="269" t="str">
        <f>IFERROR(INDEX(tblData[ФО],MATCH(ROWS($C$2:tblData[[#This Row],[Индекс]]),tblData[Индекс],0)),"")</f>
        <v/>
      </c>
      <c r="E155" t="b">
        <f>NOT(ISERROR(SEARCH(FILLING!$D$15,tblData[[#This Row],[ФО]])))</f>
        <v>0</v>
      </c>
      <c r="F155" s="267" t="str">
        <f>IF(tblData[[#This Row],[Статус2]],COUNTIF($E$2:tblData[[#This Row],[Статус2]],TRUE),"")</f>
        <v/>
      </c>
      <c r="G155" t="str">
        <f>IFERROR(INDEX(tblData[ФО],MATCH(ROWS($F$2:tblData[[#This Row],[Индекс2]]),tblData[Индекс2],0)),"")</f>
        <v/>
      </c>
    </row>
    <row r="156" spans="2:7" x14ac:dyDescent="0.35">
      <c r="B156" s="268" t="b">
        <f>NOT(ISERROR(SEARCH(FILLING!$D$11,tblData[[#This Row],[ФО]])))</f>
        <v>0</v>
      </c>
      <c r="C156" s="268" t="str">
        <f>IF(tblData[[#This Row],[Статус]],COUNTIF($B$2:tblData[[#This Row],[Статус]],TRUE),"")</f>
        <v/>
      </c>
      <c r="D156" s="269" t="str">
        <f>IFERROR(INDEX(tblData[ФО],MATCH(ROWS($C$2:tblData[[#This Row],[Индекс]]),tblData[Индекс],0)),"")</f>
        <v/>
      </c>
      <c r="E156" t="b">
        <f>NOT(ISERROR(SEARCH(FILLING!$D$15,tblData[[#This Row],[ФО]])))</f>
        <v>0</v>
      </c>
      <c r="F156" s="267" t="str">
        <f>IF(tblData[[#This Row],[Статус2]],COUNTIF($E$2:tblData[[#This Row],[Статус2]],TRUE),"")</f>
        <v/>
      </c>
      <c r="G156" t="str">
        <f>IFERROR(INDEX(tblData[ФО],MATCH(ROWS($F$2:tblData[[#This Row],[Индекс2]]),tblData[Индекс2],0)),"")</f>
        <v/>
      </c>
    </row>
    <row r="157" spans="2:7" x14ac:dyDescent="0.35">
      <c r="B157" s="268" t="b">
        <f>NOT(ISERROR(SEARCH(FILLING!$D$11,tblData[[#This Row],[ФО]])))</f>
        <v>0</v>
      </c>
      <c r="C157" s="268" t="str">
        <f>IF(tblData[[#This Row],[Статус]],COUNTIF($B$2:tblData[[#This Row],[Статус]],TRUE),"")</f>
        <v/>
      </c>
      <c r="D157" s="269" t="str">
        <f>IFERROR(INDEX(tblData[ФО],MATCH(ROWS($C$2:tblData[[#This Row],[Индекс]]),tblData[Индекс],0)),"")</f>
        <v/>
      </c>
      <c r="E157" t="b">
        <f>NOT(ISERROR(SEARCH(FILLING!$D$15,tblData[[#This Row],[ФО]])))</f>
        <v>0</v>
      </c>
      <c r="F157" s="267" t="str">
        <f>IF(tblData[[#This Row],[Статус2]],COUNTIF($E$2:tblData[[#This Row],[Статус2]],TRUE),"")</f>
        <v/>
      </c>
      <c r="G157" t="str">
        <f>IFERROR(INDEX(tblData[ФО],MATCH(ROWS($F$2:tblData[[#This Row],[Индекс2]]),tblData[Индекс2],0)),"")</f>
        <v/>
      </c>
    </row>
    <row r="158" spans="2:7" x14ac:dyDescent="0.35">
      <c r="B158" s="268" t="b">
        <f>NOT(ISERROR(SEARCH(FILLING!$D$11,tblData[[#This Row],[ФО]])))</f>
        <v>0</v>
      </c>
      <c r="C158" s="268" t="str">
        <f>IF(tblData[[#This Row],[Статус]],COUNTIF($B$2:tblData[[#This Row],[Статус]],TRUE),"")</f>
        <v/>
      </c>
      <c r="D158" s="269" t="str">
        <f>IFERROR(INDEX(tblData[ФО],MATCH(ROWS($C$2:tblData[[#This Row],[Индекс]]),tblData[Индекс],0)),"")</f>
        <v/>
      </c>
      <c r="E158" t="b">
        <f>NOT(ISERROR(SEARCH(FILLING!$D$15,tblData[[#This Row],[ФО]])))</f>
        <v>0</v>
      </c>
      <c r="F158" s="267" t="str">
        <f>IF(tblData[[#This Row],[Статус2]],COUNTIF($E$2:tblData[[#This Row],[Статус2]],TRUE),"")</f>
        <v/>
      </c>
      <c r="G158" t="str">
        <f>IFERROR(INDEX(tblData[ФО],MATCH(ROWS($F$2:tblData[[#This Row],[Индекс2]]),tblData[Индекс2],0)),"")</f>
        <v/>
      </c>
    </row>
    <row r="159" spans="2:7" x14ac:dyDescent="0.35">
      <c r="B159" s="268" t="b">
        <f>NOT(ISERROR(SEARCH(FILLING!$D$11,tblData[[#This Row],[ФО]])))</f>
        <v>0</v>
      </c>
      <c r="C159" s="268" t="str">
        <f>IF(tblData[[#This Row],[Статус]],COUNTIF($B$2:tblData[[#This Row],[Статус]],TRUE),"")</f>
        <v/>
      </c>
      <c r="D159" s="269" t="str">
        <f>IFERROR(INDEX(tblData[ФО],MATCH(ROWS($C$2:tblData[[#This Row],[Индекс]]),tblData[Индекс],0)),"")</f>
        <v/>
      </c>
      <c r="E159" t="b">
        <f>NOT(ISERROR(SEARCH(FILLING!$D$15,tblData[[#This Row],[ФО]])))</f>
        <v>0</v>
      </c>
      <c r="F159" s="267" t="str">
        <f>IF(tblData[[#This Row],[Статус2]],COUNTIF($E$2:tblData[[#This Row],[Статус2]],TRUE),"")</f>
        <v/>
      </c>
      <c r="G159" t="str">
        <f>IFERROR(INDEX(tblData[ФО],MATCH(ROWS($F$2:tblData[[#This Row],[Индекс2]]),tblData[Индекс2],0)),"")</f>
        <v/>
      </c>
    </row>
    <row r="160" spans="2:7" x14ac:dyDescent="0.35">
      <c r="B160" s="268" t="b">
        <f>NOT(ISERROR(SEARCH(FILLING!$D$11,tblData[[#This Row],[ФО]])))</f>
        <v>0</v>
      </c>
      <c r="C160" s="268" t="str">
        <f>IF(tblData[[#This Row],[Статус]],COUNTIF($B$2:tblData[[#This Row],[Статус]],TRUE),"")</f>
        <v/>
      </c>
      <c r="D160" s="269" t="str">
        <f>IFERROR(INDEX(tblData[ФО],MATCH(ROWS($C$2:tblData[[#This Row],[Индекс]]),tblData[Индекс],0)),"")</f>
        <v/>
      </c>
      <c r="E160" t="b">
        <f>NOT(ISERROR(SEARCH(FILLING!$D$15,tblData[[#This Row],[ФО]])))</f>
        <v>0</v>
      </c>
      <c r="F160" s="267" t="str">
        <f>IF(tblData[[#This Row],[Статус2]],COUNTIF($E$2:tblData[[#This Row],[Статус2]],TRUE),"")</f>
        <v/>
      </c>
      <c r="G160" t="str">
        <f>IFERROR(INDEX(tblData[ФО],MATCH(ROWS($F$2:tblData[[#This Row],[Индекс2]]),tblData[Индекс2],0)),"")</f>
        <v/>
      </c>
    </row>
    <row r="161" spans="2:7" x14ac:dyDescent="0.35">
      <c r="B161" s="268" t="b">
        <f>NOT(ISERROR(SEARCH(FILLING!$D$11,tblData[[#This Row],[ФО]])))</f>
        <v>0</v>
      </c>
      <c r="C161" s="268" t="str">
        <f>IF(tblData[[#This Row],[Статус]],COUNTIF($B$2:tblData[[#This Row],[Статус]],TRUE),"")</f>
        <v/>
      </c>
      <c r="D161" s="269" t="str">
        <f>IFERROR(INDEX(tblData[ФО],MATCH(ROWS($C$2:tblData[[#This Row],[Индекс]]),tblData[Индекс],0)),"")</f>
        <v/>
      </c>
      <c r="E161" t="b">
        <f>NOT(ISERROR(SEARCH(FILLING!$D$15,tblData[[#This Row],[ФО]])))</f>
        <v>0</v>
      </c>
      <c r="F161" s="267" t="str">
        <f>IF(tblData[[#This Row],[Статус2]],COUNTIF($E$2:tblData[[#This Row],[Статус2]],TRUE),"")</f>
        <v/>
      </c>
      <c r="G161" t="str">
        <f>IFERROR(INDEX(tblData[ФО],MATCH(ROWS($F$2:tblData[[#This Row],[Индекс2]]),tblData[Индекс2],0)),"")</f>
        <v/>
      </c>
    </row>
    <row r="162" spans="2:7" x14ac:dyDescent="0.35">
      <c r="B162" s="268" t="b">
        <f>NOT(ISERROR(SEARCH(FILLING!$D$11,tblData[[#This Row],[ФО]])))</f>
        <v>0</v>
      </c>
      <c r="C162" s="268" t="str">
        <f>IF(tblData[[#This Row],[Статус]],COUNTIF($B$2:tblData[[#This Row],[Статус]],TRUE),"")</f>
        <v/>
      </c>
      <c r="D162" s="269" t="str">
        <f>IFERROR(INDEX(tblData[ФО],MATCH(ROWS($C$2:tblData[[#This Row],[Индекс]]),tblData[Индекс],0)),"")</f>
        <v/>
      </c>
      <c r="E162" t="b">
        <f>NOT(ISERROR(SEARCH(FILLING!$D$15,tblData[[#This Row],[ФО]])))</f>
        <v>0</v>
      </c>
      <c r="F162" s="267" t="str">
        <f>IF(tblData[[#This Row],[Статус2]],COUNTIF($E$2:tblData[[#This Row],[Статус2]],TRUE),"")</f>
        <v/>
      </c>
      <c r="G162" t="str">
        <f>IFERROR(INDEX(tblData[ФО],MATCH(ROWS($F$2:tblData[[#This Row],[Индекс2]]),tblData[Индекс2],0)),"")</f>
        <v/>
      </c>
    </row>
    <row r="163" spans="2:7" x14ac:dyDescent="0.35">
      <c r="B163" s="268" t="b">
        <f>NOT(ISERROR(SEARCH(FILLING!$D$11,tblData[[#This Row],[ФО]])))</f>
        <v>0</v>
      </c>
      <c r="C163" s="268" t="str">
        <f>IF(tblData[[#This Row],[Статус]],COUNTIF($B$2:tblData[[#This Row],[Статус]],TRUE),"")</f>
        <v/>
      </c>
      <c r="D163" s="269" t="str">
        <f>IFERROR(INDEX(tblData[ФО],MATCH(ROWS($C$2:tblData[[#This Row],[Индекс]]),tblData[Индекс],0)),"")</f>
        <v/>
      </c>
      <c r="E163" t="b">
        <f>NOT(ISERROR(SEARCH(FILLING!$D$15,tblData[[#This Row],[ФО]])))</f>
        <v>0</v>
      </c>
      <c r="F163" s="267" t="str">
        <f>IF(tblData[[#This Row],[Статус2]],COUNTIF($E$2:tblData[[#This Row],[Статус2]],TRUE),"")</f>
        <v/>
      </c>
      <c r="G163" t="str">
        <f>IFERROR(INDEX(tblData[ФО],MATCH(ROWS($F$2:tblData[[#This Row],[Индекс2]]),tblData[Индекс2],0)),"")</f>
        <v/>
      </c>
    </row>
    <row r="164" spans="2:7" x14ac:dyDescent="0.35">
      <c r="B164" s="268" t="b">
        <f>NOT(ISERROR(SEARCH(FILLING!$D$11,tblData[[#This Row],[ФО]])))</f>
        <v>0</v>
      </c>
      <c r="C164" s="268" t="str">
        <f>IF(tblData[[#This Row],[Статус]],COUNTIF($B$2:tblData[[#This Row],[Статус]],TRUE),"")</f>
        <v/>
      </c>
      <c r="D164" s="269" t="str">
        <f>IFERROR(INDEX(tblData[ФО],MATCH(ROWS($C$2:tblData[[#This Row],[Индекс]]),tblData[Индекс],0)),"")</f>
        <v/>
      </c>
      <c r="E164" t="b">
        <f>NOT(ISERROR(SEARCH(FILLING!$D$15,tblData[[#This Row],[ФО]])))</f>
        <v>0</v>
      </c>
      <c r="F164" s="267" t="str">
        <f>IF(tblData[[#This Row],[Статус2]],COUNTIF($E$2:tblData[[#This Row],[Статус2]],TRUE),"")</f>
        <v/>
      </c>
      <c r="G164" t="str">
        <f>IFERROR(INDEX(tblData[ФО],MATCH(ROWS($F$2:tblData[[#This Row],[Индекс2]]),tblData[Индекс2],0)),"")</f>
        <v/>
      </c>
    </row>
    <row r="165" spans="2:7" x14ac:dyDescent="0.35">
      <c r="B165" s="268" t="b">
        <f>NOT(ISERROR(SEARCH(FILLING!$D$11,tblData[[#This Row],[ФО]])))</f>
        <v>0</v>
      </c>
      <c r="C165" s="268" t="str">
        <f>IF(tblData[[#This Row],[Статус]],COUNTIF($B$2:tblData[[#This Row],[Статус]],TRUE),"")</f>
        <v/>
      </c>
      <c r="D165" s="269" t="str">
        <f>IFERROR(INDEX(tblData[ФО],MATCH(ROWS($C$2:tblData[[#This Row],[Индекс]]),tblData[Индекс],0)),"")</f>
        <v/>
      </c>
      <c r="E165" t="b">
        <f>NOT(ISERROR(SEARCH(FILLING!$D$15,tblData[[#This Row],[ФО]])))</f>
        <v>0</v>
      </c>
      <c r="F165" s="267" t="str">
        <f>IF(tblData[[#This Row],[Статус2]],COUNTIF($E$2:tblData[[#This Row],[Статус2]],TRUE),"")</f>
        <v/>
      </c>
      <c r="G165" t="str">
        <f>IFERROR(INDEX(tblData[ФО],MATCH(ROWS($F$2:tblData[[#This Row],[Индекс2]]),tblData[Индекс2],0)),"")</f>
        <v/>
      </c>
    </row>
    <row r="166" spans="2:7" x14ac:dyDescent="0.35">
      <c r="B166" s="268" t="b">
        <f>NOT(ISERROR(SEARCH(FILLING!$D$11,tblData[[#This Row],[ФО]])))</f>
        <v>0</v>
      </c>
      <c r="C166" s="268" t="str">
        <f>IF(tblData[[#This Row],[Статус]],COUNTIF($B$2:tblData[[#This Row],[Статус]],TRUE),"")</f>
        <v/>
      </c>
      <c r="D166" s="269" t="str">
        <f>IFERROR(INDEX(tblData[ФО],MATCH(ROWS($C$2:tblData[[#This Row],[Индекс]]),tblData[Индекс],0)),"")</f>
        <v/>
      </c>
      <c r="E166" t="b">
        <f>NOT(ISERROR(SEARCH(FILLING!$D$15,tblData[[#This Row],[ФО]])))</f>
        <v>0</v>
      </c>
      <c r="F166" s="267" t="str">
        <f>IF(tblData[[#This Row],[Статус2]],COUNTIF($E$2:tblData[[#This Row],[Статус2]],TRUE),"")</f>
        <v/>
      </c>
      <c r="G166" t="str">
        <f>IFERROR(INDEX(tblData[ФО],MATCH(ROWS($F$2:tblData[[#This Row],[Индекс2]]),tblData[Индекс2],0)),"")</f>
        <v/>
      </c>
    </row>
    <row r="167" spans="2:7" x14ac:dyDescent="0.35">
      <c r="B167" s="268" t="b">
        <f>NOT(ISERROR(SEARCH(FILLING!$D$11,tblData[[#This Row],[ФО]])))</f>
        <v>0</v>
      </c>
      <c r="C167" s="268" t="str">
        <f>IF(tblData[[#This Row],[Статус]],COUNTIF($B$2:tblData[[#This Row],[Статус]],TRUE),"")</f>
        <v/>
      </c>
      <c r="D167" s="269" t="str">
        <f>IFERROR(INDEX(tblData[ФО],MATCH(ROWS($C$2:tblData[[#This Row],[Индекс]]),tblData[Индекс],0)),"")</f>
        <v/>
      </c>
      <c r="E167" t="b">
        <f>NOT(ISERROR(SEARCH(FILLING!$D$15,tblData[[#This Row],[ФО]])))</f>
        <v>0</v>
      </c>
      <c r="F167" s="267" t="str">
        <f>IF(tblData[[#This Row],[Статус2]],COUNTIF($E$2:tblData[[#This Row],[Статус2]],TRUE),"")</f>
        <v/>
      </c>
      <c r="G167" t="str">
        <f>IFERROR(INDEX(tblData[ФО],MATCH(ROWS($F$2:tblData[[#This Row],[Индекс2]]),tblData[Индекс2],0)),"")</f>
        <v/>
      </c>
    </row>
    <row r="168" spans="2:7" x14ac:dyDescent="0.35">
      <c r="B168" s="268" t="b">
        <f>NOT(ISERROR(SEARCH(FILLING!$D$11,tblData[[#This Row],[ФО]])))</f>
        <v>0</v>
      </c>
      <c r="C168" s="268" t="str">
        <f>IF(tblData[[#This Row],[Статус]],COUNTIF($B$2:tblData[[#This Row],[Статус]],TRUE),"")</f>
        <v/>
      </c>
      <c r="D168" s="269" t="str">
        <f>IFERROR(INDEX(tblData[ФО],MATCH(ROWS($C$2:tblData[[#This Row],[Индекс]]),tblData[Индекс],0)),"")</f>
        <v/>
      </c>
      <c r="E168" t="b">
        <f>NOT(ISERROR(SEARCH(FILLING!$D$15,tblData[[#This Row],[ФО]])))</f>
        <v>0</v>
      </c>
      <c r="F168" s="267" t="str">
        <f>IF(tblData[[#This Row],[Статус2]],COUNTIF($E$2:tblData[[#This Row],[Статус2]],TRUE),"")</f>
        <v/>
      </c>
      <c r="G168" t="str">
        <f>IFERROR(INDEX(tblData[ФО],MATCH(ROWS($F$2:tblData[[#This Row],[Индекс2]]),tblData[Индекс2],0)),"")</f>
        <v/>
      </c>
    </row>
    <row r="169" spans="2:7" x14ac:dyDescent="0.35">
      <c r="B169" s="268" t="b">
        <f>NOT(ISERROR(SEARCH(FILLING!$D$11,tblData[[#This Row],[ФО]])))</f>
        <v>0</v>
      </c>
      <c r="C169" s="268" t="str">
        <f>IF(tblData[[#This Row],[Статус]],COUNTIF($B$2:tblData[[#This Row],[Статус]],TRUE),"")</f>
        <v/>
      </c>
      <c r="D169" s="269" t="str">
        <f>IFERROR(INDEX(tblData[ФО],MATCH(ROWS($C$2:tblData[[#This Row],[Индекс]]),tblData[Индекс],0)),"")</f>
        <v/>
      </c>
      <c r="E169" t="b">
        <f>NOT(ISERROR(SEARCH(FILLING!$D$15,tblData[[#This Row],[ФО]])))</f>
        <v>0</v>
      </c>
      <c r="F169" s="267" t="str">
        <f>IF(tblData[[#This Row],[Статус2]],COUNTIF($E$2:tblData[[#This Row],[Статус2]],TRUE),"")</f>
        <v/>
      </c>
      <c r="G169" t="str">
        <f>IFERROR(INDEX(tblData[ФО],MATCH(ROWS($F$2:tblData[[#This Row],[Индекс2]]),tblData[Индекс2],0)),"")</f>
        <v/>
      </c>
    </row>
    <row r="170" spans="2:7" x14ac:dyDescent="0.35">
      <c r="B170" s="268" t="b">
        <f>NOT(ISERROR(SEARCH(FILLING!$D$11,tblData[[#This Row],[ФО]])))</f>
        <v>0</v>
      </c>
      <c r="C170" s="268" t="str">
        <f>IF(tblData[[#This Row],[Статус]],COUNTIF($B$2:tblData[[#This Row],[Статус]],TRUE),"")</f>
        <v/>
      </c>
      <c r="D170" s="269" t="str">
        <f>IFERROR(INDEX(tblData[ФО],MATCH(ROWS($C$2:tblData[[#This Row],[Индекс]]),tblData[Индекс],0)),"")</f>
        <v/>
      </c>
      <c r="E170" t="b">
        <f>NOT(ISERROR(SEARCH(FILLING!$D$15,tblData[[#This Row],[ФО]])))</f>
        <v>0</v>
      </c>
      <c r="F170" s="267" t="str">
        <f>IF(tblData[[#This Row],[Статус2]],COUNTIF($E$2:tblData[[#This Row],[Статус2]],TRUE),"")</f>
        <v/>
      </c>
      <c r="G170" t="str">
        <f>IFERROR(INDEX(tblData[ФО],MATCH(ROWS($F$2:tblData[[#This Row],[Индекс2]]),tblData[Индекс2],0)),"")</f>
        <v/>
      </c>
    </row>
    <row r="171" spans="2:7" x14ac:dyDescent="0.35">
      <c r="B171" s="268" t="b">
        <f>NOT(ISERROR(SEARCH(FILLING!$D$11,tblData[[#This Row],[ФО]])))</f>
        <v>0</v>
      </c>
      <c r="C171" s="268" t="str">
        <f>IF(tblData[[#This Row],[Статус]],COUNTIF($B$2:tblData[[#This Row],[Статус]],TRUE),"")</f>
        <v/>
      </c>
      <c r="D171" s="269" t="str">
        <f>IFERROR(INDEX(tblData[ФО],MATCH(ROWS($C$2:tblData[[#This Row],[Индекс]]),tblData[Индекс],0)),"")</f>
        <v/>
      </c>
      <c r="E171" t="b">
        <f>NOT(ISERROR(SEARCH(FILLING!$D$15,tblData[[#This Row],[ФО]])))</f>
        <v>0</v>
      </c>
      <c r="F171" s="267" t="str">
        <f>IF(tblData[[#This Row],[Статус2]],COUNTIF($E$2:tblData[[#This Row],[Статус2]],TRUE),"")</f>
        <v/>
      </c>
      <c r="G171" t="str">
        <f>IFERROR(INDEX(tblData[ФО],MATCH(ROWS($F$2:tblData[[#This Row],[Индекс2]]),tblData[Индекс2],0)),"")</f>
        <v/>
      </c>
    </row>
    <row r="172" spans="2:7" x14ac:dyDescent="0.35">
      <c r="B172" s="268" t="b">
        <f>NOT(ISERROR(SEARCH(FILLING!$D$11,tblData[[#This Row],[ФО]])))</f>
        <v>0</v>
      </c>
      <c r="C172" s="268" t="str">
        <f>IF(tblData[[#This Row],[Статус]],COUNTIF($B$2:tblData[[#This Row],[Статус]],TRUE),"")</f>
        <v/>
      </c>
      <c r="D172" s="269" t="str">
        <f>IFERROR(INDEX(tblData[ФО],MATCH(ROWS($C$2:tblData[[#This Row],[Индекс]]),tblData[Индекс],0)),"")</f>
        <v/>
      </c>
      <c r="E172" t="b">
        <f>NOT(ISERROR(SEARCH(FILLING!$D$15,tblData[[#This Row],[ФО]])))</f>
        <v>0</v>
      </c>
      <c r="F172" s="267" t="str">
        <f>IF(tblData[[#This Row],[Статус2]],COUNTIF($E$2:tblData[[#This Row],[Статус2]],TRUE),"")</f>
        <v/>
      </c>
      <c r="G172" t="str">
        <f>IFERROR(INDEX(tblData[ФО],MATCH(ROWS($F$2:tblData[[#This Row],[Индекс2]]),tblData[Индекс2],0)),"")</f>
        <v/>
      </c>
    </row>
    <row r="173" spans="2:7" x14ac:dyDescent="0.35">
      <c r="B173" s="268" t="b">
        <f>NOT(ISERROR(SEARCH(FILLING!$D$11,tblData[[#This Row],[ФО]])))</f>
        <v>0</v>
      </c>
      <c r="C173" s="268" t="str">
        <f>IF(tblData[[#This Row],[Статус]],COUNTIF($B$2:tblData[[#This Row],[Статус]],TRUE),"")</f>
        <v/>
      </c>
      <c r="D173" s="269" t="str">
        <f>IFERROR(INDEX(tblData[ФО],MATCH(ROWS($C$2:tblData[[#This Row],[Индекс]]),tblData[Индекс],0)),"")</f>
        <v/>
      </c>
      <c r="E173" t="b">
        <f>NOT(ISERROR(SEARCH(FILLING!$D$15,tblData[[#This Row],[ФО]])))</f>
        <v>0</v>
      </c>
      <c r="F173" s="267" t="str">
        <f>IF(tblData[[#This Row],[Статус2]],COUNTIF($E$2:tblData[[#This Row],[Статус2]],TRUE),"")</f>
        <v/>
      </c>
      <c r="G173" t="str">
        <f>IFERROR(INDEX(tblData[ФО],MATCH(ROWS($F$2:tblData[[#This Row],[Индекс2]]),tblData[Индекс2],0)),"")</f>
        <v/>
      </c>
    </row>
    <row r="174" spans="2:7" x14ac:dyDescent="0.35">
      <c r="B174" s="268" t="b">
        <f>NOT(ISERROR(SEARCH(FILLING!$D$11,tblData[[#This Row],[ФО]])))</f>
        <v>0</v>
      </c>
      <c r="C174" s="268" t="str">
        <f>IF(tblData[[#This Row],[Статус]],COUNTIF($B$2:tblData[[#This Row],[Статус]],TRUE),"")</f>
        <v/>
      </c>
      <c r="D174" s="269" t="str">
        <f>IFERROR(INDEX(tblData[ФО],MATCH(ROWS($C$2:tblData[[#This Row],[Индекс]]),tblData[Индекс],0)),"")</f>
        <v/>
      </c>
      <c r="E174" t="b">
        <f>NOT(ISERROR(SEARCH(FILLING!$D$15,tblData[[#This Row],[ФО]])))</f>
        <v>0</v>
      </c>
      <c r="F174" s="267" t="str">
        <f>IF(tblData[[#This Row],[Статус2]],COUNTIF($E$2:tblData[[#This Row],[Статус2]],TRUE),"")</f>
        <v/>
      </c>
      <c r="G174" t="str">
        <f>IFERROR(INDEX(tblData[ФО],MATCH(ROWS($F$2:tblData[[#This Row],[Индекс2]]),tblData[Индекс2],0)),"")</f>
        <v/>
      </c>
    </row>
    <row r="175" spans="2:7" x14ac:dyDescent="0.35">
      <c r="B175" s="268" t="b">
        <f>NOT(ISERROR(SEARCH(FILLING!$D$11,tblData[[#This Row],[ФО]])))</f>
        <v>0</v>
      </c>
      <c r="C175" s="268" t="str">
        <f>IF(tblData[[#This Row],[Статус]],COUNTIF($B$2:tblData[[#This Row],[Статус]],TRUE),"")</f>
        <v/>
      </c>
      <c r="D175" s="269" t="str">
        <f>IFERROR(INDEX(tblData[ФО],MATCH(ROWS($C$2:tblData[[#This Row],[Индекс]]),tblData[Индекс],0)),"")</f>
        <v/>
      </c>
      <c r="E175" t="b">
        <f>NOT(ISERROR(SEARCH(FILLING!$D$15,tblData[[#This Row],[ФО]])))</f>
        <v>0</v>
      </c>
      <c r="F175" s="267" t="str">
        <f>IF(tblData[[#This Row],[Статус2]],COUNTIF($E$2:tblData[[#This Row],[Статус2]],TRUE),"")</f>
        <v/>
      </c>
      <c r="G175" t="str">
        <f>IFERROR(INDEX(tblData[ФО],MATCH(ROWS($F$2:tblData[[#This Row],[Индекс2]]),tblData[Индекс2],0)),"")</f>
        <v/>
      </c>
    </row>
    <row r="176" spans="2:7" x14ac:dyDescent="0.35">
      <c r="B176" s="268" t="b">
        <f>NOT(ISERROR(SEARCH(FILLING!$D$11,tblData[[#This Row],[ФО]])))</f>
        <v>0</v>
      </c>
      <c r="C176" s="268" t="str">
        <f>IF(tblData[[#This Row],[Статус]],COUNTIF($B$2:tblData[[#This Row],[Статус]],TRUE),"")</f>
        <v/>
      </c>
      <c r="D176" s="269" t="str">
        <f>IFERROR(INDEX(tblData[ФО],MATCH(ROWS($C$2:tblData[[#This Row],[Индекс]]),tblData[Индекс],0)),"")</f>
        <v/>
      </c>
      <c r="E176" t="b">
        <f>NOT(ISERROR(SEARCH(FILLING!$D$15,tblData[[#This Row],[ФО]])))</f>
        <v>0</v>
      </c>
      <c r="F176" s="267" t="str">
        <f>IF(tblData[[#This Row],[Статус2]],COUNTIF($E$2:tblData[[#This Row],[Статус2]],TRUE),"")</f>
        <v/>
      </c>
      <c r="G176" t="str">
        <f>IFERROR(INDEX(tblData[ФО],MATCH(ROWS($F$2:tblData[[#This Row],[Индекс2]]),tblData[Индекс2],0)),"")</f>
        <v/>
      </c>
    </row>
    <row r="177" spans="2:7" x14ac:dyDescent="0.35">
      <c r="B177" s="268" t="b">
        <f>NOT(ISERROR(SEARCH(FILLING!$D$11,tblData[[#This Row],[ФО]])))</f>
        <v>0</v>
      </c>
      <c r="C177" s="268" t="str">
        <f>IF(tblData[[#This Row],[Статус]],COUNTIF($B$2:tblData[[#This Row],[Статус]],TRUE),"")</f>
        <v/>
      </c>
      <c r="D177" s="269" t="str">
        <f>IFERROR(INDEX(tblData[ФО],MATCH(ROWS($C$2:tblData[[#This Row],[Индекс]]),tblData[Индекс],0)),"")</f>
        <v/>
      </c>
      <c r="E177" t="b">
        <f>NOT(ISERROR(SEARCH(FILLING!$D$15,tblData[[#This Row],[ФО]])))</f>
        <v>0</v>
      </c>
      <c r="F177" s="267" t="str">
        <f>IF(tblData[[#This Row],[Статус2]],COUNTIF($E$2:tblData[[#This Row],[Статус2]],TRUE),"")</f>
        <v/>
      </c>
      <c r="G177" t="str">
        <f>IFERROR(INDEX(tblData[ФО],MATCH(ROWS($F$2:tblData[[#This Row],[Индекс2]]),tblData[Индекс2],0)),"")</f>
        <v/>
      </c>
    </row>
    <row r="178" spans="2:7" x14ac:dyDescent="0.35">
      <c r="B178" s="268" t="b">
        <f>NOT(ISERROR(SEARCH(FILLING!$D$11,tblData[[#This Row],[ФО]])))</f>
        <v>0</v>
      </c>
      <c r="C178" s="268" t="str">
        <f>IF(tblData[[#This Row],[Статус]],COUNTIF($B$2:tblData[[#This Row],[Статус]],TRUE),"")</f>
        <v/>
      </c>
      <c r="D178" s="269" t="str">
        <f>IFERROR(INDEX(tblData[ФО],MATCH(ROWS($C$2:tblData[[#This Row],[Индекс]]),tblData[Индекс],0)),"")</f>
        <v/>
      </c>
      <c r="E178" t="b">
        <f>NOT(ISERROR(SEARCH(FILLING!$D$15,tblData[[#This Row],[ФО]])))</f>
        <v>0</v>
      </c>
      <c r="F178" s="267" t="str">
        <f>IF(tblData[[#This Row],[Статус2]],COUNTIF($E$2:tblData[[#This Row],[Статус2]],TRUE),"")</f>
        <v/>
      </c>
      <c r="G178" t="str">
        <f>IFERROR(INDEX(tblData[ФО],MATCH(ROWS($F$2:tblData[[#This Row],[Индекс2]]),tblData[Индекс2],0)),"")</f>
        <v/>
      </c>
    </row>
    <row r="179" spans="2:7" x14ac:dyDescent="0.35">
      <c r="B179" s="268" t="b">
        <f>NOT(ISERROR(SEARCH(FILLING!$D$11,tblData[[#This Row],[ФО]])))</f>
        <v>0</v>
      </c>
      <c r="C179" s="268" t="str">
        <f>IF(tblData[[#This Row],[Статус]],COUNTIF($B$2:tblData[[#This Row],[Статус]],TRUE),"")</f>
        <v/>
      </c>
      <c r="D179" s="269" t="str">
        <f>IFERROR(INDEX(tblData[ФО],MATCH(ROWS($C$2:tblData[[#This Row],[Индекс]]),tblData[Индекс],0)),"")</f>
        <v/>
      </c>
      <c r="E179" t="b">
        <f>NOT(ISERROR(SEARCH(FILLING!$D$15,tblData[[#This Row],[ФО]])))</f>
        <v>0</v>
      </c>
      <c r="F179" s="267" t="str">
        <f>IF(tblData[[#This Row],[Статус2]],COUNTIF($E$2:tblData[[#This Row],[Статус2]],TRUE),"")</f>
        <v/>
      </c>
      <c r="G179" t="str">
        <f>IFERROR(INDEX(tblData[ФО],MATCH(ROWS($F$2:tblData[[#This Row],[Индекс2]]),tblData[Индекс2],0)),"")</f>
        <v/>
      </c>
    </row>
    <row r="180" spans="2:7" x14ac:dyDescent="0.35">
      <c r="B180" s="268" t="b">
        <f>NOT(ISERROR(SEARCH(FILLING!$D$11,tblData[[#This Row],[ФО]])))</f>
        <v>0</v>
      </c>
      <c r="C180" s="268" t="str">
        <f>IF(tblData[[#This Row],[Статус]],COUNTIF($B$2:tblData[[#This Row],[Статус]],TRUE),"")</f>
        <v/>
      </c>
      <c r="D180" s="269" t="str">
        <f>IFERROR(INDEX(tblData[ФО],MATCH(ROWS($C$2:tblData[[#This Row],[Индекс]]),tblData[Индекс],0)),"")</f>
        <v/>
      </c>
      <c r="E180" t="b">
        <f>NOT(ISERROR(SEARCH(FILLING!$D$15,tblData[[#This Row],[ФО]])))</f>
        <v>0</v>
      </c>
      <c r="F180" s="267" t="str">
        <f>IF(tblData[[#This Row],[Статус2]],COUNTIF($E$2:tblData[[#This Row],[Статус2]],TRUE),"")</f>
        <v/>
      </c>
      <c r="G180" t="str">
        <f>IFERROR(INDEX(tblData[ФО],MATCH(ROWS($F$2:tblData[[#This Row],[Индекс2]]),tblData[Индекс2],0)),"")</f>
        <v/>
      </c>
    </row>
    <row r="181" spans="2:7" x14ac:dyDescent="0.35">
      <c r="B181" s="268" t="b">
        <f>NOT(ISERROR(SEARCH(FILLING!$D$11,tblData[[#This Row],[ФО]])))</f>
        <v>0</v>
      </c>
      <c r="C181" s="268" t="str">
        <f>IF(tblData[[#This Row],[Статус]],COUNTIF($B$2:tblData[[#This Row],[Статус]],TRUE),"")</f>
        <v/>
      </c>
      <c r="D181" s="269" t="str">
        <f>IFERROR(INDEX(tblData[ФО],MATCH(ROWS($C$2:tblData[[#This Row],[Индекс]]),tblData[Индекс],0)),"")</f>
        <v/>
      </c>
      <c r="E181" t="b">
        <f>NOT(ISERROR(SEARCH(FILLING!$D$15,tblData[[#This Row],[ФО]])))</f>
        <v>0</v>
      </c>
      <c r="F181" s="267" t="str">
        <f>IF(tblData[[#This Row],[Статус2]],COUNTIF($E$2:tblData[[#This Row],[Статус2]],TRUE),"")</f>
        <v/>
      </c>
      <c r="G181" t="str">
        <f>IFERROR(INDEX(tblData[ФО],MATCH(ROWS($F$2:tblData[[#This Row],[Индекс2]]),tblData[Индекс2],0)),"")</f>
        <v/>
      </c>
    </row>
    <row r="182" spans="2:7" x14ac:dyDescent="0.35">
      <c r="B182" s="268" t="b">
        <f>NOT(ISERROR(SEARCH(FILLING!$D$11,tblData[[#This Row],[ФО]])))</f>
        <v>0</v>
      </c>
      <c r="C182" s="268" t="str">
        <f>IF(tblData[[#This Row],[Статус]],COUNTIF($B$2:tblData[[#This Row],[Статус]],TRUE),"")</f>
        <v/>
      </c>
      <c r="D182" s="269" t="str">
        <f>IFERROR(INDEX(tblData[ФО],MATCH(ROWS($C$2:tblData[[#This Row],[Индекс]]),tblData[Индекс],0)),"")</f>
        <v/>
      </c>
      <c r="E182" t="b">
        <f>NOT(ISERROR(SEARCH(FILLING!$D$15,tblData[[#This Row],[ФО]])))</f>
        <v>0</v>
      </c>
      <c r="F182" s="267" t="str">
        <f>IF(tblData[[#This Row],[Статус2]],COUNTIF($E$2:tblData[[#This Row],[Статус2]],TRUE),"")</f>
        <v/>
      </c>
      <c r="G182" t="str">
        <f>IFERROR(INDEX(tblData[ФО],MATCH(ROWS($F$2:tblData[[#This Row],[Индекс2]]),tblData[Индекс2],0)),"")</f>
        <v/>
      </c>
    </row>
    <row r="183" spans="2:7" x14ac:dyDescent="0.35">
      <c r="B183" s="268" t="b">
        <f>NOT(ISERROR(SEARCH(FILLING!$D$11,tblData[[#This Row],[ФО]])))</f>
        <v>0</v>
      </c>
      <c r="C183" s="268" t="str">
        <f>IF(tblData[[#This Row],[Статус]],COUNTIF($B$2:tblData[[#This Row],[Статус]],TRUE),"")</f>
        <v/>
      </c>
      <c r="D183" s="269" t="str">
        <f>IFERROR(INDEX(tblData[ФО],MATCH(ROWS($C$2:tblData[[#This Row],[Индекс]]),tblData[Индекс],0)),"")</f>
        <v/>
      </c>
      <c r="E183" t="b">
        <f>NOT(ISERROR(SEARCH(FILLING!$D$15,tblData[[#This Row],[ФО]])))</f>
        <v>0</v>
      </c>
      <c r="F183" s="267" t="str">
        <f>IF(tblData[[#This Row],[Статус2]],COUNTIF($E$2:tblData[[#This Row],[Статус2]],TRUE),"")</f>
        <v/>
      </c>
      <c r="G183" t="str">
        <f>IFERROR(INDEX(tblData[ФО],MATCH(ROWS($F$2:tblData[[#This Row],[Индекс2]]),tblData[Индекс2],0)),"")</f>
        <v/>
      </c>
    </row>
    <row r="184" spans="2:7" x14ac:dyDescent="0.35">
      <c r="B184" s="268" t="b">
        <f>NOT(ISERROR(SEARCH(FILLING!$D$11,tblData[[#This Row],[ФО]])))</f>
        <v>0</v>
      </c>
      <c r="C184" s="268" t="str">
        <f>IF(tblData[[#This Row],[Статус]],COUNTIF($B$2:tblData[[#This Row],[Статус]],TRUE),"")</f>
        <v/>
      </c>
      <c r="D184" s="269" t="str">
        <f>IFERROR(INDEX(tblData[ФО],MATCH(ROWS($C$2:tblData[[#This Row],[Индекс]]),tblData[Индекс],0)),"")</f>
        <v/>
      </c>
      <c r="E184" t="b">
        <f>NOT(ISERROR(SEARCH(FILLING!$D$15,tblData[[#This Row],[ФО]])))</f>
        <v>0</v>
      </c>
      <c r="F184" s="267" t="str">
        <f>IF(tblData[[#This Row],[Статус2]],COUNTIF($E$2:tblData[[#This Row],[Статус2]],TRUE),"")</f>
        <v/>
      </c>
      <c r="G184" t="str">
        <f>IFERROR(INDEX(tblData[ФО],MATCH(ROWS($F$2:tblData[[#This Row],[Индекс2]]),tblData[Индекс2],0)),"")</f>
        <v/>
      </c>
    </row>
    <row r="185" spans="2:7" x14ac:dyDescent="0.35">
      <c r="B185" s="268" t="b">
        <f>NOT(ISERROR(SEARCH(FILLING!$D$11,tblData[[#This Row],[ФО]])))</f>
        <v>0</v>
      </c>
      <c r="C185" s="268" t="str">
        <f>IF(tblData[[#This Row],[Статус]],COUNTIF($B$2:tblData[[#This Row],[Статус]],TRUE),"")</f>
        <v/>
      </c>
      <c r="D185" s="269" t="str">
        <f>IFERROR(INDEX(tblData[ФО],MATCH(ROWS($C$2:tblData[[#This Row],[Индекс]]),tblData[Индекс],0)),"")</f>
        <v/>
      </c>
      <c r="E185" t="b">
        <f>NOT(ISERROR(SEARCH(FILLING!$D$15,tblData[[#This Row],[ФО]])))</f>
        <v>0</v>
      </c>
      <c r="F185" s="267" t="str">
        <f>IF(tblData[[#This Row],[Статус2]],COUNTIF($E$2:tblData[[#This Row],[Статус2]],TRUE),"")</f>
        <v/>
      </c>
      <c r="G185" t="str">
        <f>IFERROR(INDEX(tblData[ФО],MATCH(ROWS($F$2:tblData[[#This Row],[Индекс2]]),tblData[Индекс2],0)),"")</f>
        <v/>
      </c>
    </row>
    <row r="186" spans="2:7" x14ac:dyDescent="0.35">
      <c r="B186" s="268" t="b">
        <f>NOT(ISERROR(SEARCH(FILLING!$D$11,tblData[[#This Row],[ФО]])))</f>
        <v>0</v>
      </c>
      <c r="C186" s="268" t="str">
        <f>IF(tblData[[#This Row],[Статус]],COUNTIF($B$2:tblData[[#This Row],[Статус]],TRUE),"")</f>
        <v/>
      </c>
      <c r="D186" s="269" t="str">
        <f>IFERROR(INDEX(tblData[ФО],MATCH(ROWS($C$2:tblData[[#This Row],[Индекс]]),tblData[Индекс],0)),"")</f>
        <v/>
      </c>
      <c r="E186" t="b">
        <f>NOT(ISERROR(SEARCH(FILLING!$D$15,tblData[[#This Row],[ФО]])))</f>
        <v>0</v>
      </c>
      <c r="F186" s="267" t="str">
        <f>IF(tblData[[#This Row],[Статус2]],COUNTIF($E$2:tblData[[#This Row],[Статус2]],TRUE),"")</f>
        <v/>
      </c>
      <c r="G186" t="str">
        <f>IFERROR(INDEX(tblData[ФО],MATCH(ROWS($F$2:tblData[[#This Row],[Индекс2]]),tblData[Индекс2],0)),"")</f>
        <v/>
      </c>
    </row>
    <row r="187" spans="2:7" x14ac:dyDescent="0.35">
      <c r="B187" s="268" t="b">
        <f>NOT(ISERROR(SEARCH(FILLING!$D$11,tblData[[#This Row],[ФО]])))</f>
        <v>0</v>
      </c>
      <c r="C187" s="268" t="str">
        <f>IF(tblData[[#This Row],[Статус]],COUNTIF($B$2:tblData[[#This Row],[Статус]],TRUE),"")</f>
        <v/>
      </c>
      <c r="D187" s="269" t="str">
        <f>IFERROR(INDEX(tblData[ФО],MATCH(ROWS($C$2:tblData[[#This Row],[Индекс]]),tblData[Индекс],0)),"")</f>
        <v/>
      </c>
      <c r="E187" t="b">
        <f>NOT(ISERROR(SEARCH(FILLING!$D$15,tblData[[#This Row],[ФО]])))</f>
        <v>0</v>
      </c>
      <c r="F187" s="267" t="str">
        <f>IF(tblData[[#This Row],[Статус2]],COUNTIF($E$2:tblData[[#This Row],[Статус2]],TRUE),"")</f>
        <v/>
      </c>
      <c r="G187" t="str">
        <f>IFERROR(INDEX(tblData[ФО],MATCH(ROWS($F$2:tblData[[#This Row],[Индекс2]]),tblData[Индекс2],0)),"")</f>
        <v/>
      </c>
    </row>
    <row r="188" spans="2:7" x14ac:dyDescent="0.35">
      <c r="B188" s="268" t="b">
        <f>NOT(ISERROR(SEARCH(FILLING!$D$11,tblData[[#This Row],[ФО]])))</f>
        <v>0</v>
      </c>
      <c r="C188" s="268" t="str">
        <f>IF(tblData[[#This Row],[Статус]],COUNTIF($B$2:tblData[[#This Row],[Статус]],TRUE),"")</f>
        <v/>
      </c>
      <c r="D188" s="269" t="str">
        <f>IFERROR(INDEX(tblData[ФО],MATCH(ROWS($C$2:tblData[[#This Row],[Индекс]]),tblData[Индекс],0)),"")</f>
        <v/>
      </c>
      <c r="E188" t="b">
        <f>NOT(ISERROR(SEARCH(FILLING!$D$15,tblData[[#This Row],[ФО]])))</f>
        <v>0</v>
      </c>
      <c r="F188" s="267" t="str">
        <f>IF(tblData[[#This Row],[Статус2]],COUNTIF($E$2:tblData[[#This Row],[Статус2]],TRUE),"")</f>
        <v/>
      </c>
      <c r="G188" t="str">
        <f>IFERROR(INDEX(tblData[ФО],MATCH(ROWS($F$2:tblData[[#This Row],[Индекс2]]),tblData[Индекс2],0)),"")</f>
        <v/>
      </c>
    </row>
    <row r="189" spans="2:7" x14ac:dyDescent="0.35">
      <c r="B189" s="268" t="b">
        <f>NOT(ISERROR(SEARCH(FILLING!$D$11,tblData[[#This Row],[ФО]])))</f>
        <v>0</v>
      </c>
      <c r="C189" s="268" t="str">
        <f>IF(tblData[[#This Row],[Статус]],COUNTIF($B$2:tblData[[#This Row],[Статус]],TRUE),"")</f>
        <v/>
      </c>
      <c r="D189" s="269" t="str">
        <f>IFERROR(INDEX(tblData[ФО],MATCH(ROWS($C$2:tblData[[#This Row],[Индекс]]),tblData[Индекс],0)),"")</f>
        <v/>
      </c>
      <c r="E189" t="b">
        <f>NOT(ISERROR(SEARCH(FILLING!$D$15,tblData[[#This Row],[ФО]])))</f>
        <v>0</v>
      </c>
      <c r="F189" s="267" t="str">
        <f>IF(tblData[[#This Row],[Статус2]],COUNTIF($E$2:tblData[[#This Row],[Статус2]],TRUE),"")</f>
        <v/>
      </c>
      <c r="G189" t="str">
        <f>IFERROR(INDEX(tblData[ФО],MATCH(ROWS($F$2:tblData[[#This Row],[Индекс2]]),tblData[Индекс2],0)),"")</f>
        <v/>
      </c>
    </row>
    <row r="190" spans="2:7" x14ac:dyDescent="0.35">
      <c r="B190" s="268" t="b">
        <f>NOT(ISERROR(SEARCH(FILLING!$D$11,tblData[[#This Row],[ФО]])))</f>
        <v>0</v>
      </c>
      <c r="C190" s="268" t="str">
        <f>IF(tblData[[#This Row],[Статус]],COUNTIF($B$2:tblData[[#This Row],[Статус]],TRUE),"")</f>
        <v/>
      </c>
      <c r="D190" s="269" t="str">
        <f>IFERROR(INDEX(tblData[ФО],MATCH(ROWS($C$2:tblData[[#This Row],[Индекс]]),tblData[Индекс],0)),"")</f>
        <v/>
      </c>
      <c r="E190" t="b">
        <f>NOT(ISERROR(SEARCH(FILLING!$D$15,tblData[[#This Row],[ФО]])))</f>
        <v>0</v>
      </c>
      <c r="F190" s="267" t="str">
        <f>IF(tblData[[#This Row],[Статус2]],COUNTIF($E$2:tblData[[#This Row],[Статус2]],TRUE),"")</f>
        <v/>
      </c>
      <c r="G190" t="str">
        <f>IFERROR(INDEX(tblData[ФО],MATCH(ROWS($F$2:tblData[[#This Row],[Индекс2]]),tblData[Индекс2],0)),"")</f>
        <v/>
      </c>
    </row>
    <row r="191" spans="2:7" x14ac:dyDescent="0.35">
      <c r="B191" s="268" t="b">
        <f>NOT(ISERROR(SEARCH(FILLING!$D$11,tblData[[#This Row],[ФО]])))</f>
        <v>0</v>
      </c>
      <c r="C191" s="268" t="str">
        <f>IF(tblData[[#This Row],[Статус]],COUNTIF($B$2:tblData[[#This Row],[Статус]],TRUE),"")</f>
        <v/>
      </c>
      <c r="D191" s="269" t="str">
        <f>IFERROR(INDEX(tblData[ФО],MATCH(ROWS($C$2:tblData[[#This Row],[Индекс]]),tblData[Индекс],0)),"")</f>
        <v/>
      </c>
      <c r="E191" t="b">
        <f>NOT(ISERROR(SEARCH(FILLING!$D$15,tblData[[#This Row],[ФО]])))</f>
        <v>0</v>
      </c>
      <c r="F191" s="267" t="str">
        <f>IF(tblData[[#This Row],[Статус2]],COUNTIF($E$2:tblData[[#This Row],[Статус2]],TRUE),"")</f>
        <v/>
      </c>
      <c r="G191" t="str">
        <f>IFERROR(INDEX(tblData[ФО],MATCH(ROWS($F$2:tblData[[#This Row],[Индекс2]]),tblData[Индекс2],0)),"")</f>
        <v/>
      </c>
    </row>
    <row r="192" spans="2:7" x14ac:dyDescent="0.35">
      <c r="B192" s="268" t="b">
        <f>NOT(ISERROR(SEARCH(FILLING!$D$11,tblData[[#This Row],[ФО]])))</f>
        <v>0</v>
      </c>
      <c r="C192" s="268" t="str">
        <f>IF(tblData[[#This Row],[Статус]],COUNTIF($B$2:tblData[[#This Row],[Статус]],TRUE),"")</f>
        <v/>
      </c>
      <c r="D192" s="269" t="str">
        <f>IFERROR(INDEX(tblData[ФО],MATCH(ROWS($C$2:tblData[[#This Row],[Индекс]]),tblData[Индекс],0)),"")</f>
        <v/>
      </c>
      <c r="E192" t="b">
        <f>NOT(ISERROR(SEARCH(FILLING!$D$15,tblData[[#This Row],[ФО]])))</f>
        <v>0</v>
      </c>
      <c r="F192" s="267" t="str">
        <f>IF(tblData[[#This Row],[Статус2]],COUNTIF($E$2:tblData[[#This Row],[Статус2]],TRUE),"")</f>
        <v/>
      </c>
      <c r="G192" t="str">
        <f>IFERROR(INDEX(tblData[ФО],MATCH(ROWS($F$2:tblData[[#This Row],[Индекс2]]),tblData[Индекс2],0)),"")</f>
        <v/>
      </c>
    </row>
    <row r="193" spans="2:7" x14ac:dyDescent="0.35">
      <c r="B193" s="268" t="b">
        <f>NOT(ISERROR(SEARCH(FILLING!$D$11,tblData[[#This Row],[ФО]])))</f>
        <v>0</v>
      </c>
      <c r="C193" s="268" t="str">
        <f>IF(tblData[[#This Row],[Статус]],COUNTIF($B$2:tblData[[#This Row],[Статус]],TRUE),"")</f>
        <v/>
      </c>
      <c r="D193" s="269" t="str">
        <f>IFERROR(INDEX(tblData[ФО],MATCH(ROWS($C$2:tblData[[#This Row],[Индекс]]),tblData[Индекс],0)),"")</f>
        <v/>
      </c>
      <c r="E193" t="b">
        <f>NOT(ISERROR(SEARCH(FILLING!$D$15,tblData[[#This Row],[ФО]])))</f>
        <v>0</v>
      </c>
      <c r="F193" s="267" t="str">
        <f>IF(tblData[[#This Row],[Статус2]],COUNTIF($E$2:tblData[[#This Row],[Статус2]],TRUE),"")</f>
        <v/>
      </c>
      <c r="G193" t="str">
        <f>IFERROR(INDEX(tblData[ФО],MATCH(ROWS($F$2:tblData[[#This Row],[Индекс2]]),tblData[Индекс2],0)),"")</f>
        <v/>
      </c>
    </row>
    <row r="194" spans="2:7" x14ac:dyDescent="0.35">
      <c r="B194" s="268" t="b">
        <f>NOT(ISERROR(SEARCH(FILLING!$D$11,tblData[[#This Row],[ФО]])))</f>
        <v>0</v>
      </c>
      <c r="C194" s="268" t="str">
        <f>IF(tblData[[#This Row],[Статус]],COUNTIF($B$2:tblData[[#This Row],[Статус]],TRUE),"")</f>
        <v/>
      </c>
      <c r="D194" s="269" t="str">
        <f>IFERROR(INDEX(tblData[ФО],MATCH(ROWS($C$2:tblData[[#This Row],[Индекс]]),tblData[Индекс],0)),"")</f>
        <v/>
      </c>
      <c r="E194" t="b">
        <f>NOT(ISERROR(SEARCH(FILLING!$D$15,tblData[[#This Row],[ФО]])))</f>
        <v>0</v>
      </c>
      <c r="F194" s="267" t="str">
        <f>IF(tblData[[#This Row],[Статус2]],COUNTIF($E$2:tblData[[#This Row],[Статус2]],TRUE),"")</f>
        <v/>
      </c>
      <c r="G194" t="str">
        <f>IFERROR(INDEX(tblData[ФО],MATCH(ROWS($F$2:tblData[[#This Row],[Индекс2]]),tblData[Индекс2],0)),"")</f>
        <v/>
      </c>
    </row>
    <row r="195" spans="2:7" x14ac:dyDescent="0.35">
      <c r="B195" s="268" t="b">
        <f>NOT(ISERROR(SEARCH(FILLING!$D$11,tblData[[#This Row],[ФО]])))</f>
        <v>0</v>
      </c>
      <c r="C195" s="268" t="str">
        <f>IF(tblData[[#This Row],[Статус]],COUNTIF($B$2:tblData[[#This Row],[Статус]],TRUE),"")</f>
        <v/>
      </c>
      <c r="D195" s="269" t="str">
        <f>IFERROR(INDEX(tblData[ФО],MATCH(ROWS($C$2:tblData[[#This Row],[Индекс]]),tblData[Индекс],0)),"")</f>
        <v/>
      </c>
      <c r="E195" t="b">
        <f>NOT(ISERROR(SEARCH(FILLING!$D$15,tblData[[#This Row],[ФО]])))</f>
        <v>0</v>
      </c>
      <c r="F195" s="267" t="str">
        <f>IF(tblData[[#This Row],[Статус2]],COUNTIF($E$2:tblData[[#This Row],[Статус2]],TRUE),"")</f>
        <v/>
      </c>
      <c r="G195" t="str">
        <f>IFERROR(INDEX(tblData[ФО],MATCH(ROWS($F$2:tblData[[#This Row],[Индекс2]]),tblData[Индекс2],0)),"")</f>
        <v/>
      </c>
    </row>
    <row r="196" spans="2:7" x14ac:dyDescent="0.35">
      <c r="B196" s="268" t="b">
        <f>NOT(ISERROR(SEARCH(FILLING!$D$11,tblData[[#This Row],[ФО]])))</f>
        <v>0</v>
      </c>
      <c r="C196" s="268" t="str">
        <f>IF(tblData[[#This Row],[Статус]],COUNTIF($B$2:tblData[[#This Row],[Статус]],TRUE),"")</f>
        <v/>
      </c>
      <c r="D196" s="269" t="str">
        <f>IFERROR(INDEX(tblData[ФО],MATCH(ROWS($C$2:tblData[[#This Row],[Индекс]]),tblData[Индекс],0)),"")</f>
        <v/>
      </c>
      <c r="E196" t="b">
        <f>NOT(ISERROR(SEARCH(FILLING!$D$15,tblData[[#This Row],[ФО]])))</f>
        <v>0</v>
      </c>
      <c r="F196" s="267" t="str">
        <f>IF(tblData[[#This Row],[Статус2]],COUNTIF($E$2:tblData[[#This Row],[Статус2]],TRUE),"")</f>
        <v/>
      </c>
      <c r="G196" t="str">
        <f>IFERROR(INDEX(tblData[ФО],MATCH(ROWS($F$2:tblData[[#This Row],[Индекс2]]),tblData[Индекс2],0)),"")</f>
        <v/>
      </c>
    </row>
    <row r="197" spans="2:7" x14ac:dyDescent="0.35">
      <c r="B197" s="268" t="b">
        <f>NOT(ISERROR(SEARCH(FILLING!$D$11,tblData[[#This Row],[ФО]])))</f>
        <v>0</v>
      </c>
      <c r="C197" s="268" t="str">
        <f>IF(tblData[[#This Row],[Статус]],COUNTIF($B$2:tblData[[#This Row],[Статус]],TRUE),"")</f>
        <v/>
      </c>
      <c r="D197" s="269" t="str">
        <f>IFERROR(INDEX(tblData[ФО],MATCH(ROWS($C$2:tblData[[#This Row],[Индекс]]),tblData[Индекс],0)),"")</f>
        <v/>
      </c>
      <c r="E197" t="b">
        <f>NOT(ISERROR(SEARCH(FILLING!$D$15,tblData[[#This Row],[ФО]])))</f>
        <v>0</v>
      </c>
      <c r="F197" s="267" t="str">
        <f>IF(tblData[[#This Row],[Статус2]],COUNTIF($E$2:tblData[[#This Row],[Статус2]],TRUE),"")</f>
        <v/>
      </c>
      <c r="G197" t="str">
        <f>IFERROR(INDEX(tblData[ФО],MATCH(ROWS($F$2:tblData[[#This Row],[Индекс2]]),tblData[Индекс2],0)),"")</f>
        <v/>
      </c>
    </row>
    <row r="198" spans="2:7" x14ac:dyDescent="0.35">
      <c r="B198" s="268" t="b">
        <f>NOT(ISERROR(SEARCH(FILLING!$D$11,tblData[[#This Row],[ФО]])))</f>
        <v>0</v>
      </c>
      <c r="C198" s="268" t="str">
        <f>IF(tblData[[#This Row],[Статус]],COUNTIF($B$2:tblData[[#This Row],[Статус]],TRUE),"")</f>
        <v/>
      </c>
      <c r="D198" s="269" t="str">
        <f>IFERROR(INDEX(tblData[ФО],MATCH(ROWS($C$2:tblData[[#This Row],[Индекс]]),tblData[Индекс],0)),"")</f>
        <v/>
      </c>
      <c r="E198" t="b">
        <f>NOT(ISERROR(SEARCH(FILLING!$D$15,tblData[[#This Row],[ФО]])))</f>
        <v>0</v>
      </c>
      <c r="F198" s="267" t="str">
        <f>IF(tblData[[#This Row],[Статус2]],COUNTIF($E$2:tblData[[#This Row],[Статус2]],TRUE),"")</f>
        <v/>
      </c>
      <c r="G198" t="str">
        <f>IFERROR(INDEX(tblData[ФО],MATCH(ROWS($F$2:tblData[[#This Row],[Индекс2]]),tblData[Индекс2],0)),"")</f>
        <v/>
      </c>
    </row>
    <row r="199" spans="2:7" x14ac:dyDescent="0.35">
      <c r="B199" s="268" t="b">
        <f>NOT(ISERROR(SEARCH(FILLING!$D$11,tblData[[#This Row],[ФО]])))</f>
        <v>0</v>
      </c>
      <c r="C199" s="268" t="str">
        <f>IF(tblData[[#This Row],[Статус]],COUNTIF($B$2:tblData[[#This Row],[Статус]],TRUE),"")</f>
        <v/>
      </c>
      <c r="D199" s="269" t="str">
        <f>IFERROR(INDEX(tblData[ФО],MATCH(ROWS($C$2:tblData[[#This Row],[Индекс]]),tblData[Индекс],0)),"")</f>
        <v/>
      </c>
      <c r="E199" t="b">
        <f>NOT(ISERROR(SEARCH(FILLING!$D$15,tblData[[#This Row],[ФО]])))</f>
        <v>0</v>
      </c>
      <c r="F199" s="267" t="str">
        <f>IF(tblData[[#This Row],[Статус2]],COUNTIF($E$2:tblData[[#This Row],[Статус2]],TRUE),"")</f>
        <v/>
      </c>
      <c r="G199" t="str">
        <f>IFERROR(INDEX(tblData[ФО],MATCH(ROWS($F$2:tblData[[#This Row],[Индекс2]]),tblData[Индекс2],0)),"")</f>
        <v/>
      </c>
    </row>
    <row r="200" spans="2:7" x14ac:dyDescent="0.35">
      <c r="B200" s="268" t="b">
        <f>NOT(ISERROR(SEARCH(FILLING!$D$11,tblData[[#This Row],[ФО]])))</f>
        <v>0</v>
      </c>
      <c r="C200" s="268" t="str">
        <f>IF(tblData[[#This Row],[Статус]],COUNTIF($B$2:tblData[[#This Row],[Статус]],TRUE),"")</f>
        <v/>
      </c>
      <c r="D200" s="269" t="str">
        <f>IFERROR(INDEX(tblData[ФО],MATCH(ROWS($C$2:tblData[[#This Row],[Индекс]]),tblData[Индекс],0)),"")</f>
        <v/>
      </c>
      <c r="E200" t="b">
        <f>NOT(ISERROR(SEARCH(FILLING!$D$15,tblData[[#This Row],[ФО]])))</f>
        <v>0</v>
      </c>
      <c r="F200" s="267" t="str">
        <f>IF(tblData[[#This Row],[Статус2]],COUNTIF($E$2:tblData[[#This Row],[Статус2]],TRUE),"")</f>
        <v/>
      </c>
      <c r="G200" t="str">
        <f>IFERROR(INDEX(tblData[ФО],MATCH(ROWS($F$2:tblData[[#This Row],[Индекс2]]),tblData[Индекс2],0)),"")</f>
        <v/>
      </c>
    </row>
    <row r="201" spans="2:7" x14ac:dyDescent="0.35">
      <c r="B201" s="268" t="b">
        <f>NOT(ISERROR(SEARCH(FILLING!$D$11,tblData[[#This Row],[ФО]])))</f>
        <v>0</v>
      </c>
      <c r="C201" s="268" t="str">
        <f>IF(tblData[[#This Row],[Статус]],COUNTIF($B$2:tblData[[#This Row],[Статус]],TRUE),"")</f>
        <v/>
      </c>
      <c r="D201" s="269" t="str">
        <f>IFERROR(INDEX(tblData[ФО],MATCH(ROWS($C$2:tblData[[#This Row],[Индекс]]),tblData[Индекс],0)),"")</f>
        <v/>
      </c>
      <c r="E201" t="b">
        <f>NOT(ISERROR(SEARCH(FILLING!$D$15,tblData[[#This Row],[ФО]])))</f>
        <v>0</v>
      </c>
      <c r="F201" s="267" t="str">
        <f>IF(tblData[[#This Row],[Статус2]],COUNTIF($E$2:tblData[[#This Row],[Статус2]],TRUE),"")</f>
        <v/>
      </c>
      <c r="G201" t="str">
        <f>IFERROR(INDEX(tblData[ФО],MATCH(ROWS($F$2:tblData[[#This Row],[Индекс2]]),tblData[Индекс2],0)),"")</f>
        <v/>
      </c>
    </row>
    <row r="202" spans="2:7" x14ac:dyDescent="0.35">
      <c r="B202" s="268" t="b">
        <f>NOT(ISERROR(SEARCH(FILLING!$D$11,tblData[[#This Row],[ФО]])))</f>
        <v>0</v>
      </c>
      <c r="C202" s="268" t="str">
        <f>IF(tblData[[#This Row],[Статус]],COUNTIF($B$2:tblData[[#This Row],[Статус]],TRUE),"")</f>
        <v/>
      </c>
      <c r="D202" s="269" t="str">
        <f>IFERROR(INDEX(tblData[ФО],MATCH(ROWS($C$2:tblData[[#This Row],[Индекс]]),tblData[Индекс],0)),"")</f>
        <v/>
      </c>
      <c r="E202" t="b">
        <f>NOT(ISERROR(SEARCH(FILLING!$D$15,tblData[[#This Row],[ФО]])))</f>
        <v>0</v>
      </c>
      <c r="F202" s="267" t="str">
        <f>IF(tblData[[#This Row],[Статус2]],COUNTIF($E$2:tblData[[#This Row],[Статус2]],TRUE),"")</f>
        <v/>
      </c>
      <c r="G202" t="str">
        <f>IFERROR(INDEX(tblData[ФО],MATCH(ROWS($F$2:tblData[[#This Row],[Индекс2]]),tblData[Индекс2],0)),"")</f>
        <v/>
      </c>
    </row>
    <row r="203" spans="2:7" x14ac:dyDescent="0.35">
      <c r="B203" s="268" t="b">
        <f>NOT(ISERROR(SEARCH(FILLING!$D$11,tblData[[#This Row],[ФО]])))</f>
        <v>0</v>
      </c>
      <c r="C203" s="268" t="str">
        <f>IF(tblData[[#This Row],[Статус]],COUNTIF($B$2:tblData[[#This Row],[Статус]],TRUE),"")</f>
        <v/>
      </c>
      <c r="D203" s="269" t="str">
        <f>IFERROR(INDEX(tblData[ФО],MATCH(ROWS($C$2:tblData[[#This Row],[Индекс]]),tblData[Индекс],0)),"")</f>
        <v/>
      </c>
      <c r="E203" t="b">
        <f>NOT(ISERROR(SEARCH(FILLING!$D$15,tblData[[#This Row],[ФО]])))</f>
        <v>0</v>
      </c>
      <c r="F203" s="267" t="str">
        <f>IF(tblData[[#This Row],[Статус2]],COUNTIF($E$2:tblData[[#This Row],[Статус2]],TRUE),"")</f>
        <v/>
      </c>
      <c r="G203" t="str">
        <f>IFERROR(INDEX(tblData[ФО],MATCH(ROWS($F$2:tblData[[#This Row],[Индекс2]]),tblData[Индекс2],0)),"")</f>
        <v/>
      </c>
    </row>
    <row r="204" spans="2:7" x14ac:dyDescent="0.35">
      <c r="B204" s="268" t="b">
        <f>NOT(ISERROR(SEARCH(FILLING!$D$11,tblData[[#This Row],[ФО]])))</f>
        <v>0</v>
      </c>
      <c r="C204" s="268" t="str">
        <f>IF(tblData[[#This Row],[Статус]],COUNTIF($B$2:tblData[[#This Row],[Статус]],TRUE),"")</f>
        <v/>
      </c>
      <c r="D204" s="269" t="str">
        <f>IFERROR(INDEX(tblData[ФО],MATCH(ROWS($C$2:tblData[[#This Row],[Индекс]]),tblData[Индекс],0)),"")</f>
        <v/>
      </c>
      <c r="E204" t="b">
        <f>NOT(ISERROR(SEARCH(FILLING!$D$15,tblData[[#This Row],[ФО]])))</f>
        <v>0</v>
      </c>
      <c r="F204" s="267" t="str">
        <f>IF(tblData[[#This Row],[Статус2]],COUNTIF($E$2:tblData[[#This Row],[Статус2]],TRUE),"")</f>
        <v/>
      </c>
      <c r="G204" t="str">
        <f>IFERROR(INDEX(tblData[ФО],MATCH(ROWS($F$2:tblData[[#This Row],[Индекс2]]),tblData[Индекс2],0)),"")</f>
        <v/>
      </c>
    </row>
    <row r="205" spans="2:7" x14ac:dyDescent="0.35">
      <c r="B205" s="268" t="b">
        <f>NOT(ISERROR(SEARCH(FILLING!$D$11,tblData[[#This Row],[ФО]])))</f>
        <v>0</v>
      </c>
      <c r="C205" s="268" t="str">
        <f>IF(tblData[[#This Row],[Статус]],COUNTIF($B$2:tblData[[#This Row],[Статус]],TRUE),"")</f>
        <v/>
      </c>
      <c r="D205" s="269" t="str">
        <f>IFERROR(INDEX(tblData[ФО],MATCH(ROWS($C$2:tblData[[#This Row],[Индекс]]),tblData[Индекс],0)),"")</f>
        <v/>
      </c>
      <c r="E205" t="b">
        <f>NOT(ISERROR(SEARCH(FILLING!$D$15,tblData[[#This Row],[ФО]])))</f>
        <v>0</v>
      </c>
      <c r="F205" s="267" t="str">
        <f>IF(tblData[[#This Row],[Статус2]],COUNTIF($E$2:tblData[[#This Row],[Статус2]],TRUE),"")</f>
        <v/>
      </c>
      <c r="G205" t="str">
        <f>IFERROR(INDEX(tblData[ФО],MATCH(ROWS($F$2:tblData[[#This Row],[Индекс2]]),tblData[Индекс2],0)),"")</f>
        <v/>
      </c>
    </row>
    <row r="206" spans="2:7" x14ac:dyDescent="0.35">
      <c r="B206" s="268" t="b">
        <f>NOT(ISERROR(SEARCH(FILLING!$D$11,tblData[[#This Row],[ФО]])))</f>
        <v>0</v>
      </c>
      <c r="C206" s="268" t="str">
        <f>IF(tblData[[#This Row],[Статус]],COUNTIF($B$2:tblData[[#This Row],[Статус]],TRUE),"")</f>
        <v/>
      </c>
      <c r="D206" s="269" t="str">
        <f>IFERROR(INDEX(tblData[ФО],MATCH(ROWS($C$2:tblData[[#This Row],[Индекс]]),tblData[Индекс],0)),"")</f>
        <v/>
      </c>
      <c r="E206" t="b">
        <f>NOT(ISERROR(SEARCH(FILLING!$D$15,tblData[[#This Row],[ФО]])))</f>
        <v>0</v>
      </c>
      <c r="F206" s="267" t="str">
        <f>IF(tblData[[#This Row],[Статус2]],COUNTIF($E$2:tblData[[#This Row],[Статус2]],TRUE),"")</f>
        <v/>
      </c>
      <c r="G206" t="str">
        <f>IFERROR(INDEX(tblData[ФО],MATCH(ROWS($F$2:tblData[[#This Row],[Индекс2]]),tblData[Индекс2],0)),"")</f>
        <v/>
      </c>
    </row>
    <row r="207" spans="2:7" x14ac:dyDescent="0.35">
      <c r="B207" s="268" t="b">
        <f>NOT(ISERROR(SEARCH(FILLING!$D$11,tblData[[#This Row],[ФО]])))</f>
        <v>0</v>
      </c>
      <c r="C207" s="268" t="str">
        <f>IF(tblData[[#This Row],[Статус]],COUNTIF($B$2:tblData[[#This Row],[Статус]],TRUE),"")</f>
        <v/>
      </c>
      <c r="D207" s="269" t="str">
        <f>IFERROR(INDEX(tblData[ФО],MATCH(ROWS($C$2:tblData[[#This Row],[Индекс]]),tblData[Индекс],0)),"")</f>
        <v/>
      </c>
      <c r="E207" t="b">
        <f>NOT(ISERROR(SEARCH(FILLING!$D$15,tblData[[#This Row],[ФО]])))</f>
        <v>0</v>
      </c>
      <c r="F207" s="267" t="str">
        <f>IF(tblData[[#This Row],[Статус2]],COUNTIF($E$2:tblData[[#This Row],[Статус2]],TRUE),"")</f>
        <v/>
      </c>
      <c r="G207" t="str">
        <f>IFERROR(INDEX(tblData[ФО],MATCH(ROWS($F$2:tblData[[#This Row],[Индекс2]]),tblData[Индекс2],0)),"")</f>
        <v/>
      </c>
    </row>
    <row r="208" spans="2:7" x14ac:dyDescent="0.35">
      <c r="B208" s="268" t="b">
        <f>NOT(ISERROR(SEARCH(FILLING!$D$11,tblData[[#This Row],[ФО]])))</f>
        <v>0</v>
      </c>
      <c r="C208" s="268" t="str">
        <f>IF(tblData[[#This Row],[Статус]],COUNTIF($B$2:tblData[[#This Row],[Статус]],TRUE),"")</f>
        <v/>
      </c>
      <c r="D208" s="269" t="str">
        <f>IFERROR(INDEX(tblData[ФО],MATCH(ROWS($C$2:tblData[[#This Row],[Индекс]]),tblData[Индекс],0)),"")</f>
        <v/>
      </c>
      <c r="E208" t="b">
        <f>NOT(ISERROR(SEARCH(FILLING!$D$15,tblData[[#This Row],[ФО]])))</f>
        <v>0</v>
      </c>
      <c r="F208" s="267" t="str">
        <f>IF(tblData[[#This Row],[Статус2]],COUNTIF($E$2:tblData[[#This Row],[Статус2]],TRUE),"")</f>
        <v/>
      </c>
      <c r="G208" t="str">
        <f>IFERROR(INDEX(tblData[ФО],MATCH(ROWS($F$2:tblData[[#This Row],[Индекс2]]),tblData[Индекс2],0)),"")</f>
        <v/>
      </c>
    </row>
    <row r="209" spans="2:7" x14ac:dyDescent="0.35">
      <c r="B209" s="268" t="b">
        <f>NOT(ISERROR(SEARCH(FILLING!$D$11,tblData[[#This Row],[ФО]])))</f>
        <v>0</v>
      </c>
      <c r="C209" s="268" t="str">
        <f>IF(tblData[[#This Row],[Статус]],COUNTIF($B$2:tblData[[#This Row],[Статус]],TRUE),"")</f>
        <v/>
      </c>
      <c r="D209" s="269" t="str">
        <f>IFERROR(INDEX(tblData[ФО],MATCH(ROWS($C$2:tblData[[#This Row],[Индекс]]),tblData[Индекс],0)),"")</f>
        <v/>
      </c>
      <c r="E209" t="b">
        <f>NOT(ISERROR(SEARCH(FILLING!$D$15,tblData[[#This Row],[ФО]])))</f>
        <v>0</v>
      </c>
      <c r="F209" s="267" t="str">
        <f>IF(tblData[[#This Row],[Статус2]],COUNTIF($E$2:tblData[[#This Row],[Статус2]],TRUE),"")</f>
        <v/>
      </c>
      <c r="G209" t="str">
        <f>IFERROR(INDEX(tblData[ФО],MATCH(ROWS($F$2:tblData[[#This Row],[Индекс2]]),tblData[Индекс2],0)),"")</f>
        <v/>
      </c>
    </row>
    <row r="210" spans="2:7" x14ac:dyDescent="0.35">
      <c r="B210" s="268" t="b">
        <f>NOT(ISERROR(SEARCH(FILLING!$D$11,tblData[[#This Row],[ФО]])))</f>
        <v>0</v>
      </c>
      <c r="C210" s="268" t="str">
        <f>IF(tblData[[#This Row],[Статус]],COUNTIF($B$2:tblData[[#This Row],[Статус]],TRUE),"")</f>
        <v/>
      </c>
      <c r="D210" s="269" t="str">
        <f>IFERROR(INDEX(tblData[ФО],MATCH(ROWS($C$2:tblData[[#This Row],[Индекс]]),tblData[Индекс],0)),"")</f>
        <v/>
      </c>
      <c r="E210" t="b">
        <f>NOT(ISERROR(SEARCH(FILLING!$D$15,tblData[[#This Row],[ФО]])))</f>
        <v>0</v>
      </c>
      <c r="F210" s="267" t="str">
        <f>IF(tblData[[#This Row],[Статус2]],COUNTIF($E$2:tblData[[#This Row],[Статус2]],TRUE),"")</f>
        <v/>
      </c>
      <c r="G210" t="str">
        <f>IFERROR(INDEX(tblData[ФО],MATCH(ROWS($F$2:tblData[[#This Row],[Индекс2]]),tblData[Индекс2],0)),"")</f>
        <v/>
      </c>
    </row>
    <row r="211" spans="2:7" x14ac:dyDescent="0.35">
      <c r="B211" s="268" t="b">
        <f>NOT(ISERROR(SEARCH(FILLING!$D$11,tblData[[#This Row],[ФО]])))</f>
        <v>0</v>
      </c>
      <c r="C211" s="268" t="str">
        <f>IF(tblData[[#This Row],[Статус]],COUNTIF($B$2:tblData[[#This Row],[Статус]],TRUE),"")</f>
        <v/>
      </c>
      <c r="D211" s="269" t="str">
        <f>IFERROR(INDEX(tblData[ФО],MATCH(ROWS($C$2:tblData[[#This Row],[Индекс]]),tblData[Индекс],0)),"")</f>
        <v/>
      </c>
      <c r="E211" t="b">
        <f>NOT(ISERROR(SEARCH(FILLING!$D$15,tblData[[#This Row],[ФО]])))</f>
        <v>0</v>
      </c>
      <c r="F211" s="267" t="str">
        <f>IF(tblData[[#This Row],[Статус2]],COUNTIF($E$2:tblData[[#This Row],[Статус2]],TRUE),"")</f>
        <v/>
      </c>
      <c r="G211" t="str">
        <f>IFERROR(INDEX(tblData[ФО],MATCH(ROWS($F$2:tblData[[#This Row],[Индекс2]]),tblData[Индекс2],0)),"")</f>
        <v/>
      </c>
    </row>
    <row r="212" spans="2:7" x14ac:dyDescent="0.35">
      <c r="B212" s="268" t="b">
        <f>NOT(ISERROR(SEARCH(FILLING!$D$11,tblData[[#This Row],[ФО]])))</f>
        <v>0</v>
      </c>
      <c r="C212" s="268" t="str">
        <f>IF(tblData[[#This Row],[Статус]],COUNTIF($B$2:tblData[[#This Row],[Статус]],TRUE),"")</f>
        <v/>
      </c>
      <c r="D212" s="269" t="str">
        <f>IFERROR(INDEX(tblData[ФО],MATCH(ROWS($C$2:tblData[[#This Row],[Индекс]]),tblData[Индекс],0)),"")</f>
        <v/>
      </c>
      <c r="E212" t="b">
        <f>NOT(ISERROR(SEARCH(FILLING!$D$15,tblData[[#This Row],[ФО]])))</f>
        <v>0</v>
      </c>
      <c r="F212" s="267" t="str">
        <f>IF(tblData[[#This Row],[Статус2]],COUNTIF($E$2:tblData[[#This Row],[Статус2]],TRUE),"")</f>
        <v/>
      </c>
      <c r="G212" t="str">
        <f>IFERROR(INDEX(tblData[ФО],MATCH(ROWS($F$2:tblData[[#This Row],[Индекс2]]),tblData[Индекс2],0)),"")</f>
        <v/>
      </c>
    </row>
    <row r="213" spans="2:7" x14ac:dyDescent="0.35">
      <c r="B213" s="268" t="b">
        <f>NOT(ISERROR(SEARCH(FILLING!$D$11,tblData[[#This Row],[ФО]])))</f>
        <v>0</v>
      </c>
      <c r="C213" s="268" t="str">
        <f>IF(tblData[[#This Row],[Статус]],COUNTIF($B$2:tblData[[#This Row],[Статус]],TRUE),"")</f>
        <v/>
      </c>
      <c r="D213" s="269" t="str">
        <f>IFERROR(INDEX(tblData[ФО],MATCH(ROWS($C$2:tblData[[#This Row],[Индекс]]),tblData[Индекс],0)),"")</f>
        <v/>
      </c>
      <c r="E213" t="b">
        <f>NOT(ISERROR(SEARCH(FILLING!$D$15,tblData[[#This Row],[ФО]])))</f>
        <v>0</v>
      </c>
      <c r="F213" s="267" t="str">
        <f>IF(tblData[[#This Row],[Статус2]],COUNTIF($E$2:tblData[[#This Row],[Статус2]],TRUE),"")</f>
        <v/>
      </c>
      <c r="G213" t="str">
        <f>IFERROR(INDEX(tblData[ФО],MATCH(ROWS($F$2:tblData[[#This Row],[Индекс2]]),tblData[Индекс2],0)),"")</f>
        <v/>
      </c>
    </row>
    <row r="214" spans="2:7" x14ac:dyDescent="0.35">
      <c r="B214" s="268" t="b">
        <f>NOT(ISERROR(SEARCH(FILLING!$D$11,tblData[[#This Row],[ФО]])))</f>
        <v>0</v>
      </c>
      <c r="C214" s="268" t="str">
        <f>IF(tblData[[#This Row],[Статус]],COUNTIF($B$2:tblData[[#This Row],[Статус]],TRUE),"")</f>
        <v/>
      </c>
      <c r="D214" s="269" t="str">
        <f>IFERROR(INDEX(tblData[ФО],MATCH(ROWS($C$2:tblData[[#This Row],[Индекс]]),tblData[Индекс],0)),"")</f>
        <v/>
      </c>
      <c r="E214" t="b">
        <f>NOT(ISERROR(SEARCH(FILLING!$D$15,tblData[[#This Row],[ФО]])))</f>
        <v>0</v>
      </c>
      <c r="F214" s="267" t="str">
        <f>IF(tblData[[#This Row],[Статус2]],COUNTIF($E$2:tblData[[#This Row],[Статус2]],TRUE),"")</f>
        <v/>
      </c>
      <c r="G214" t="str">
        <f>IFERROR(INDEX(tblData[ФО],MATCH(ROWS($F$2:tblData[[#This Row],[Индекс2]]),tblData[Индекс2],0)),"")</f>
        <v/>
      </c>
    </row>
    <row r="215" spans="2:7" x14ac:dyDescent="0.35">
      <c r="B215" s="268" t="b">
        <f>NOT(ISERROR(SEARCH(FILLING!$D$11,tblData[[#This Row],[ФО]])))</f>
        <v>0</v>
      </c>
      <c r="C215" s="268" t="str">
        <f>IF(tblData[[#This Row],[Статус]],COUNTIF($B$2:tblData[[#This Row],[Статус]],TRUE),"")</f>
        <v/>
      </c>
      <c r="D215" s="269" t="str">
        <f>IFERROR(INDEX(tblData[ФО],MATCH(ROWS($C$2:tblData[[#This Row],[Индекс]]),tblData[Индекс],0)),"")</f>
        <v/>
      </c>
      <c r="E215" t="b">
        <f>NOT(ISERROR(SEARCH(FILLING!$D$15,tblData[[#This Row],[ФО]])))</f>
        <v>0</v>
      </c>
      <c r="F215" s="267" t="str">
        <f>IF(tblData[[#This Row],[Статус2]],COUNTIF($E$2:tblData[[#This Row],[Статус2]],TRUE),"")</f>
        <v/>
      </c>
      <c r="G215" t="str">
        <f>IFERROR(INDEX(tblData[ФО],MATCH(ROWS($F$2:tblData[[#This Row],[Индекс2]]),tblData[Индекс2],0)),"")</f>
        <v/>
      </c>
    </row>
    <row r="216" spans="2:7" x14ac:dyDescent="0.35">
      <c r="B216" s="268" t="b">
        <f>NOT(ISERROR(SEARCH(FILLING!$D$11,tblData[[#This Row],[ФО]])))</f>
        <v>0</v>
      </c>
      <c r="C216" s="268" t="str">
        <f>IF(tblData[[#This Row],[Статус]],COUNTIF($B$2:tblData[[#This Row],[Статус]],TRUE),"")</f>
        <v/>
      </c>
      <c r="D216" s="269" t="str">
        <f>IFERROR(INDEX(tblData[ФО],MATCH(ROWS($C$2:tblData[[#This Row],[Индекс]]),tblData[Индекс],0)),"")</f>
        <v/>
      </c>
      <c r="E216" t="b">
        <f>NOT(ISERROR(SEARCH(FILLING!$D$15,tblData[[#This Row],[ФО]])))</f>
        <v>0</v>
      </c>
      <c r="F216" s="267" t="str">
        <f>IF(tblData[[#This Row],[Статус2]],COUNTIF($E$2:tblData[[#This Row],[Статус2]],TRUE),"")</f>
        <v/>
      </c>
      <c r="G216" t="str">
        <f>IFERROR(INDEX(tblData[ФО],MATCH(ROWS($F$2:tblData[[#This Row],[Индекс2]]),tblData[Индекс2],0)),"")</f>
        <v/>
      </c>
    </row>
    <row r="217" spans="2:7" x14ac:dyDescent="0.35">
      <c r="B217" s="268" t="b">
        <f>NOT(ISERROR(SEARCH(FILLING!$D$11,tblData[[#This Row],[ФО]])))</f>
        <v>0</v>
      </c>
      <c r="C217" s="268" t="str">
        <f>IF(tblData[[#This Row],[Статус]],COUNTIF($B$2:tblData[[#This Row],[Статус]],TRUE),"")</f>
        <v/>
      </c>
      <c r="D217" s="269" t="str">
        <f>IFERROR(INDEX(tblData[ФО],MATCH(ROWS($C$2:tblData[[#This Row],[Индекс]]),tblData[Индекс],0)),"")</f>
        <v/>
      </c>
      <c r="E217" t="b">
        <f>NOT(ISERROR(SEARCH(FILLING!$D$15,tblData[[#This Row],[ФО]])))</f>
        <v>0</v>
      </c>
      <c r="F217" s="267" t="str">
        <f>IF(tblData[[#This Row],[Статус2]],COUNTIF($E$2:tblData[[#This Row],[Статус2]],TRUE),"")</f>
        <v/>
      </c>
      <c r="G217" t="str">
        <f>IFERROR(INDEX(tblData[ФО],MATCH(ROWS($F$2:tblData[[#This Row],[Индекс2]]),tblData[Индекс2],0)),"")</f>
        <v/>
      </c>
    </row>
    <row r="218" spans="2:7" x14ac:dyDescent="0.35">
      <c r="B218" s="268" t="b">
        <f>NOT(ISERROR(SEARCH(FILLING!$D$11,tblData[[#This Row],[ФО]])))</f>
        <v>0</v>
      </c>
      <c r="C218" s="268" t="str">
        <f>IF(tblData[[#This Row],[Статус]],COUNTIF($B$2:tblData[[#This Row],[Статус]],TRUE),"")</f>
        <v/>
      </c>
      <c r="D218" s="269" t="str">
        <f>IFERROR(INDEX(tblData[ФО],MATCH(ROWS($C$2:tblData[[#This Row],[Индекс]]),tblData[Индекс],0)),"")</f>
        <v/>
      </c>
      <c r="E218" t="b">
        <f>NOT(ISERROR(SEARCH(FILLING!$D$15,tblData[[#This Row],[ФО]])))</f>
        <v>0</v>
      </c>
      <c r="F218" s="267" t="str">
        <f>IF(tblData[[#This Row],[Статус2]],COUNTIF($E$2:tblData[[#This Row],[Статус2]],TRUE),"")</f>
        <v/>
      </c>
      <c r="G218" t="str">
        <f>IFERROR(INDEX(tblData[ФО],MATCH(ROWS($F$2:tblData[[#This Row],[Индекс2]]),tblData[Индекс2],0)),"")</f>
        <v/>
      </c>
    </row>
    <row r="219" spans="2:7" x14ac:dyDescent="0.35">
      <c r="B219" s="268" t="b">
        <f>NOT(ISERROR(SEARCH(FILLING!$D$11,tblData[[#This Row],[ФО]])))</f>
        <v>0</v>
      </c>
      <c r="C219" s="268" t="str">
        <f>IF(tblData[[#This Row],[Статус]],COUNTIF($B$2:tblData[[#This Row],[Статус]],TRUE),"")</f>
        <v/>
      </c>
      <c r="D219" s="269" t="str">
        <f>IFERROR(INDEX(tblData[ФО],MATCH(ROWS($C$2:tblData[[#This Row],[Индекс]]),tblData[Индекс],0)),"")</f>
        <v/>
      </c>
      <c r="E219" t="b">
        <f>NOT(ISERROR(SEARCH(FILLING!$D$15,tblData[[#This Row],[ФО]])))</f>
        <v>0</v>
      </c>
      <c r="F219" s="267" t="str">
        <f>IF(tblData[[#This Row],[Статус2]],COUNTIF($E$2:tblData[[#This Row],[Статус2]],TRUE),"")</f>
        <v/>
      </c>
      <c r="G219" t="str">
        <f>IFERROR(INDEX(tblData[ФО],MATCH(ROWS($F$2:tblData[[#This Row],[Индекс2]]),tblData[Индекс2],0)),"")</f>
        <v/>
      </c>
    </row>
    <row r="220" spans="2:7" x14ac:dyDescent="0.35">
      <c r="B220" s="268" t="b">
        <f>NOT(ISERROR(SEARCH(FILLING!$D$11,tblData[[#This Row],[ФО]])))</f>
        <v>0</v>
      </c>
      <c r="C220" s="268" t="str">
        <f>IF(tblData[[#This Row],[Статус]],COUNTIF($B$2:tblData[[#This Row],[Статус]],TRUE),"")</f>
        <v/>
      </c>
      <c r="D220" s="269" t="str">
        <f>IFERROR(INDEX(tblData[ФО],MATCH(ROWS($C$2:tblData[[#This Row],[Индекс]]),tblData[Индекс],0)),"")</f>
        <v/>
      </c>
      <c r="E220" t="b">
        <f>NOT(ISERROR(SEARCH(FILLING!$D$15,tblData[[#This Row],[ФО]])))</f>
        <v>0</v>
      </c>
      <c r="F220" s="267" t="str">
        <f>IF(tblData[[#This Row],[Статус2]],COUNTIF($E$2:tblData[[#This Row],[Статус2]],TRUE),"")</f>
        <v/>
      </c>
      <c r="G220" t="str">
        <f>IFERROR(INDEX(tblData[ФО],MATCH(ROWS($F$2:tblData[[#This Row],[Индекс2]]),tblData[Индекс2],0)),"")</f>
        <v/>
      </c>
    </row>
    <row r="221" spans="2:7" x14ac:dyDescent="0.35">
      <c r="B221" s="268" t="b">
        <f>NOT(ISERROR(SEARCH(FILLING!$D$11,tblData[[#This Row],[ФО]])))</f>
        <v>0</v>
      </c>
      <c r="C221" s="268" t="str">
        <f>IF(tblData[[#This Row],[Статус]],COUNTIF($B$2:tblData[[#This Row],[Статус]],TRUE),"")</f>
        <v/>
      </c>
      <c r="D221" s="269" t="str">
        <f>IFERROR(INDEX(tblData[ФО],MATCH(ROWS($C$2:tblData[[#This Row],[Индекс]]),tblData[Индекс],0)),"")</f>
        <v/>
      </c>
      <c r="E221" t="b">
        <f>NOT(ISERROR(SEARCH(FILLING!$D$15,tblData[[#This Row],[ФО]])))</f>
        <v>0</v>
      </c>
      <c r="F221" s="267" t="str">
        <f>IF(tblData[[#This Row],[Статус2]],COUNTIF($E$2:tblData[[#This Row],[Статус2]],TRUE),"")</f>
        <v/>
      </c>
      <c r="G221" t="str">
        <f>IFERROR(INDEX(tblData[ФО],MATCH(ROWS($F$2:tblData[[#This Row],[Индекс2]]),tblData[Индекс2],0)),"")</f>
        <v/>
      </c>
    </row>
    <row r="222" spans="2:7" x14ac:dyDescent="0.35">
      <c r="B222" s="268" t="b">
        <f>NOT(ISERROR(SEARCH(FILLING!$D$11,tblData[[#This Row],[ФО]])))</f>
        <v>0</v>
      </c>
      <c r="C222" s="268" t="str">
        <f>IF(tblData[[#This Row],[Статус]],COUNTIF($B$2:tblData[[#This Row],[Статус]],TRUE),"")</f>
        <v/>
      </c>
      <c r="D222" s="269" t="str">
        <f>IFERROR(INDEX(tblData[ФО],MATCH(ROWS($C$2:tblData[[#This Row],[Индекс]]),tblData[Индекс],0)),"")</f>
        <v/>
      </c>
      <c r="E222" t="b">
        <f>NOT(ISERROR(SEARCH(FILLING!$D$15,tblData[[#This Row],[ФО]])))</f>
        <v>0</v>
      </c>
      <c r="F222" s="267" t="str">
        <f>IF(tblData[[#This Row],[Статус2]],COUNTIF($E$2:tblData[[#This Row],[Статус2]],TRUE),"")</f>
        <v/>
      </c>
      <c r="G222" t="str">
        <f>IFERROR(INDEX(tblData[ФО],MATCH(ROWS($F$2:tblData[[#This Row],[Индекс2]]),tblData[Индекс2],0)),"")</f>
        <v/>
      </c>
    </row>
    <row r="223" spans="2:7" x14ac:dyDescent="0.35">
      <c r="B223" s="268" t="b">
        <f>NOT(ISERROR(SEARCH(FILLING!$D$11,tblData[[#This Row],[ФО]])))</f>
        <v>0</v>
      </c>
      <c r="C223" s="268" t="str">
        <f>IF(tblData[[#This Row],[Статус]],COUNTIF($B$2:tblData[[#This Row],[Статус]],TRUE),"")</f>
        <v/>
      </c>
      <c r="D223" s="269" t="str">
        <f>IFERROR(INDEX(tblData[ФО],MATCH(ROWS($C$2:tblData[[#This Row],[Индекс]]),tblData[Индекс],0)),"")</f>
        <v/>
      </c>
      <c r="E223" t="b">
        <f>NOT(ISERROR(SEARCH(FILLING!$D$15,tblData[[#This Row],[ФО]])))</f>
        <v>0</v>
      </c>
      <c r="F223" s="267" t="str">
        <f>IF(tblData[[#This Row],[Статус2]],COUNTIF($E$2:tblData[[#This Row],[Статус2]],TRUE),"")</f>
        <v/>
      </c>
      <c r="G223" t="str">
        <f>IFERROR(INDEX(tblData[ФО],MATCH(ROWS($F$2:tblData[[#This Row],[Индекс2]]),tblData[Индекс2],0)),"")</f>
        <v/>
      </c>
    </row>
    <row r="224" spans="2:7" x14ac:dyDescent="0.35">
      <c r="B224" s="268" t="b">
        <f>NOT(ISERROR(SEARCH(FILLING!$D$11,tblData[[#This Row],[ФО]])))</f>
        <v>0</v>
      </c>
      <c r="C224" s="268" t="str">
        <f>IF(tblData[[#This Row],[Статус]],COUNTIF($B$2:tblData[[#This Row],[Статус]],TRUE),"")</f>
        <v/>
      </c>
      <c r="D224" s="269" t="str">
        <f>IFERROR(INDEX(tblData[ФО],MATCH(ROWS($C$2:tblData[[#This Row],[Индекс]]),tblData[Индекс],0)),"")</f>
        <v/>
      </c>
      <c r="E224" t="b">
        <f>NOT(ISERROR(SEARCH(FILLING!$D$15,tblData[[#This Row],[ФО]])))</f>
        <v>0</v>
      </c>
      <c r="F224" s="267" t="str">
        <f>IF(tblData[[#This Row],[Статус2]],COUNTIF($E$2:tblData[[#This Row],[Статус2]],TRUE),"")</f>
        <v/>
      </c>
      <c r="G224" t="str">
        <f>IFERROR(INDEX(tblData[ФО],MATCH(ROWS($F$2:tblData[[#This Row],[Индекс2]]),tblData[Индекс2],0)),"")</f>
        <v/>
      </c>
    </row>
    <row r="225" spans="2:7" x14ac:dyDescent="0.35">
      <c r="B225" s="268" t="b">
        <f>NOT(ISERROR(SEARCH(FILLING!$D$11,tblData[[#This Row],[ФО]])))</f>
        <v>0</v>
      </c>
      <c r="C225" s="268" t="str">
        <f>IF(tblData[[#This Row],[Статус]],COUNTIF($B$2:tblData[[#This Row],[Статус]],TRUE),"")</f>
        <v/>
      </c>
      <c r="D225" s="269" t="str">
        <f>IFERROR(INDEX(tblData[ФО],MATCH(ROWS($C$2:tblData[[#This Row],[Индекс]]),tblData[Индекс],0)),"")</f>
        <v/>
      </c>
      <c r="E225" t="b">
        <f>NOT(ISERROR(SEARCH(FILLING!$D$15,tblData[[#This Row],[ФО]])))</f>
        <v>0</v>
      </c>
      <c r="F225" s="267" t="str">
        <f>IF(tblData[[#This Row],[Статус2]],COUNTIF($E$2:tblData[[#This Row],[Статус2]],TRUE),"")</f>
        <v/>
      </c>
      <c r="G225" t="str">
        <f>IFERROR(INDEX(tblData[ФО],MATCH(ROWS($F$2:tblData[[#This Row],[Индекс2]]),tblData[Индекс2],0)),"")</f>
        <v/>
      </c>
    </row>
    <row r="226" spans="2:7" x14ac:dyDescent="0.35">
      <c r="B226" s="268" t="b">
        <f>NOT(ISERROR(SEARCH(FILLING!$D$11,tblData[[#This Row],[ФО]])))</f>
        <v>0</v>
      </c>
      <c r="C226" s="268" t="str">
        <f>IF(tblData[[#This Row],[Статус]],COUNTIF($B$2:tblData[[#This Row],[Статус]],TRUE),"")</f>
        <v/>
      </c>
      <c r="D226" s="269" t="str">
        <f>IFERROR(INDEX(tblData[ФО],MATCH(ROWS($C$2:tblData[[#This Row],[Индекс]]),tblData[Индекс],0)),"")</f>
        <v/>
      </c>
      <c r="E226" t="b">
        <f>NOT(ISERROR(SEARCH(FILLING!$D$15,tblData[[#This Row],[ФО]])))</f>
        <v>0</v>
      </c>
      <c r="F226" s="267" t="str">
        <f>IF(tblData[[#This Row],[Статус2]],COUNTIF($E$2:tblData[[#This Row],[Статус2]],TRUE),"")</f>
        <v/>
      </c>
      <c r="G226" t="str">
        <f>IFERROR(INDEX(tblData[ФО],MATCH(ROWS($F$2:tblData[[#This Row],[Индекс2]]),tblData[Индекс2],0)),"")</f>
        <v/>
      </c>
    </row>
    <row r="227" spans="2:7" x14ac:dyDescent="0.35">
      <c r="B227" s="268" t="b">
        <f>NOT(ISERROR(SEARCH(FILLING!$D$11,tblData[[#This Row],[ФО]])))</f>
        <v>0</v>
      </c>
      <c r="C227" s="268" t="str">
        <f>IF(tblData[[#This Row],[Статус]],COUNTIF($B$2:tblData[[#This Row],[Статус]],TRUE),"")</f>
        <v/>
      </c>
      <c r="D227" s="269" t="str">
        <f>IFERROR(INDEX(tblData[ФО],MATCH(ROWS($C$2:tblData[[#This Row],[Индекс]]),tblData[Индекс],0)),"")</f>
        <v/>
      </c>
      <c r="E227" t="b">
        <f>NOT(ISERROR(SEARCH(FILLING!$D$15,tblData[[#This Row],[ФО]])))</f>
        <v>0</v>
      </c>
      <c r="F227" s="267" t="str">
        <f>IF(tblData[[#This Row],[Статус2]],COUNTIF($E$2:tblData[[#This Row],[Статус2]],TRUE),"")</f>
        <v/>
      </c>
      <c r="G227" t="str">
        <f>IFERROR(INDEX(tblData[ФО],MATCH(ROWS($F$2:tblData[[#This Row],[Индекс2]]),tblData[Индекс2],0)),"")</f>
        <v/>
      </c>
    </row>
    <row r="228" spans="2:7" x14ac:dyDescent="0.35">
      <c r="B228" s="268" t="b">
        <f>NOT(ISERROR(SEARCH(FILLING!$D$11,tblData[[#This Row],[ФО]])))</f>
        <v>0</v>
      </c>
      <c r="C228" s="268" t="str">
        <f>IF(tblData[[#This Row],[Статус]],COUNTIF($B$2:tblData[[#This Row],[Статус]],TRUE),"")</f>
        <v/>
      </c>
      <c r="D228" s="269" t="str">
        <f>IFERROR(INDEX(tblData[ФО],MATCH(ROWS($C$2:tblData[[#This Row],[Индекс]]),tblData[Индекс],0)),"")</f>
        <v/>
      </c>
      <c r="E228" t="b">
        <f>NOT(ISERROR(SEARCH(FILLING!$D$15,tblData[[#This Row],[ФО]])))</f>
        <v>0</v>
      </c>
      <c r="F228" s="267" t="str">
        <f>IF(tblData[[#This Row],[Статус2]],COUNTIF($E$2:tblData[[#This Row],[Статус2]],TRUE),"")</f>
        <v/>
      </c>
      <c r="G228" t="str">
        <f>IFERROR(INDEX(tblData[ФО],MATCH(ROWS($F$2:tblData[[#This Row],[Индекс2]]),tblData[Индекс2],0)),"")</f>
        <v/>
      </c>
    </row>
    <row r="229" spans="2:7" x14ac:dyDescent="0.35">
      <c r="B229" s="268" t="b">
        <f>NOT(ISERROR(SEARCH(FILLING!$D$11,tblData[[#This Row],[ФО]])))</f>
        <v>0</v>
      </c>
      <c r="C229" s="268" t="str">
        <f>IF(tblData[[#This Row],[Статус]],COUNTIF($B$2:tblData[[#This Row],[Статус]],TRUE),"")</f>
        <v/>
      </c>
      <c r="D229" s="269" t="str">
        <f>IFERROR(INDEX(tblData[ФО],MATCH(ROWS($C$2:tblData[[#This Row],[Индекс]]),tblData[Индекс],0)),"")</f>
        <v/>
      </c>
      <c r="E229" t="b">
        <f>NOT(ISERROR(SEARCH(FILLING!$D$15,tblData[[#This Row],[ФО]])))</f>
        <v>0</v>
      </c>
      <c r="F229" s="267" t="str">
        <f>IF(tblData[[#This Row],[Статус2]],COUNTIF($E$2:tblData[[#This Row],[Статус2]],TRUE),"")</f>
        <v/>
      </c>
      <c r="G229" t="str">
        <f>IFERROR(INDEX(tblData[ФО],MATCH(ROWS($F$2:tblData[[#This Row],[Индекс2]]),tblData[Индекс2],0)),"")</f>
        <v/>
      </c>
    </row>
    <row r="230" spans="2:7" x14ac:dyDescent="0.35">
      <c r="B230" s="268" t="b">
        <f>NOT(ISERROR(SEARCH(FILLING!$D$11,tblData[[#This Row],[ФО]])))</f>
        <v>0</v>
      </c>
      <c r="C230" s="268" t="str">
        <f>IF(tblData[[#This Row],[Статус]],COUNTIF($B$2:tblData[[#This Row],[Статус]],TRUE),"")</f>
        <v/>
      </c>
      <c r="D230" s="269" t="str">
        <f>IFERROR(INDEX(tblData[ФО],MATCH(ROWS($C$2:tblData[[#This Row],[Индекс]]),tblData[Индекс],0)),"")</f>
        <v/>
      </c>
      <c r="E230" t="b">
        <f>NOT(ISERROR(SEARCH(FILLING!$D$15,tblData[[#This Row],[ФО]])))</f>
        <v>0</v>
      </c>
      <c r="F230" s="267" t="str">
        <f>IF(tblData[[#This Row],[Статус2]],COUNTIF($E$2:tblData[[#This Row],[Статус2]],TRUE),"")</f>
        <v/>
      </c>
      <c r="G230" t="str">
        <f>IFERROR(INDEX(tblData[ФО],MATCH(ROWS($F$2:tblData[[#This Row],[Индекс2]]),tblData[Индекс2],0)),"")</f>
        <v/>
      </c>
    </row>
    <row r="231" spans="2:7" x14ac:dyDescent="0.35">
      <c r="B231" s="268" t="b">
        <f>NOT(ISERROR(SEARCH(FILLING!$D$11,tblData[[#This Row],[ФО]])))</f>
        <v>0</v>
      </c>
      <c r="C231" s="268" t="str">
        <f>IF(tblData[[#This Row],[Статус]],COUNTIF($B$2:tblData[[#This Row],[Статус]],TRUE),"")</f>
        <v/>
      </c>
      <c r="D231" s="269" t="str">
        <f>IFERROR(INDEX(tblData[ФО],MATCH(ROWS($C$2:tblData[[#This Row],[Индекс]]),tblData[Индекс],0)),"")</f>
        <v/>
      </c>
      <c r="E231" t="b">
        <f>NOT(ISERROR(SEARCH(FILLING!$D$15,tblData[[#This Row],[ФО]])))</f>
        <v>0</v>
      </c>
      <c r="F231" s="267" t="str">
        <f>IF(tblData[[#This Row],[Статус2]],COUNTIF($E$2:tblData[[#This Row],[Статус2]],TRUE),"")</f>
        <v/>
      </c>
      <c r="G231" t="str">
        <f>IFERROR(INDEX(tblData[ФО],MATCH(ROWS($F$2:tblData[[#This Row],[Индекс2]]),tblData[Индекс2],0)),"")</f>
        <v/>
      </c>
    </row>
    <row r="232" spans="2:7" x14ac:dyDescent="0.35">
      <c r="B232" s="268" t="b">
        <f>NOT(ISERROR(SEARCH(FILLING!$D$11,tblData[[#This Row],[ФО]])))</f>
        <v>0</v>
      </c>
      <c r="C232" s="268" t="str">
        <f>IF(tblData[[#This Row],[Статус]],COUNTIF($B$2:tblData[[#This Row],[Статус]],TRUE),"")</f>
        <v/>
      </c>
      <c r="D232" s="269" t="str">
        <f>IFERROR(INDEX(tblData[ФО],MATCH(ROWS($C$2:tblData[[#This Row],[Индекс]]),tblData[Индекс],0)),"")</f>
        <v/>
      </c>
      <c r="E232" t="b">
        <f>NOT(ISERROR(SEARCH(FILLING!$D$15,tblData[[#This Row],[ФО]])))</f>
        <v>0</v>
      </c>
      <c r="F232" s="267" t="str">
        <f>IF(tblData[[#This Row],[Статус2]],COUNTIF($E$2:tblData[[#This Row],[Статус2]],TRUE),"")</f>
        <v/>
      </c>
      <c r="G232" t="str">
        <f>IFERROR(INDEX(tblData[ФО],MATCH(ROWS($F$2:tblData[[#This Row],[Индекс2]]),tblData[Индекс2],0)),"")</f>
        <v/>
      </c>
    </row>
    <row r="233" spans="2:7" x14ac:dyDescent="0.35">
      <c r="B233" s="268" t="b">
        <f>NOT(ISERROR(SEARCH(FILLING!$D$11,tblData[[#This Row],[ФО]])))</f>
        <v>0</v>
      </c>
      <c r="C233" s="268" t="str">
        <f>IF(tblData[[#This Row],[Статус]],COUNTIF($B$2:tblData[[#This Row],[Статус]],TRUE),"")</f>
        <v/>
      </c>
      <c r="D233" s="269" t="str">
        <f>IFERROR(INDEX(tblData[ФО],MATCH(ROWS($C$2:tblData[[#This Row],[Индекс]]),tblData[Индекс],0)),"")</f>
        <v/>
      </c>
      <c r="E233" t="b">
        <f>NOT(ISERROR(SEARCH(FILLING!$D$15,tblData[[#This Row],[ФО]])))</f>
        <v>0</v>
      </c>
      <c r="F233" s="267" t="str">
        <f>IF(tblData[[#This Row],[Статус2]],COUNTIF($E$2:tblData[[#This Row],[Статус2]],TRUE),"")</f>
        <v/>
      </c>
      <c r="G233" t="str">
        <f>IFERROR(INDEX(tblData[ФО],MATCH(ROWS($F$2:tblData[[#This Row],[Индекс2]]),tblData[Индекс2],0)),"")</f>
        <v/>
      </c>
    </row>
    <row r="234" spans="2:7" x14ac:dyDescent="0.35">
      <c r="B234" s="268" t="b">
        <f>NOT(ISERROR(SEARCH(FILLING!$D$11,tblData[[#This Row],[ФО]])))</f>
        <v>0</v>
      </c>
      <c r="C234" s="268" t="str">
        <f>IF(tblData[[#This Row],[Статус]],COUNTIF($B$2:tblData[[#This Row],[Статус]],TRUE),"")</f>
        <v/>
      </c>
      <c r="D234" s="269" t="str">
        <f>IFERROR(INDEX(tblData[ФО],MATCH(ROWS($C$2:tblData[[#This Row],[Индекс]]),tblData[Индекс],0)),"")</f>
        <v/>
      </c>
      <c r="E234" t="b">
        <f>NOT(ISERROR(SEARCH(FILLING!$D$15,tblData[[#This Row],[ФО]])))</f>
        <v>0</v>
      </c>
      <c r="F234" s="267" t="str">
        <f>IF(tblData[[#This Row],[Статус2]],COUNTIF($E$2:tblData[[#This Row],[Статус2]],TRUE),"")</f>
        <v/>
      </c>
      <c r="G234" t="str">
        <f>IFERROR(INDEX(tblData[ФО],MATCH(ROWS($F$2:tblData[[#This Row],[Индекс2]]),tblData[Индекс2],0)),"")</f>
        <v/>
      </c>
    </row>
    <row r="235" spans="2:7" x14ac:dyDescent="0.35">
      <c r="B235" s="268" t="b">
        <f>NOT(ISERROR(SEARCH(FILLING!$D$11,tblData[[#This Row],[ФО]])))</f>
        <v>0</v>
      </c>
      <c r="C235" s="268" t="str">
        <f>IF(tblData[[#This Row],[Статус]],COUNTIF($B$2:tblData[[#This Row],[Статус]],TRUE),"")</f>
        <v/>
      </c>
      <c r="D235" s="269" t="str">
        <f>IFERROR(INDEX(tblData[ФО],MATCH(ROWS($C$2:tblData[[#This Row],[Индекс]]),tblData[Индекс],0)),"")</f>
        <v/>
      </c>
      <c r="E235" t="b">
        <f>NOT(ISERROR(SEARCH(FILLING!$D$15,tblData[[#This Row],[ФО]])))</f>
        <v>0</v>
      </c>
      <c r="F235" s="267" t="str">
        <f>IF(tblData[[#This Row],[Статус2]],COUNTIF($E$2:tblData[[#This Row],[Статус2]],TRUE),"")</f>
        <v/>
      </c>
      <c r="G235" t="str">
        <f>IFERROR(INDEX(tblData[ФО],MATCH(ROWS($F$2:tblData[[#This Row],[Индекс2]]),tblData[Индекс2],0)),"")</f>
        <v/>
      </c>
    </row>
    <row r="236" spans="2:7" x14ac:dyDescent="0.35">
      <c r="B236" s="268" t="b">
        <f>NOT(ISERROR(SEARCH(FILLING!$D$11,tblData[[#This Row],[ФО]])))</f>
        <v>0</v>
      </c>
      <c r="C236" s="268" t="str">
        <f>IF(tblData[[#This Row],[Статус]],COUNTIF($B$2:tblData[[#This Row],[Статус]],TRUE),"")</f>
        <v/>
      </c>
      <c r="D236" s="269" t="str">
        <f>IFERROR(INDEX(tblData[ФО],MATCH(ROWS($C$2:tblData[[#This Row],[Индекс]]),tblData[Индекс],0)),"")</f>
        <v/>
      </c>
      <c r="E236" t="b">
        <f>NOT(ISERROR(SEARCH(FILLING!$D$15,tblData[[#This Row],[ФО]])))</f>
        <v>0</v>
      </c>
      <c r="F236" s="267" t="str">
        <f>IF(tblData[[#This Row],[Статус2]],COUNTIF($E$2:tblData[[#This Row],[Статус2]],TRUE),"")</f>
        <v/>
      </c>
      <c r="G236" t="str">
        <f>IFERROR(INDEX(tblData[ФО],MATCH(ROWS($F$2:tblData[[#This Row],[Индекс2]]),tblData[Индекс2],0)),"")</f>
        <v/>
      </c>
    </row>
    <row r="237" spans="2:7" x14ac:dyDescent="0.35">
      <c r="B237" s="268" t="b">
        <f>NOT(ISERROR(SEARCH(FILLING!$D$11,tblData[[#This Row],[ФО]])))</f>
        <v>0</v>
      </c>
      <c r="C237" s="268" t="str">
        <f>IF(tblData[[#This Row],[Статус]],COUNTIF($B$2:tblData[[#This Row],[Статус]],TRUE),"")</f>
        <v/>
      </c>
      <c r="D237" s="269" t="str">
        <f>IFERROR(INDEX(tblData[ФО],MATCH(ROWS($C$2:tblData[[#This Row],[Индекс]]),tblData[Индекс],0)),"")</f>
        <v/>
      </c>
      <c r="E237" t="b">
        <f>NOT(ISERROR(SEARCH(FILLING!$D$15,tblData[[#This Row],[ФО]])))</f>
        <v>0</v>
      </c>
      <c r="F237" s="267" t="str">
        <f>IF(tblData[[#This Row],[Статус2]],COUNTIF($E$2:tblData[[#This Row],[Статус2]],TRUE),"")</f>
        <v/>
      </c>
      <c r="G237" t="str">
        <f>IFERROR(INDEX(tblData[ФО],MATCH(ROWS($F$2:tblData[[#This Row],[Индекс2]]),tblData[Индекс2],0)),"")</f>
        <v/>
      </c>
    </row>
    <row r="238" spans="2:7" x14ac:dyDescent="0.35">
      <c r="B238" s="268" t="b">
        <f>NOT(ISERROR(SEARCH(FILLING!$D$11,tblData[[#This Row],[ФО]])))</f>
        <v>0</v>
      </c>
      <c r="C238" s="268" t="str">
        <f>IF(tblData[[#This Row],[Статус]],COUNTIF($B$2:tblData[[#This Row],[Статус]],TRUE),"")</f>
        <v/>
      </c>
      <c r="D238" s="269" t="str">
        <f>IFERROR(INDEX(tblData[ФО],MATCH(ROWS($C$2:tblData[[#This Row],[Индекс]]),tblData[Индекс],0)),"")</f>
        <v/>
      </c>
      <c r="E238" t="b">
        <f>NOT(ISERROR(SEARCH(FILLING!$D$15,tblData[[#This Row],[ФО]])))</f>
        <v>0</v>
      </c>
      <c r="F238" s="267" t="str">
        <f>IF(tblData[[#This Row],[Статус2]],COUNTIF($E$2:tblData[[#This Row],[Статус2]],TRUE),"")</f>
        <v/>
      </c>
      <c r="G238" t="str">
        <f>IFERROR(INDEX(tblData[ФО],MATCH(ROWS($F$2:tblData[[#This Row],[Индекс2]]),tblData[Индекс2],0)),"")</f>
        <v/>
      </c>
    </row>
    <row r="239" spans="2:7" x14ac:dyDescent="0.35">
      <c r="B239" s="268" t="b">
        <f>NOT(ISERROR(SEARCH(FILLING!$D$11,tblData[[#This Row],[ФО]])))</f>
        <v>0</v>
      </c>
      <c r="C239" s="268" t="str">
        <f>IF(tblData[[#This Row],[Статус]],COUNTIF($B$2:tblData[[#This Row],[Статус]],TRUE),"")</f>
        <v/>
      </c>
      <c r="D239" s="269" t="str">
        <f>IFERROR(INDEX(tblData[ФО],MATCH(ROWS($C$2:tblData[[#This Row],[Индекс]]),tblData[Индекс],0)),"")</f>
        <v/>
      </c>
      <c r="E239" t="b">
        <f>NOT(ISERROR(SEARCH(FILLING!$D$15,tblData[[#This Row],[ФО]])))</f>
        <v>0</v>
      </c>
      <c r="F239" s="267" t="str">
        <f>IF(tblData[[#This Row],[Статус2]],COUNTIF($E$2:tblData[[#This Row],[Статус2]],TRUE),"")</f>
        <v/>
      </c>
      <c r="G239" t="str">
        <f>IFERROR(INDEX(tblData[ФО],MATCH(ROWS($F$2:tblData[[#This Row],[Индекс2]]),tblData[Индекс2],0)),"")</f>
        <v/>
      </c>
    </row>
    <row r="240" spans="2:7" x14ac:dyDescent="0.35">
      <c r="B240" s="268" t="b">
        <f>NOT(ISERROR(SEARCH(FILLING!$D$11,tblData[[#This Row],[ФО]])))</f>
        <v>0</v>
      </c>
      <c r="C240" s="268" t="str">
        <f>IF(tblData[[#This Row],[Статус]],COUNTIF($B$2:tblData[[#This Row],[Статус]],TRUE),"")</f>
        <v/>
      </c>
      <c r="D240" s="269" t="str">
        <f>IFERROR(INDEX(tblData[ФО],MATCH(ROWS($C$2:tblData[[#This Row],[Индекс]]),tblData[Индекс],0)),"")</f>
        <v/>
      </c>
      <c r="E240" t="b">
        <f>NOT(ISERROR(SEARCH(FILLING!$D$15,tblData[[#This Row],[ФО]])))</f>
        <v>0</v>
      </c>
      <c r="F240" s="267" t="str">
        <f>IF(tblData[[#This Row],[Статус2]],COUNTIF($E$2:tblData[[#This Row],[Статус2]],TRUE),"")</f>
        <v/>
      </c>
      <c r="G240" t="str">
        <f>IFERROR(INDEX(tblData[ФО],MATCH(ROWS($F$2:tblData[[#This Row],[Индекс2]]),tblData[Индекс2],0)),"")</f>
        <v/>
      </c>
    </row>
    <row r="241" spans="2:7" x14ac:dyDescent="0.35">
      <c r="B241" s="268" t="b">
        <f>NOT(ISERROR(SEARCH(FILLING!$D$11,tblData[[#This Row],[ФО]])))</f>
        <v>0</v>
      </c>
      <c r="C241" s="268" t="str">
        <f>IF(tblData[[#This Row],[Статус]],COUNTIF($B$2:tblData[[#This Row],[Статус]],TRUE),"")</f>
        <v/>
      </c>
      <c r="D241" s="269" t="str">
        <f>IFERROR(INDEX(tblData[ФО],MATCH(ROWS($C$2:tblData[[#This Row],[Индекс]]),tblData[Индекс],0)),"")</f>
        <v/>
      </c>
      <c r="E241" t="b">
        <f>NOT(ISERROR(SEARCH(FILLING!$D$15,tblData[[#This Row],[ФО]])))</f>
        <v>0</v>
      </c>
      <c r="F241" s="267" t="str">
        <f>IF(tblData[[#This Row],[Статус2]],COUNTIF($E$2:tblData[[#This Row],[Статус2]],TRUE),"")</f>
        <v/>
      </c>
      <c r="G241" t="str">
        <f>IFERROR(INDEX(tblData[ФО],MATCH(ROWS($F$2:tblData[[#This Row],[Индекс2]]),tblData[Индекс2],0)),"")</f>
        <v/>
      </c>
    </row>
    <row r="242" spans="2:7" x14ac:dyDescent="0.35">
      <c r="B242" s="268" t="b">
        <f>NOT(ISERROR(SEARCH(FILLING!$D$11,tblData[[#This Row],[ФО]])))</f>
        <v>0</v>
      </c>
      <c r="C242" s="268" t="str">
        <f>IF(tblData[[#This Row],[Статус]],COUNTIF($B$2:tblData[[#This Row],[Статус]],TRUE),"")</f>
        <v/>
      </c>
      <c r="D242" s="269" t="str">
        <f>IFERROR(INDEX(tblData[ФО],MATCH(ROWS($C$2:tblData[[#This Row],[Индекс]]),tblData[Индекс],0)),"")</f>
        <v/>
      </c>
      <c r="E242" t="b">
        <f>NOT(ISERROR(SEARCH(FILLING!$D$15,tblData[[#This Row],[ФО]])))</f>
        <v>0</v>
      </c>
      <c r="F242" s="267" t="str">
        <f>IF(tblData[[#This Row],[Статус2]],COUNTIF($E$2:tblData[[#This Row],[Статус2]],TRUE),"")</f>
        <v/>
      </c>
      <c r="G242" t="str">
        <f>IFERROR(INDEX(tblData[ФО],MATCH(ROWS($F$2:tblData[[#This Row],[Индекс2]]),tblData[Индекс2],0)),"")</f>
        <v/>
      </c>
    </row>
    <row r="243" spans="2:7" x14ac:dyDescent="0.35">
      <c r="B243" s="268" t="b">
        <f>NOT(ISERROR(SEARCH(FILLING!$D$11,tblData[[#This Row],[ФО]])))</f>
        <v>0</v>
      </c>
      <c r="C243" s="268" t="str">
        <f>IF(tblData[[#This Row],[Статус]],COUNTIF($B$2:tblData[[#This Row],[Статус]],TRUE),"")</f>
        <v/>
      </c>
      <c r="D243" s="269" t="str">
        <f>IFERROR(INDEX(tblData[ФО],MATCH(ROWS($C$2:tblData[[#This Row],[Индекс]]),tblData[Индекс],0)),"")</f>
        <v/>
      </c>
      <c r="E243" t="b">
        <f>NOT(ISERROR(SEARCH(FILLING!$D$15,tblData[[#This Row],[ФО]])))</f>
        <v>0</v>
      </c>
      <c r="F243" s="267" t="str">
        <f>IF(tblData[[#This Row],[Статус2]],COUNTIF($E$2:tblData[[#This Row],[Статус2]],TRUE),"")</f>
        <v/>
      </c>
      <c r="G243" t="str">
        <f>IFERROR(INDEX(tblData[ФО],MATCH(ROWS($F$2:tblData[[#This Row],[Индекс2]]),tblData[Индекс2],0)),"")</f>
        <v/>
      </c>
    </row>
    <row r="244" spans="2:7" x14ac:dyDescent="0.35">
      <c r="B244" s="268" t="b">
        <f>NOT(ISERROR(SEARCH(FILLING!$D$11,tblData[[#This Row],[ФО]])))</f>
        <v>0</v>
      </c>
      <c r="C244" s="268" t="str">
        <f>IF(tblData[[#This Row],[Статус]],COUNTIF($B$2:tblData[[#This Row],[Статус]],TRUE),"")</f>
        <v/>
      </c>
      <c r="D244" s="269" t="str">
        <f>IFERROR(INDEX(tblData[ФО],MATCH(ROWS($C$2:tblData[[#This Row],[Индекс]]),tblData[Индекс],0)),"")</f>
        <v/>
      </c>
      <c r="E244" t="b">
        <f>NOT(ISERROR(SEARCH(FILLING!$D$15,tblData[[#This Row],[ФО]])))</f>
        <v>0</v>
      </c>
      <c r="F244" s="267" t="str">
        <f>IF(tblData[[#This Row],[Статус2]],COUNTIF($E$2:tblData[[#This Row],[Статус2]],TRUE),"")</f>
        <v/>
      </c>
      <c r="G244" t="str">
        <f>IFERROR(INDEX(tblData[ФО],MATCH(ROWS($F$2:tblData[[#This Row],[Индекс2]]),tblData[Индекс2],0)),"")</f>
        <v/>
      </c>
    </row>
    <row r="245" spans="2:7" x14ac:dyDescent="0.35">
      <c r="B245" s="268" t="b">
        <f>NOT(ISERROR(SEARCH(FILLING!$D$11,tblData[[#This Row],[ФО]])))</f>
        <v>0</v>
      </c>
      <c r="C245" s="268" t="str">
        <f>IF(tblData[[#This Row],[Статус]],COUNTIF($B$2:tblData[[#This Row],[Статус]],TRUE),"")</f>
        <v/>
      </c>
      <c r="D245" s="269" t="str">
        <f>IFERROR(INDEX(tblData[ФО],MATCH(ROWS($C$2:tblData[[#This Row],[Индекс]]),tblData[Индекс],0)),"")</f>
        <v/>
      </c>
      <c r="E245" t="b">
        <f>NOT(ISERROR(SEARCH(FILLING!$D$15,tblData[[#This Row],[ФО]])))</f>
        <v>0</v>
      </c>
      <c r="F245" s="267" t="str">
        <f>IF(tblData[[#This Row],[Статус2]],COUNTIF($E$2:tblData[[#This Row],[Статус2]],TRUE),"")</f>
        <v/>
      </c>
      <c r="G245" t="str">
        <f>IFERROR(INDEX(tblData[ФО],MATCH(ROWS($F$2:tblData[[#This Row],[Индекс2]]),tblData[Индекс2],0)),"")</f>
        <v/>
      </c>
    </row>
    <row r="246" spans="2:7" x14ac:dyDescent="0.35">
      <c r="B246" s="268" t="b">
        <f>NOT(ISERROR(SEARCH(FILLING!$D$11,tblData[[#This Row],[ФО]])))</f>
        <v>0</v>
      </c>
      <c r="C246" s="268" t="str">
        <f>IF(tblData[[#This Row],[Статус]],COUNTIF($B$2:tblData[[#This Row],[Статус]],TRUE),"")</f>
        <v/>
      </c>
      <c r="D246" s="269" t="str">
        <f>IFERROR(INDEX(tblData[ФО],MATCH(ROWS($C$2:tblData[[#This Row],[Индекс]]),tblData[Индекс],0)),"")</f>
        <v/>
      </c>
      <c r="E246" t="b">
        <f>NOT(ISERROR(SEARCH(FILLING!$D$15,tblData[[#This Row],[ФО]])))</f>
        <v>0</v>
      </c>
      <c r="F246" s="267" t="str">
        <f>IF(tblData[[#This Row],[Статус2]],COUNTIF($E$2:tblData[[#This Row],[Статус2]],TRUE),"")</f>
        <v/>
      </c>
      <c r="G246" t="str">
        <f>IFERROR(INDEX(tblData[ФО],MATCH(ROWS($F$2:tblData[[#This Row],[Индекс2]]),tblData[Индекс2],0)),"")</f>
        <v/>
      </c>
    </row>
    <row r="247" spans="2:7" x14ac:dyDescent="0.35">
      <c r="B247" s="268" t="b">
        <f>NOT(ISERROR(SEARCH(FILLING!$D$11,tblData[[#This Row],[ФО]])))</f>
        <v>0</v>
      </c>
      <c r="C247" s="268" t="str">
        <f>IF(tblData[[#This Row],[Статус]],COUNTIF($B$2:tblData[[#This Row],[Статус]],TRUE),"")</f>
        <v/>
      </c>
      <c r="D247" s="269" t="str">
        <f>IFERROR(INDEX(tblData[ФО],MATCH(ROWS($C$2:tblData[[#This Row],[Индекс]]),tblData[Индекс],0)),"")</f>
        <v/>
      </c>
      <c r="E247" t="b">
        <f>NOT(ISERROR(SEARCH(FILLING!$D$15,tblData[[#This Row],[ФО]])))</f>
        <v>0</v>
      </c>
      <c r="F247" s="267" t="str">
        <f>IF(tblData[[#This Row],[Статус2]],COUNTIF($E$2:tblData[[#This Row],[Статус2]],TRUE),"")</f>
        <v/>
      </c>
      <c r="G247" t="str">
        <f>IFERROR(INDEX(tblData[ФО],MATCH(ROWS($F$2:tblData[[#This Row],[Индекс2]]),tblData[Индекс2],0)),"")</f>
        <v/>
      </c>
    </row>
    <row r="248" spans="2:7" x14ac:dyDescent="0.35">
      <c r="B248" s="268" t="b">
        <f>NOT(ISERROR(SEARCH(FILLING!$D$11,tblData[[#This Row],[ФО]])))</f>
        <v>0</v>
      </c>
      <c r="C248" s="268" t="str">
        <f>IF(tblData[[#This Row],[Статус]],COUNTIF($B$2:tblData[[#This Row],[Статус]],TRUE),"")</f>
        <v/>
      </c>
      <c r="D248" s="269" t="str">
        <f>IFERROR(INDEX(tblData[ФО],MATCH(ROWS($C$2:tblData[[#This Row],[Индекс]]),tblData[Индекс],0)),"")</f>
        <v/>
      </c>
      <c r="E248" t="b">
        <f>NOT(ISERROR(SEARCH(FILLING!$D$15,tblData[[#This Row],[ФО]])))</f>
        <v>0</v>
      </c>
      <c r="F248" s="267" t="str">
        <f>IF(tblData[[#This Row],[Статус2]],COUNTIF($E$2:tblData[[#This Row],[Статус2]],TRUE),"")</f>
        <v/>
      </c>
      <c r="G248" t="str">
        <f>IFERROR(INDEX(tblData[ФО],MATCH(ROWS($F$2:tblData[[#This Row],[Индекс2]]),tblData[Индекс2],0)),"")</f>
        <v/>
      </c>
    </row>
    <row r="249" spans="2:7" x14ac:dyDescent="0.35">
      <c r="B249" s="268" t="b">
        <f>NOT(ISERROR(SEARCH(FILLING!$D$11,tblData[[#This Row],[ФО]])))</f>
        <v>0</v>
      </c>
      <c r="C249" s="268" t="str">
        <f>IF(tblData[[#This Row],[Статус]],COUNTIF($B$2:tblData[[#This Row],[Статус]],TRUE),"")</f>
        <v/>
      </c>
      <c r="D249" s="269" t="str">
        <f>IFERROR(INDEX(tblData[ФО],MATCH(ROWS($C$2:tblData[[#This Row],[Индекс]]),tblData[Индекс],0)),"")</f>
        <v/>
      </c>
      <c r="E249" t="b">
        <f>NOT(ISERROR(SEARCH(FILLING!$D$15,tblData[[#This Row],[ФО]])))</f>
        <v>0</v>
      </c>
      <c r="F249" s="267" t="str">
        <f>IF(tblData[[#This Row],[Статус2]],COUNTIF($E$2:tblData[[#This Row],[Статус2]],TRUE),"")</f>
        <v/>
      </c>
      <c r="G249" t="str">
        <f>IFERROR(INDEX(tblData[ФО],MATCH(ROWS($F$2:tblData[[#This Row],[Индекс2]]),tblData[Индекс2],0)),"")</f>
        <v/>
      </c>
    </row>
    <row r="250" spans="2:7" x14ac:dyDescent="0.35">
      <c r="B250" s="268" t="b">
        <f>NOT(ISERROR(SEARCH(FILLING!$D$11,tblData[[#This Row],[ФО]])))</f>
        <v>0</v>
      </c>
      <c r="C250" s="268" t="str">
        <f>IF(tblData[[#This Row],[Статус]],COUNTIF($B$2:tblData[[#This Row],[Статус]],TRUE),"")</f>
        <v/>
      </c>
      <c r="D250" s="269" t="str">
        <f>IFERROR(INDEX(tblData[ФО],MATCH(ROWS($C$2:tblData[[#This Row],[Индекс]]),tblData[Индекс],0)),"")</f>
        <v/>
      </c>
      <c r="E250" t="b">
        <f>NOT(ISERROR(SEARCH(FILLING!$D$15,tblData[[#This Row],[ФО]])))</f>
        <v>0</v>
      </c>
      <c r="F250" s="267" t="str">
        <f>IF(tblData[[#This Row],[Статус2]],COUNTIF($E$2:tblData[[#This Row],[Статус2]],TRUE),"")</f>
        <v/>
      </c>
      <c r="G250" t="str">
        <f>IFERROR(INDEX(tblData[ФО],MATCH(ROWS($F$2:tblData[[#This Row],[Индекс2]]),tblData[Индекс2],0)),"")</f>
        <v/>
      </c>
    </row>
    <row r="251" spans="2:7" x14ac:dyDescent="0.35">
      <c r="B251" s="268" t="b">
        <f>NOT(ISERROR(SEARCH(FILLING!$D$11,tblData[[#This Row],[ФО]])))</f>
        <v>0</v>
      </c>
      <c r="C251" s="268" t="str">
        <f>IF(tblData[[#This Row],[Статус]],COUNTIF($B$2:tblData[[#This Row],[Статус]],TRUE),"")</f>
        <v/>
      </c>
      <c r="D251" s="269" t="str">
        <f>IFERROR(INDEX(tblData[ФО],MATCH(ROWS($C$2:tblData[[#This Row],[Индекс]]),tblData[Индекс],0)),"")</f>
        <v/>
      </c>
      <c r="E251" t="b">
        <f>NOT(ISERROR(SEARCH(FILLING!$D$15,tblData[[#This Row],[ФО]])))</f>
        <v>0</v>
      </c>
      <c r="F251" s="267" t="str">
        <f>IF(tblData[[#This Row],[Статус2]],COUNTIF($E$2:tblData[[#This Row],[Статус2]],TRUE),"")</f>
        <v/>
      </c>
      <c r="G251" t="str">
        <f>IFERROR(INDEX(tblData[ФО],MATCH(ROWS($F$2:tblData[[#This Row],[Индекс2]]),tblData[Индекс2],0)),"")</f>
        <v/>
      </c>
    </row>
    <row r="252" spans="2:7" x14ac:dyDescent="0.35">
      <c r="B252" s="268" t="b">
        <f>NOT(ISERROR(SEARCH(FILLING!$D$11,tblData[[#This Row],[ФО]])))</f>
        <v>0</v>
      </c>
      <c r="C252" s="268" t="str">
        <f>IF(tblData[[#This Row],[Статус]],COUNTIF($B$2:tblData[[#This Row],[Статус]],TRUE),"")</f>
        <v/>
      </c>
      <c r="D252" s="269" t="str">
        <f>IFERROR(INDEX(tblData[ФО],MATCH(ROWS($C$2:tblData[[#This Row],[Индекс]]),tblData[Индекс],0)),"")</f>
        <v/>
      </c>
      <c r="E252" t="b">
        <f>NOT(ISERROR(SEARCH(FILLING!$D$15,tblData[[#This Row],[ФО]])))</f>
        <v>0</v>
      </c>
      <c r="F252" s="267" t="str">
        <f>IF(tblData[[#This Row],[Статус2]],COUNTIF($E$2:tblData[[#This Row],[Статус2]],TRUE),"")</f>
        <v/>
      </c>
      <c r="G252" t="str">
        <f>IFERROR(INDEX(tblData[ФО],MATCH(ROWS($F$2:tblData[[#This Row],[Индекс2]]),tblData[Индекс2],0)),"")</f>
        <v/>
      </c>
    </row>
    <row r="253" spans="2:7" x14ac:dyDescent="0.35">
      <c r="B253" s="268" t="b">
        <f>NOT(ISERROR(SEARCH(FILLING!$D$11,tblData[[#This Row],[ФО]])))</f>
        <v>0</v>
      </c>
      <c r="C253" s="268" t="str">
        <f>IF(tblData[[#This Row],[Статус]],COUNTIF($B$2:tblData[[#This Row],[Статус]],TRUE),"")</f>
        <v/>
      </c>
      <c r="D253" s="269" t="str">
        <f>IFERROR(INDEX(tblData[ФО],MATCH(ROWS($C$2:tblData[[#This Row],[Индекс]]),tblData[Индекс],0)),"")</f>
        <v/>
      </c>
      <c r="E253" t="b">
        <f>NOT(ISERROR(SEARCH(FILLING!$D$15,tblData[[#This Row],[ФО]])))</f>
        <v>0</v>
      </c>
      <c r="F253" s="267" t="str">
        <f>IF(tblData[[#This Row],[Статус2]],COUNTIF($E$2:tblData[[#This Row],[Статус2]],TRUE),"")</f>
        <v/>
      </c>
      <c r="G253" t="str">
        <f>IFERROR(INDEX(tblData[ФО],MATCH(ROWS($F$2:tblData[[#This Row],[Индекс2]]),tblData[Индекс2],0)),"")</f>
        <v/>
      </c>
    </row>
    <row r="254" spans="2:7" x14ac:dyDescent="0.35">
      <c r="B254" s="268" t="b">
        <f>NOT(ISERROR(SEARCH(FILLING!$D$11,tblData[[#This Row],[ФО]])))</f>
        <v>0</v>
      </c>
      <c r="C254" s="268" t="str">
        <f>IF(tblData[[#This Row],[Статус]],COUNTIF($B$2:tblData[[#This Row],[Статус]],TRUE),"")</f>
        <v/>
      </c>
      <c r="D254" s="269" t="str">
        <f>IFERROR(INDEX(tblData[ФО],MATCH(ROWS($C$2:tblData[[#This Row],[Индекс]]),tblData[Индекс],0)),"")</f>
        <v/>
      </c>
      <c r="E254" t="b">
        <f>NOT(ISERROR(SEARCH(FILLING!$D$15,tblData[[#This Row],[ФО]])))</f>
        <v>0</v>
      </c>
      <c r="F254" s="267" t="str">
        <f>IF(tblData[[#This Row],[Статус2]],COUNTIF($E$2:tblData[[#This Row],[Статус2]],TRUE),"")</f>
        <v/>
      </c>
      <c r="G254" t="str">
        <f>IFERROR(INDEX(tblData[ФО],MATCH(ROWS($F$2:tblData[[#This Row],[Индекс2]]),tblData[Индекс2],0)),"")</f>
        <v/>
      </c>
    </row>
    <row r="255" spans="2:7" x14ac:dyDescent="0.35">
      <c r="B255" s="268" t="b">
        <f>NOT(ISERROR(SEARCH(FILLING!$D$11,tblData[[#This Row],[ФО]])))</f>
        <v>0</v>
      </c>
      <c r="C255" s="268" t="str">
        <f>IF(tblData[[#This Row],[Статус]],COUNTIF($B$2:tblData[[#This Row],[Статус]],TRUE),"")</f>
        <v/>
      </c>
      <c r="D255" s="269" t="str">
        <f>IFERROR(INDEX(tblData[ФО],MATCH(ROWS($C$2:tblData[[#This Row],[Индекс]]),tblData[Индекс],0)),"")</f>
        <v/>
      </c>
      <c r="E255" t="b">
        <f>NOT(ISERROR(SEARCH(FILLING!$D$15,tblData[[#This Row],[ФО]])))</f>
        <v>0</v>
      </c>
      <c r="F255" s="267" t="str">
        <f>IF(tblData[[#This Row],[Статус2]],COUNTIF($E$2:tblData[[#This Row],[Статус2]],TRUE),"")</f>
        <v/>
      </c>
      <c r="G255" t="str">
        <f>IFERROR(INDEX(tblData[ФО],MATCH(ROWS($F$2:tblData[[#This Row],[Индекс2]]),tblData[Индекс2],0)),"")</f>
        <v/>
      </c>
    </row>
    <row r="256" spans="2:7" x14ac:dyDescent="0.35">
      <c r="B256" s="268" t="b">
        <f>NOT(ISERROR(SEARCH(FILLING!$D$11,tblData[[#This Row],[ФО]])))</f>
        <v>0</v>
      </c>
      <c r="C256" s="268" t="str">
        <f>IF(tblData[[#This Row],[Статус]],COUNTIF($B$2:tblData[[#This Row],[Статус]],TRUE),"")</f>
        <v/>
      </c>
      <c r="D256" s="269" t="str">
        <f>IFERROR(INDEX(tblData[ФО],MATCH(ROWS($C$2:tblData[[#This Row],[Индекс]]),tblData[Индекс],0)),"")</f>
        <v/>
      </c>
      <c r="E256" t="b">
        <f>NOT(ISERROR(SEARCH(FILLING!$D$15,tblData[[#This Row],[ФО]])))</f>
        <v>0</v>
      </c>
      <c r="F256" s="267" t="str">
        <f>IF(tblData[[#This Row],[Статус2]],COUNTIF($E$2:tblData[[#This Row],[Статус2]],TRUE),"")</f>
        <v/>
      </c>
      <c r="G256" t="str">
        <f>IFERROR(INDEX(tblData[ФО],MATCH(ROWS($F$2:tblData[[#This Row],[Индекс2]]),tblData[Индекс2],0)),"")</f>
        <v/>
      </c>
    </row>
    <row r="257" spans="2:7" x14ac:dyDescent="0.35">
      <c r="B257" s="268" t="b">
        <f>NOT(ISERROR(SEARCH(FILLING!$D$11,tblData[[#This Row],[ФО]])))</f>
        <v>0</v>
      </c>
      <c r="C257" s="268" t="str">
        <f>IF(tblData[[#This Row],[Статус]],COUNTIF($B$2:tblData[[#This Row],[Статус]],TRUE),"")</f>
        <v/>
      </c>
      <c r="D257" s="269" t="str">
        <f>IFERROR(INDEX(tblData[ФО],MATCH(ROWS($C$2:tblData[[#This Row],[Индекс]]),tblData[Индекс],0)),"")</f>
        <v/>
      </c>
      <c r="E257" t="b">
        <f>NOT(ISERROR(SEARCH(FILLING!$D$15,tblData[[#This Row],[ФО]])))</f>
        <v>0</v>
      </c>
      <c r="F257" s="267" t="str">
        <f>IF(tblData[[#This Row],[Статус2]],COUNTIF($E$2:tblData[[#This Row],[Статус2]],TRUE),"")</f>
        <v/>
      </c>
      <c r="G257" t="str">
        <f>IFERROR(INDEX(tblData[ФО],MATCH(ROWS($F$2:tblData[[#This Row],[Индекс2]]),tblData[Индекс2],0)),"")</f>
        <v/>
      </c>
    </row>
    <row r="258" spans="2:7" x14ac:dyDescent="0.35">
      <c r="B258" s="268" t="b">
        <f>NOT(ISERROR(SEARCH(FILLING!$D$11,tblData[[#This Row],[ФО]])))</f>
        <v>0</v>
      </c>
      <c r="C258" s="268" t="str">
        <f>IF(tblData[[#This Row],[Статус]],COUNTIF($B$2:tblData[[#This Row],[Статус]],TRUE),"")</f>
        <v/>
      </c>
      <c r="D258" s="269" t="str">
        <f>IFERROR(INDEX(tblData[ФО],MATCH(ROWS($C$2:tblData[[#This Row],[Индекс]]),tblData[Индекс],0)),"")</f>
        <v/>
      </c>
      <c r="E258" t="b">
        <f>NOT(ISERROR(SEARCH(FILLING!$D$15,tblData[[#This Row],[ФО]])))</f>
        <v>0</v>
      </c>
      <c r="F258" s="267" t="str">
        <f>IF(tblData[[#This Row],[Статус2]],COUNTIF($E$2:tblData[[#This Row],[Статус2]],TRUE),"")</f>
        <v/>
      </c>
      <c r="G258" t="str">
        <f>IFERROR(INDEX(tblData[ФО],MATCH(ROWS($F$2:tblData[[#This Row],[Индекс2]]),tblData[Индекс2],0)),"")</f>
        <v/>
      </c>
    </row>
    <row r="259" spans="2:7" x14ac:dyDescent="0.35">
      <c r="B259" s="268" t="b">
        <f>NOT(ISERROR(SEARCH(FILLING!$D$11,tblData[[#This Row],[ФО]])))</f>
        <v>0</v>
      </c>
      <c r="C259" s="268" t="str">
        <f>IF(tblData[[#This Row],[Статус]],COUNTIF($B$2:tblData[[#This Row],[Статус]],TRUE),"")</f>
        <v/>
      </c>
      <c r="D259" s="269" t="str">
        <f>IFERROR(INDEX(tblData[ФО],MATCH(ROWS($C$2:tblData[[#This Row],[Индекс]]),tblData[Индекс],0)),"")</f>
        <v/>
      </c>
      <c r="E259" t="b">
        <f>NOT(ISERROR(SEARCH(FILLING!$D$15,tblData[[#This Row],[ФО]])))</f>
        <v>0</v>
      </c>
      <c r="F259" s="267" t="str">
        <f>IF(tblData[[#This Row],[Статус2]],COUNTIF($E$2:tblData[[#This Row],[Статус2]],TRUE),"")</f>
        <v/>
      </c>
      <c r="G259" t="str">
        <f>IFERROR(INDEX(tblData[ФО],MATCH(ROWS($F$2:tblData[[#This Row],[Индекс2]]),tblData[Индекс2],0)),"")</f>
        <v/>
      </c>
    </row>
    <row r="260" spans="2:7" x14ac:dyDescent="0.35">
      <c r="B260" s="268" t="b">
        <f>NOT(ISERROR(SEARCH(FILLING!$D$11,tblData[[#This Row],[ФО]])))</f>
        <v>0</v>
      </c>
      <c r="C260" s="268" t="str">
        <f>IF(tblData[[#This Row],[Статус]],COUNTIF($B$2:tblData[[#This Row],[Статус]],TRUE),"")</f>
        <v/>
      </c>
      <c r="D260" s="269" t="str">
        <f>IFERROR(INDEX(tblData[ФО],MATCH(ROWS($C$2:tblData[[#This Row],[Индекс]]),tblData[Индекс],0)),"")</f>
        <v/>
      </c>
      <c r="E260" t="b">
        <f>NOT(ISERROR(SEARCH(FILLING!$D$15,tblData[[#This Row],[ФО]])))</f>
        <v>0</v>
      </c>
      <c r="F260" s="267" t="str">
        <f>IF(tblData[[#This Row],[Статус2]],COUNTIF($E$2:tblData[[#This Row],[Статус2]],TRUE),"")</f>
        <v/>
      </c>
      <c r="G260" t="str">
        <f>IFERROR(INDEX(tblData[ФО],MATCH(ROWS($F$2:tblData[[#This Row],[Индекс2]]),tblData[Индекс2],0)),"")</f>
        <v/>
      </c>
    </row>
    <row r="261" spans="2:7" x14ac:dyDescent="0.35">
      <c r="B261" s="268" t="b">
        <f>NOT(ISERROR(SEARCH(FILLING!$D$11,tblData[[#This Row],[ФО]])))</f>
        <v>0</v>
      </c>
      <c r="C261" s="268" t="str">
        <f>IF(tblData[[#This Row],[Статус]],COUNTIF($B$2:tblData[[#This Row],[Статус]],TRUE),"")</f>
        <v/>
      </c>
      <c r="D261" s="269" t="str">
        <f>IFERROR(INDEX(tblData[ФО],MATCH(ROWS($C$2:tblData[[#This Row],[Индекс]]),tblData[Индекс],0)),"")</f>
        <v/>
      </c>
      <c r="E261" t="b">
        <f>NOT(ISERROR(SEARCH(FILLING!$D$15,tblData[[#This Row],[ФО]])))</f>
        <v>0</v>
      </c>
      <c r="F261" s="267" t="str">
        <f>IF(tblData[[#This Row],[Статус2]],COUNTIF($E$2:tblData[[#This Row],[Статус2]],TRUE),"")</f>
        <v/>
      </c>
      <c r="G261" t="str">
        <f>IFERROR(INDEX(tblData[ФО],MATCH(ROWS($F$2:tblData[[#This Row],[Индекс2]]),tblData[Индекс2],0)),"")</f>
        <v/>
      </c>
    </row>
    <row r="262" spans="2:7" x14ac:dyDescent="0.35">
      <c r="B262" s="268" t="b">
        <f>NOT(ISERROR(SEARCH(FILLING!$D$11,tblData[[#This Row],[ФО]])))</f>
        <v>0</v>
      </c>
      <c r="C262" s="268" t="str">
        <f>IF(tblData[[#This Row],[Статус]],COUNTIF($B$2:tblData[[#This Row],[Статус]],TRUE),"")</f>
        <v/>
      </c>
      <c r="D262" s="269" t="str">
        <f>IFERROR(INDEX(tblData[ФО],MATCH(ROWS($C$2:tblData[[#This Row],[Индекс]]),tblData[Индекс],0)),"")</f>
        <v/>
      </c>
      <c r="E262" t="b">
        <f>NOT(ISERROR(SEARCH(FILLING!$D$15,tblData[[#This Row],[ФО]])))</f>
        <v>0</v>
      </c>
      <c r="F262" s="267" t="str">
        <f>IF(tblData[[#This Row],[Статус2]],COUNTIF($E$2:tblData[[#This Row],[Статус2]],TRUE),"")</f>
        <v/>
      </c>
      <c r="G262" t="str">
        <f>IFERROR(INDEX(tblData[ФО],MATCH(ROWS($F$2:tblData[[#This Row],[Индекс2]]),tblData[Индекс2],0)),"")</f>
        <v/>
      </c>
    </row>
    <row r="263" spans="2:7" x14ac:dyDescent="0.35">
      <c r="B263" s="268" t="b">
        <f>NOT(ISERROR(SEARCH(FILLING!$D$11,tblData[[#This Row],[ФО]])))</f>
        <v>0</v>
      </c>
      <c r="C263" s="268" t="str">
        <f>IF(tblData[[#This Row],[Статус]],COUNTIF($B$2:tblData[[#This Row],[Статус]],TRUE),"")</f>
        <v/>
      </c>
      <c r="D263" s="269" t="str">
        <f>IFERROR(INDEX(tblData[ФО],MATCH(ROWS($C$2:tblData[[#This Row],[Индекс]]),tblData[Индекс],0)),"")</f>
        <v/>
      </c>
      <c r="E263" t="b">
        <f>NOT(ISERROR(SEARCH(FILLING!$D$15,tblData[[#This Row],[ФО]])))</f>
        <v>0</v>
      </c>
      <c r="F263" s="267" t="str">
        <f>IF(tblData[[#This Row],[Статус2]],COUNTIF($E$2:tblData[[#This Row],[Статус2]],TRUE),"")</f>
        <v/>
      </c>
      <c r="G263" t="str">
        <f>IFERROR(INDEX(tblData[ФО],MATCH(ROWS($F$2:tblData[[#This Row],[Индекс2]]),tblData[Индекс2],0)),"")</f>
        <v/>
      </c>
    </row>
    <row r="264" spans="2:7" x14ac:dyDescent="0.35">
      <c r="B264" s="268" t="b">
        <f>NOT(ISERROR(SEARCH(FILLING!$D$11,tblData[[#This Row],[ФО]])))</f>
        <v>0</v>
      </c>
      <c r="C264" s="268" t="str">
        <f>IF(tblData[[#This Row],[Статус]],COUNTIF($B$2:tblData[[#This Row],[Статус]],TRUE),"")</f>
        <v/>
      </c>
      <c r="D264" s="269" t="str">
        <f>IFERROR(INDEX(tblData[ФО],MATCH(ROWS($C$2:tblData[[#This Row],[Индекс]]),tblData[Индекс],0)),"")</f>
        <v/>
      </c>
      <c r="E264" t="b">
        <f>NOT(ISERROR(SEARCH(FILLING!$D$15,tblData[[#This Row],[ФО]])))</f>
        <v>0</v>
      </c>
      <c r="F264" s="267" t="str">
        <f>IF(tblData[[#This Row],[Статус2]],COUNTIF($E$2:tblData[[#This Row],[Статус2]],TRUE),"")</f>
        <v/>
      </c>
      <c r="G264" t="str">
        <f>IFERROR(INDEX(tblData[ФО],MATCH(ROWS($F$2:tblData[[#This Row],[Индекс2]]),tblData[Индекс2],0)),"")</f>
        <v/>
      </c>
    </row>
    <row r="265" spans="2:7" x14ac:dyDescent="0.35">
      <c r="B265" s="268" t="b">
        <f>NOT(ISERROR(SEARCH(FILLING!$D$11,tblData[[#This Row],[ФО]])))</f>
        <v>0</v>
      </c>
      <c r="C265" s="268" t="str">
        <f>IF(tblData[[#This Row],[Статус]],COUNTIF($B$2:tblData[[#This Row],[Статус]],TRUE),"")</f>
        <v/>
      </c>
      <c r="D265" s="269" t="str">
        <f>IFERROR(INDEX(tblData[ФО],MATCH(ROWS($C$2:tblData[[#This Row],[Индекс]]),tblData[Индекс],0)),"")</f>
        <v/>
      </c>
      <c r="E265" t="b">
        <f>NOT(ISERROR(SEARCH(FILLING!$D$15,tblData[[#This Row],[ФО]])))</f>
        <v>0</v>
      </c>
      <c r="F265" s="267" t="str">
        <f>IF(tblData[[#This Row],[Статус2]],COUNTIF($E$2:tblData[[#This Row],[Статус2]],TRUE),"")</f>
        <v/>
      </c>
      <c r="G265" t="str">
        <f>IFERROR(INDEX(tblData[ФО],MATCH(ROWS($F$2:tblData[[#This Row],[Индекс2]]),tblData[Индекс2],0)),"")</f>
        <v/>
      </c>
    </row>
    <row r="266" spans="2:7" x14ac:dyDescent="0.35">
      <c r="B266" s="268" t="b">
        <f>NOT(ISERROR(SEARCH(FILLING!$D$11,tblData[[#This Row],[ФО]])))</f>
        <v>0</v>
      </c>
      <c r="C266" s="268" t="str">
        <f>IF(tblData[[#This Row],[Статус]],COUNTIF($B$2:tblData[[#This Row],[Статус]],TRUE),"")</f>
        <v/>
      </c>
      <c r="D266" s="269" t="str">
        <f>IFERROR(INDEX(tblData[ФО],MATCH(ROWS($C$2:tblData[[#This Row],[Индекс]]),tblData[Индекс],0)),"")</f>
        <v/>
      </c>
      <c r="E266" t="b">
        <f>NOT(ISERROR(SEARCH(FILLING!$D$15,tblData[[#This Row],[ФО]])))</f>
        <v>0</v>
      </c>
      <c r="F266" s="267" t="str">
        <f>IF(tblData[[#This Row],[Статус2]],COUNTIF($E$2:tblData[[#This Row],[Статус2]],TRUE),"")</f>
        <v/>
      </c>
      <c r="G266" t="str">
        <f>IFERROR(INDEX(tblData[ФО],MATCH(ROWS($F$2:tblData[[#This Row],[Индекс2]]),tblData[Индекс2],0)),"")</f>
        <v/>
      </c>
    </row>
    <row r="267" spans="2:7" x14ac:dyDescent="0.35">
      <c r="B267" s="268" t="b">
        <f>NOT(ISERROR(SEARCH(FILLING!$D$11,tblData[[#This Row],[ФО]])))</f>
        <v>0</v>
      </c>
      <c r="C267" s="268" t="str">
        <f>IF(tblData[[#This Row],[Статус]],COUNTIF($B$2:tblData[[#This Row],[Статус]],TRUE),"")</f>
        <v/>
      </c>
      <c r="D267" s="269" t="str">
        <f>IFERROR(INDEX(tblData[ФО],MATCH(ROWS($C$2:tblData[[#This Row],[Индекс]]),tblData[Индекс],0)),"")</f>
        <v/>
      </c>
      <c r="E267" t="b">
        <f>NOT(ISERROR(SEARCH(FILLING!$D$15,tblData[[#This Row],[ФО]])))</f>
        <v>0</v>
      </c>
      <c r="F267" s="267" t="str">
        <f>IF(tblData[[#This Row],[Статус2]],COUNTIF($E$2:tblData[[#This Row],[Статус2]],TRUE),"")</f>
        <v/>
      </c>
      <c r="G267" t="str">
        <f>IFERROR(INDEX(tblData[ФО],MATCH(ROWS($F$2:tblData[[#This Row],[Индекс2]]),tblData[Индекс2],0)),"")</f>
        <v/>
      </c>
    </row>
    <row r="268" spans="2:7" x14ac:dyDescent="0.35">
      <c r="B268" s="268" t="b">
        <f>NOT(ISERROR(SEARCH(FILLING!$D$11,tblData[[#This Row],[ФО]])))</f>
        <v>0</v>
      </c>
      <c r="C268" s="268" t="str">
        <f>IF(tblData[[#This Row],[Статус]],COUNTIF($B$2:tblData[[#This Row],[Статус]],TRUE),"")</f>
        <v/>
      </c>
      <c r="D268" s="269" t="str">
        <f>IFERROR(INDEX(tblData[ФО],MATCH(ROWS($C$2:tblData[[#This Row],[Индекс]]),tblData[Индекс],0)),"")</f>
        <v/>
      </c>
      <c r="E268" t="b">
        <f>NOT(ISERROR(SEARCH(FILLING!$D$15,tblData[[#This Row],[ФО]])))</f>
        <v>0</v>
      </c>
      <c r="F268" s="267" t="str">
        <f>IF(tblData[[#This Row],[Статус2]],COUNTIF($E$2:tblData[[#This Row],[Статус2]],TRUE),"")</f>
        <v/>
      </c>
      <c r="G268" t="str">
        <f>IFERROR(INDEX(tblData[ФО],MATCH(ROWS($F$2:tblData[[#This Row],[Индекс2]]),tblData[Индекс2],0)),"")</f>
        <v/>
      </c>
    </row>
    <row r="269" spans="2:7" x14ac:dyDescent="0.35">
      <c r="B269" s="268" t="b">
        <f>NOT(ISERROR(SEARCH(FILLING!$D$11,tblData[[#This Row],[ФО]])))</f>
        <v>0</v>
      </c>
      <c r="C269" s="268" t="str">
        <f>IF(tblData[[#This Row],[Статус]],COUNTIF($B$2:tblData[[#This Row],[Статус]],TRUE),"")</f>
        <v/>
      </c>
      <c r="D269" s="269" t="str">
        <f>IFERROR(INDEX(tblData[ФО],MATCH(ROWS($C$2:tblData[[#This Row],[Индекс]]),tblData[Индекс],0)),"")</f>
        <v/>
      </c>
      <c r="E269" t="b">
        <f>NOT(ISERROR(SEARCH(FILLING!$D$15,tblData[[#This Row],[ФО]])))</f>
        <v>0</v>
      </c>
      <c r="F269" s="267" t="str">
        <f>IF(tblData[[#This Row],[Статус2]],COUNTIF($E$2:tblData[[#This Row],[Статус2]],TRUE),"")</f>
        <v/>
      </c>
      <c r="G269" t="str">
        <f>IFERROR(INDEX(tblData[ФО],MATCH(ROWS($F$2:tblData[[#This Row],[Индекс2]]),tblData[Индекс2],0)),"")</f>
        <v/>
      </c>
    </row>
    <row r="270" spans="2:7" x14ac:dyDescent="0.35">
      <c r="B270" s="268" t="b">
        <f>NOT(ISERROR(SEARCH(FILLING!$D$11,tblData[[#This Row],[ФО]])))</f>
        <v>0</v>
      </c>
      <c r="C270" s="268" t="str">
        <f>IF(tblData[[#This Row],[Статус]],COUNTIF($B$2:tblData[[#This Row],[Статус]],TRUE),"")</f>
        <v/>
      </c>
      <c r="D270" s="269" t="str">
        <f>IFERROR(INDEX(tblData[ФО],MATCH(ROWS($C$2:tblData[[#This Row],[Индекс]]),tblData[Индекс],0)),"")</f>
        <v/>
      </c>
      <c r="E270" t="b">
        <f>NOT(ISERROR(SEARCH(FILLING!$D$15,tblData[[#This Row],[ФО]])))</f>
        <v>0</v>
      </c>
      <c r="F270" s="267" t="str">
        <f>IF(tblData[[#This Row],[Статус2]],COUNTIF($E$2:tblData[[#This Row],[Статус2]],TRUE),"")</f>
        <v/>
      </c>
      <c r="G270" t="str">
        <f>IFERROR(INDEX(tblData[ФО],MATCH(ROWS($F$2:tblData[[#This Row],[Индекс2]]),tblData[Индекс2],0)),"")</f>
        <v/>
      </c>
    </row>
    <row r="271" spans="2:7" x14ac:dyDescent="0.35">
      <c r="B271" s="268" t="b">
        <f>NOT(ISERROR(SEARCH(FILLING!$D$11,tblData[[#This Row],[ФО]])))</f>
        <v>0</v>
      </c>
      <c r="C271" s="268" t="str">
        <f>IF(tblData[[#This Row],[Статус]],COUNTIF($B$2:tblData[[#This Row],[Статус]],TRUE),"")</f>
        <v/>
      </c>
      <c r="D271" s="269" t="str">
        <f>IFERROR(INDEX(tblData[ФО],MATCH(ROWS($C$2:tblData[[#This Row],[Индекс]]),tblData[Индекс],0)),"")</f>
        <v/>
      </c>
      <c r="E271" t="b">
        <f>NOT(ISERROR(SEARCH(FILLING!$D$15,tblData[[#This Row],[ФО]])))</f>
        <v>0</v>
      </c>
      <c r="F271" s="267" t="str">
        <f>IF(tblData[[#This Row],[Статус2]],COUNTIF($E$2:tblData[[#This Row],[Статус2]],TRUE),"")</f>
        <v/>
      </c>
      <c r="G271" t="str">
        <f>IFERROR(INDEX(tblData[ФО],MATCH(ROWS($F$2:tblData[[#This Row],[Индекс2]]),tblData[Индекс2],0)),"")</f>
        <v/>
      </c>
    </row>
    <row r="272" spans="2:7" x14ac:dyDescent="0.35">
      <c r="B272" s="268" t="b">
        <f>NOT(ISERROR(SEARCH(FILLING!$D$11,tblData[[#This Row],[ФО]])))</f>
        <v>0</v>
      </c>
      <c r="C272" s="268" t="str">
        <f>IF(tblData[[#This Row],[Статус]],COUNTIF($B$2:tblData[[#This Row],[Статус]],TRUE),"")</f>
        <v/>
      </c>
      <c r="D272" s="269" t="str">
        <f>IFERROR(INDEX(tblData[ФО],MATCH(ROWS($C$2:tblData[[#This Row],[Индекс]]),tblData[Индекс],0)),"")</f>
        <v/>
      </c>
      <c r="E272" t="b">
        <f>NOT(ISERROR(SEARCH(FILLING!$D$15,tblData[[#This Row],[ФО]])))</f>
        <v>0</v>
      </c>
      <c r="F272" s="267" t="str">
        <f>IF(tblData[[#This Row],[Статус2]],COUNTIF($E$2:tblData[[#This Row],[Статус2]],TRUE),"")</f>
        <v/>
      </c>
      <c r="G272" t="str">
        <f>IFERROR(INDEX(tblData[ФО],MATCH(ROWS($F$2:tblData[[#This Row],[Индекс2]]),tblData[Индекс2],0)),"")</f>
        <v/>
      </c>
    </row>
    <row r="273" spans="2:7" x14ac:dyDescent="0.35">
      <c r="B273" s="268" t="b">
        <f>NOT(ISERROR(SEARCH(FILLING!$D$11,tblData[[#This Row],[ФО]])))</f>
        <v>0</v>
      </c>
      <c r="C273" s="268" t="str">
        <f>IF(tblData[[#This Row],[Статус]],COUNTIF($B$2:tblData[[#This Row],[Статус]],TRUE),"")</f>
        <v/>
      </c>
      <c r="D273" s="269" t="str">
        <f>IFERROR(INDEX(tblData[ФО],MATCH(ROWS($C$2:tblData[[#This Row],[Индекс]]),tblData[Индекс],0)),"")</f>
        <v/>
      </c>
      <c r="E273" t="b">
        <f>NOT(ISERROR(SEARCH(FILLING!$D$15,tblData[[#This Row],[ФО]])))</f>
        <v>0</v>
      </c>
      <c r="F273" s="267" t="str">
        <f>IF(tblData[[#This Row],[Статус2]],COUNTIF($E$2:tblData[[#This Row],[Статус2]],TRUE),"")</f>
        <v/>
      </c>
      <c r="G273" t="str">
        <f>IFERROR(INDEX(tblData[ФО],MATCH(ROWS($F$2:tblData[[#This Row],[Индекс2]]),tblData[Индекс2],0)),"")</f>
        <v/>
      </c>
    </row>
    <row r="274" spans="2:7" x14ac:dyDescent="0.35">
      <c r="B274" s="268" t="b">
        <f>NOT(ISERROR(SEARCH(FILLING!$D$11,tblData[[#This Row],[ФО]])))</f>
        <v>0</v>
      </c>
      <c r="C274" s="268" t="str">
        <f>IF(tblData[[#This Row],[Статус]],COUNTIF($B$2:tblData[[#This Row],[Статус]],TRUE),"")</f>
        <v/>
      </c>
      <c r="D274" s="269" t="str">
        <f>IFERROR(INDEX(tblData[ФО],MATCH(ROWS($C$2:tblData[[#This Row],[Индекс]]),tblData[Индекс],0)),"")</f>
        <v/>
      </c>
      <c r="E274" t="b">
        <f>NOT(ISERROR(SEARCH(FILLING!$D$15,tblData[[#This Row],[ФО]])))</f>
        <v>0</v>
      </c>
      <c r="F274" s="267" t="str">
        <f>IF(tblData[[#This Row],[Статус2]],COUNTIF($E$2:tblData[[#This Row],[Статус2]],TRUE),"")</f>
        <v/>
      </c>
      <c r="G274" t="str">
        <f>IFERROR(INDEX(tblData[ФО],MATCH(ROWS($F$2:tblData[[#This Row],[Индекс2]]),tblData[Индекс2],0)),"")</f>
        <v/>
      </c>
    </row>
    <row r="275" spans="2:7" x14ac:dyDescent="0.35">
      <c r="B275" s="268" t="b">
        <f>NOT(ISERROR(SEARCH(FILLING!$D$11,tblData[[#This Row],[ФО]])))</f>
        <v>0</v>
      </c>
      <c r="C275" s="268" t="str">
        <f>IF(tblData[[#This Row],[Статус]],COUNTIF($B$2:tblData[[#This Row],[Статус]],TRUE),"")</f>
        <v/>
      </c>
      <c r="D275" s="269" t="str">
        <f>IFERROR(INDEX(tblData[ФО],MATCH(ROWS($C$2:tblData[[#This Row],[Индекс]]),tblData[Индекс],0)),"")</f>
        <v/>
      </c>
      <c r="E275" t="b">
        <f>NOT(ISERROR(SEARCH(FILLING!$D$15,tblData[[#This Row],[ФО]])))</f>
        <v>0</v>
      </c>
      <c r="F275" s="267" t="str">
        <f>IF(tblData[[#This Row],[Статус2]],COUNTIF($E$2:tblData[[#This Row],[Статус2]],TRUE),"")</f>
        <v/>
      </c>
      <c r="G275" t="str">
        <f>IFERROR(INDEX(tblData[ФО],MATCH(ROWS($F$2:tblData[[#This Row],[Индекс2]]),tblData[Индекс2],0)),"")</f>
        <v/>
      </c>
    </row>
    <row r="276" spans="2:7" x14ac:dyDescent="0.35">
      <c r="B276" s="268" t="b">
        <f>NOT(ISERROR(SEARCH(FILLING!$D$11,tblData[[#This Row],[ФО]])))</f>
        <v>0</v>
      </c>
      <c r="C276" s="268" t="str">
        <f>IF(tblData[[#This Row],[Статус]],COUNTIF($B$2:tblData[[#This Row],[Статус]],TRUE),"")</f>
        <v/>
      </c>
      <c r="D276" s="269" t="str">
        <f>IFERROR(INDEX(tblData[ФО],MATCH(ROWS($C$2:tblData[[#This Row],[Индекс]]),tblData[Индекс],0)),"")</f>
        <v/>
      </c>
      <c r="E276" t="b">
        <f>NOT(ISERROR(SEARCH(FILLING!$D$15,tblData[[#This Row],[ФО]])))</f>
        <v>0</v>
      </c>
      <c r="F276" s="267" t="str">
        <f>IF(tblData[[#This Row],[Статус2]],COUNTIF($E$2:tblData[[#This Row],[Статус2]],TRUE),"")</f>
        <v/>
      </c>
      <c r="G276" t="str">
        <f>IFERROR(INDEX(tblData[ФО],MATCH(ROWS($F$2:tblData[[#This Row],[Индекс2]]),tblData[Индекс2],0)),"")</f>
        <v/>
      </c>
    </row>
    <row r="277" spans="2:7" x14ac:dyDescent="0.35">
      <c r="B277" s="268" t="b">
        <f>NOT(ISERROR(SEARCH(FILLING!$D$11,tblData[[#This Row],[ФО]])))</f>
        <v>0</v>
      </c>
      <c r="C277" s="268" t="str">
        <f>IF(tblData[[#This Row],[Статус]],COUNTIF($B$2:tblData[[#This Row],[Статус]],TRUE),"")</f>
        <v/>
      </c>
      <c r="D277" s="269" t="str">
        <f>IFERROR(INDEX(tblData[ФО],MATCH(ROWS($C$2:tblData[[#This Row],[Индекс]]),tblData[Индекс],0)),"")</f>
        <v/>
      </c>
      <c r="E277" t="b">
        <f>NOT(ISERROR(SEARCH(FILLING!$D$15,tblData[[#This Row],[ФО]])))</f>
        <v>0</v>
      </c>
      <c r="F277" s="267" t="str">
        <f>IF(tblData[[#This Row],[Статус2]],COUNTIF($E$2:tblData[[#This Row],[Статус2]],TRUE),"")</f>
        <v/>
      </c>
      <c r="G277" t="str">
        <f>IFERROR(INDEX(tblData[ФО],MATCH(ROWS($F$2:tblData[[#This Row],[Индекс2]]),tblData[Индекс2],0)),"")</f>
        <v/>
      </c>
    </row>
    <row r="278" spans="2:7" x14ac:dyDescent="0.35">
      <c r="B278" s="268" t="b">
        <f>NOT(ISERROR(SEARCH(FILLING!$D$11,tblData[[#This Row],[ФО]])))</f>
        <v>0</v>
      </c>
      <c r="C278" s="268" t="str">
        <f>IF(tblData[[#This Row],[Статус]],COUNTIF($B$2:tblData[[#This Row],[Статус]],TRUE),"")</f>
        <v/>
      </c>
      <c r="D278" s="269" t="str">
        <f>IFERROR(INDEX(tblData[ФО],MATCH(ROWS($C$2:tblData[[#This Row],[Индекс]]),tblData[Индекс],0)),"")</f>
        <v/>
      </c>
      <c r="E278" t="b">
        <f>NOT(ISERROR(SEARCH(FILLING!$D$15,tblData[[#This Row],[ФО]])))</f>
        <v>0</v>
      </c>
      <c r="F278" s="267" t="str">
        <f>IF(tblData[[#This Row],[Статус2]],COUNTIF($E$2:tblData[[#This Row],[Статус2]],TRUE),"")</f>
        <v/>
      </c>
      <c r="G278" t="str">
        <f>IFERROR(INDEX(tblData[ФО],MATCH(ROWS($F$2:tblData[[#This Row],[Индекс2]]),tblData[Индекс2],0)),"")</f>
        <v/>
      </c>
    </row>
    <row r="279" spans="2:7" x14ac:dyDescent="0.35">
      <c r="B279" s="268" t="b">
        <f>NOT(ISERROR(SEARCH(FILLING!$D$11,tblData[[#This Row],[ФО]])))</f>
        <v>0</v>
      </c>
      <c r="C279" s="268" t="str">
        <f>IF(tblData[[#This Row],[Статус]],COUNTIF($B$2:tblData[[#This Row],[Статус]],TRUE),"")</f>
        <v/>
      </c>
      <c r="D279" s="269" t="str">
        <f>IFERROR(INDEX(tblData[ФО],MATCH(ROWS($C$2:tblData[[#This Row],[Индекс]]),tblData[Индекс],0)),"")</f>
        <v/>
      </c>
      <c r="E279" t="b">
        <f>NOT(ISERROR(SEARCH(FILLING!$D$15,tblData[[#This Row],[ФО]])))</f>
        <v>0</v>
      </c>
      <c r="F279" s="267" t="str">
        <f>IF(tblData[[#This Row],[Статус2]],COUNTIF($E$2:tblData[[#This Row],[Статус2]],TRUE),"")</f>
        <v/>
      </c>
      <c r="G279" t="str">
        <f>IFERROR(INDEX(tblData[ФО],MATCH(ROWS($F$2:tblData[[#This Row],[Индекс2]]),tblData[Индекс2],0)),"")</f>
        <v/>
      </c>
    </row>
    <row r="280" spans="2:7" x14ac:dyDescent="0.35">
      <c r="B280" s="268" t="b">
        <f>NOT(ISERROR(SEARCH(FILLING!$D$11,tblData[[#This Row],[ФО]])))</f>
        <v>0</v>
      </c>
      <c r="C280" s="268" t="str">
        <f>IF(tblData[[#This Row],[Статус]],COUNTIF($B$2:tblData[[#This Row],[Статус]],TRUE),"")</f>
        <v/>
      </c>
      <c r="D280" s="269" t="str">
        <f>IFERROR(INDEX(tblData[ФО],MATCH(ROWS($C$2:tblData[[#This Row],[Индекс]]),tblData[Индекс],0)),"")</f>
        <v/>
      </c>
      <c r="E280" t="b">
        <f>NOT(ISERROR(SEARCH(FILLING!$D$15,tblData[[#This Row],[ФО]])))</f>
        <v>0</v>
      </c>
      <c r="F280" s="267" t="str">
        <f>IF(tblData[[#This Row],[Статус2]],COUNTIF($E$2:tblData[[#This Row],[Статус2]],TRUE),"")</f>
        <v/>
      </c>
      <c r="G280" t="str">
        <f>IFERROR(INDEX(tblData[ФО],MATCH(ROWS($F$2:tblData[[#This Row],[Индекс2]]),tblData[Индекс2],0)),"")</f>
        <v/>
      </c>
    </row>
    <row r="281" spans="2:7" x14ac:dyDescent="0.35">
      <c r="B281" s="268" t="b">
        <f>NOT(ISERROR(SEARCH(FILLING!$D$11,tblData[[#This Row],[ФО]])))</f>
        <v>0</v>
      </c>
      <c r="C281" s="268" t="str">
        <f>IF(tblData[[#This Row],[Статус]],COUNTIF($B$2:tblData[[#This Row],[Статус]],TRUE),"")</f>
        <v/>
      </c>
      <c r="D281" s="269" t="str">
        <f>IFERROR(INDEX(tblData[ФО],MATCH(ROWS($C$2:tblData[[#This Row],[Индекс]]),tblData[Индекс],0)),"")</f>
        <v/>
      </c>
      <c r="E281" t="b">
        <f>NOT(ISERROR(SEARCH(FILLING!$D$15,tblData[[#This Row],[ФО]])))</f>
        <v>0</v>
      </c>
      <c r="F281" s="267" t="str">
        <f>IF(tblData[[#This Row],[Статус2]],COUNTIF($E$2:tblData[[#This Row],[Статус2]],TRUE),"")</f>
        <v/>
      </c>
      <c r="G281" t="str">
        <f>IFERROR(INDEX(tblData[ФО],MATCH(ROWS($F$2:tblData[[#This Row],[Индекс2]]),tblData[Индекс2],0)),"")</f>
        <v/>
      </c>
    </row>
    <row r="282" spans="2:7" x14ac:dyDescent="0.35">
      <c r="B282" s="268" t="b">
        <f>NOT(ISERROR(SEARCH(FILLING!$D$11,tblData[[#This Row],[ФО]])))</f>
        <v>0</v>
      </c>
      <c r="C282" s="268" t="str">
        <f>IF(tblData[[#This Row],[Статус]],COUNTIF($B$2:tblData[[#This Row],[Статус]],TRUE),"")</f>
        <v/>
      </c>
      <c r="D282" s="269" t="str">
        <f>IFERROR(INDEX(tblData[ФО],MATCH(ROWS($C$2:tblData[[#This Row],[Индекс]]),tblData[Индекс],0)),"")</f>
        <v/>
      </c>
      <c r="E282" t="b">
        <f>NOT(ISERROR(SEARCH(FILLING!$D$15,tblData[[#This Row],[ФО]])))</f>
        <v>0</v>
      </c>
      <c r="F282" s="267" t="str">
        <f>IF(tblData[[#This Row],[Статус2]],COUNTIF($E$2:tblData[[#This Row],[Статус2]],TRUE),"")</f>
        <v/>
      </c>
      <c r="G282" t="str">
        <f>IFERROR(INDEX(tblData[ФО],MATCH(ROWS($F$2:tblData[[#This Row],[Индекс2]]),tblData[Индекс2],0)),"")</f>
        <v/>
      </c>
    </row>
    <row r="283" spans="2:7" x14ac:dyDescent="0.35">
      <c r="B283" s="268" t="b">
        <f>NOT(ISERROR(SEARCH(FILLING!$D$11,tblData[[#This Row],[ФО]])))</f>
        <v>0</v>
      </c>
      <c r="C283" s="268" t="str">
        <f>IF(tblData[[#This Row],[Статус]],COUNTIF($B$2:tblData[[#This Row],[Статус]],TRUE),"")</f>
        <v/>
      </c>
      <c r="D283" s="269" t="str">
        <f>IFERROR(INDEX(tblData[ФО],MATCH(ROWS($C$2:tblData[[#This Row],[Индекс]]),tblData[Индекс],0)),"")</f>
        <v/>
      </c>
      <c r="E283" t="b">
        <f>NOT(ISERROR(SEARCH(FILLING!$D$15,tblData[[#This Row],[ФО]])))</f>
        <v>0</v>
      </c>
      <c r="F283" s="267" t="str">
        <f>IF(tblData[[#This Row],[Статус2]],COUNTIF($E$2:tblData[[#This Row],[Статус2]],TRUE),"")</f>
        <v/>
      </c>
      <c r="G283" t="str">
        <f>IFERROR(INDEX(tblData[ФО],MATCH(ROWS($F$2:tblData[[#This Row],[Индекс2]]),tblData[Индекс2],0)),"")</f>
        <v/>
      </c>
    </row>
    <row r="284" spans="2:7" x14ac:dyDescent="0.35">
      <c r="B284" s="268" t="b">
        <f>NOT(ISERROR(SEARCH(FILLING!$D$11,tblData[[#This Row],[ФО]])))</f>
        <v>0</v>
      </c>
      <c r="C284" s="268" t="str">
        <f>IF(tblData[[#This Row],[Статус]],COUNTIF($B$2:tblData[[#This Row],[Статус]],TRUE),"")</f>
        <v/>
      </c>
      <c r="D284" s="269" t="str">
        <f>IFERROR(INDEX(tblData[ФО],MATCH(ROWS($C$2:tblData[[#This Row],[Индекс]]),tblData[Индекс],0)),"")</f>
        <v/>
      </c>
      <c r="E284" t="b">
        <f>NOT(ISERROR(SEARCH(FILLING!$D$15,tblData[[#This Row],[ФО]])))</f>
        <v>0</v>
      </c>
      <c r="F284" s="267" t="str">
        <f>IF(tblData[[#This Row],[Статус2]],COUNTIF($E$2:tblData[[#This Row],[Статус2]],TRUE),"")</f>
        <v/>
      </c>
      <c r="G284" t="str">
        <f>IFERROR(INDEX(tblData[ФО],MATCH(ROWS($F$2:tblData[[#This Row],[Индекс2]]),tblData[Индекс2],0)),"")</f>
        <v/>
      </c>
    </row>
    <row r="285" spans="2:7" x14ac:dyDescent="0.35">
      <c r="B285" s="268" t="b">
        <f>NOT(ISERROR(SEARCH(FILLING!$D$11,tblData[[#This Row],[ФО]])))</f>
        <v>0</v>
      </c>
      <c r="C285" s="268" t="str">
        <f>IF(tblData[[#This Row],[Статус]],COUNTIF($B$2:tblData[[#This Row],[Статус]],TRUE),"")</f>
        <v/>
      </c>
      <c r="D285" s="269" t="str">
        <f>IFERROR(INDEX(tblData[ФО],MATCH(ROWS($C$2:tblData[[#This Row],[Индекс]]),tblData[Индекс],0)),"")</f>
        <v/>
      </c>
      <c r="E285" t="b">
        <f>NOT(ISERROR(SEARCH(FILLING!$D$15,tblData[[#This Row],[ФО]])))</f>
        <v>0</v>
      </c>
      <c r="F285" s="267" t="str">
        <f>IF(tblData[[#This Row],[Статус2]],COUNTIF($E$2:tblData[[#This Row],[Статус2]],TRUE),"")</f>
        <v/>
      </c>
      <c r="G285" t="str">
        <f>IFERROR(INDEX(tblData[ФО],MATCH(ROWS($F$2:tblData[[#This Row],[Индекс2]]),tblData[Индекс2],0)),"")</f>
        <v/>
      </c>
    </row>
    <row r="286" spans="2:7" x14ac:dyDescent="0.35">
      <c r="B286" s="268" t="b">
        <f>NOT(ISERROR(SEARCH(FILLING!$D$11,tblData[[#This Row],[ФО]])))</f>
        <v>0</v>
      </c>
      <c r="C286" s="268" t="str">
        <f>IF(tblData[[#This Row],[Статус]],COUNTIF($B$2:tblData[[#This Row],[Статус]],TRUE),"")</f>
        <v/>
      </c>
      <c r="D286" s="269" t="str">
        <f>IFERROR(INDEX(tblData[ФО],MATCH(ROWS($C$2:tblData[[#This Row],[Индекс]]),tblData[Индекс],0)),"")</f>
        <v/>
      </c>
      <c r="E286" t="b">
        <f>NOT(ISERROR(SEARCH(FILLING!$D$15,tblData[[#This Row],[ФО]])))</f>
        <v>0</v>
      </c>
      <c r="F286" s="267" t="str">
        <f>IF(tblData[[#This Row],[Статус2]],COUNTIF($E$2:tblData[[#This Row],[Статус2]],TRUE),"")</f>
        <v/>
      </c>
      <c r="G286" t="str">
        <f>IFERROR(INDEX(tblData[ФО],MATCH(ROWS($F$2:tblData[[#This Row],[Индекс2]]),tblData[Индекс2],0)),"")</f>
        <v/>
      </c>
    </row>
    <row r="287" spans="2:7" x14ac:dyDescent="0.35">
      <c r="B287" s="268" t="b">
        <f>NOT(ISERROR(SEARCH(FILLING!$D$11,tblData[[#This Row],[ФО]])))</f>
        <v>0</v>
      </c>
      <c r="C287" s="268" t="str">
        <f>IF(tblData[[#This Row],[Статус]],COUNTIF($B$2:tblData[[#This Row],[Статус]],TRUE),"")</f>
        <v/>
      </c>
      <c r="D287" s="269" t="str">
        <f>IFERROR(INDEX(tblData[ФО],MATCH(ROWS($C$2:tblData[[#This Row],[Индекс]]),tblData[Индекс],0)),"")</f>
        <v/>
      </c>
      <c r="E287" t="b">
        <f>NOT(ISERROR(SEARCH(FILLING!$D$15,tblData[[#This Row],[ФО]])))</f>
        <v>0</v>
      </c>
      <c r="F287" s="267" t="str">
        <f>IF(tblData[[#This Row],[Статус2]],COUNTIF($E$2:tblData[[#This Row],[Статус2]],TRUE),"")</f>
        <v/>
      </c>
      <c r="G287" t="str">
        <f>IFERROR(INDEX(tblData[ФО],MATCH(ROWS($F$2:tblData[[#This Row],[Индекс2]]),tblData[Индекс2],0)),"")</f>
        <v/>
      </c>
    </row>
    <row r="288" spans="2:7" x14ac:dyDescent="0.35">
      <c r="B288" s="268" t="b">
        <f>NOT(ISERROR(SEARCH(FILLING!$D$11,tblData[[#This Row],[ФО]])))</f>
        <v>0</v>
      </c>
      <c r="C288" s="268" t="str">
        <f>IF(tblData[[#This Row],[Статус]],COUNTIF($B$2:tblData[[#This Row],[Статус]],TRUE),"")</f>
        <v/>
      </c>
      <c r="D288" s="269" t="str">
        <f>IFERROR(INDEX(tblData[ФО],MATCH(ROWS($C$2:tblData[[#This Row],[Индекс]]),tblData[Индекс],0)),"")</f>
        <v/>
      </c>
      <c r="E288" t="b">
        <f>NOT(ISERROR(SEARCH(FILLING!$D$15,tblData[[#This Row],[ФО]])))</f>
        <v>0</v>
      </c>
      <c r="F288" s="267" t="str">
        <f>IF(tblData[[#This Row],[Статус2]],COUNTIF($E$2:tblData[[#This Row],[Статус2]],TRUE),"")</f>
        <v/>
      </c>
      <c r="G288" t="str">
        <f>IFERROR(INDEX(tblData[ФО],MATCH(ROWS($F$2:tblData[[#This Row],[Индекс2]]),tblData[Индекс2],0)),"")</f>
        <v/>
      </c>
    </row>
    <row r="289" spans="2:7" x14ac:dyDescent="0.35">
      <c r="B289" s="268" t="b">
        <f>NOT(ISERROR(SEARCH(FILLING!$D$11,tblData[[#This Row],[ФО]])))</f>
        <v>0</v>
      </c>
      <c r="C289" s="268" t="str">
        <f>IF(tblData[[#This Row],[Статус]],COUNTIF($B$2:tblData[[#This Row],[Статус]],TRUE),"")</f>
        <v/>
      </c>
      <c r="D289" s="269" t="str">
        <f>IFERROR(INDEX(tblData[ФО],MATCH(ROWS($C$2:tblData[[#This Row],[Индекс]]),tblData[Индекс],0)),"")</f>
        <v/>
      </c>
      <c r="E289" t="b">
        <f>NOT(ISERROR(SEARCH(FILLING!$D$15,tblData[[#This Row],[ФО]])))</f>
        <v>0</v>
      </c>
      <c r="F289" s="267" t="str">
        <f>IF(tblData[[#This Row],[Статус2]],COUNTIF($E$2:tblData[[#This Row],[Статус2]],TRUE),"")</f>
        <v/>
      </c>
      <c r="G289" t="str">
        <f>IFERROR(INDEX(tblData[ФО],MATCH(ROWS($F$2:tblData[[#This Row],[Индекс2]]),tblData[Индекс2],0)),"")</f>
        <v/>
      </c>
    </row>
    <row r="290" spans="2:7" x14ac:dyDescent="0.35">
      <c r="B290" s="268" t="b">
        <f>NOT(ISERROR(SEARCH(FILLING!$D$11,tblData[[#This Row],[ФО]])))</f>
        <v>0</v>
      </c>
      <c r="C290" s="268" t="str">
        <f>IF(tblData[[#This Row],[Статус]],COUNTIF($B$2:tblData[[#This Row],[Статус]],TRUE),"")</f>
        <v/>
      </c>
      <c r="D290" s="269" t="str">
        <f>IFERROR(INDEX(tblData[ФО],MATCH(ROWS($C$2:tblData[[#This Row],[Индекс]]),tblData[Индекс],0)),"")</f>
        <v/>
      </c>
      <c r="E290" t="b">
        <f>NOT(ISERROR(SEARCH(FILLING!$D$15,tblData[[#This Row],[ФО]])))</f>
        <v>0</v>
      </c>
      <c r="F290" s="267" t="str">
        <f>IF(tblData[[#This Row],[Статус2]],COUNTIF($E$2:tblData[[#This Row],[Статус2]],TRUE),"")</f>
        <v/>
      </c>
      <c r="G290" t="str">
        <f>IFERROR(INDEX(tblData[ФО],MATCH(ROWS($F$2:tblData[[#This Row],[Индекс2]]),tblData[Индекс2],0)),"")</f>
        <v/>
      </c>
    </row>
    <row r="291" spans="2:7" x14ac:dyDescent="0.35">
      <c r="B291" s="268" t="b">
        <f>NOT(ISERROR(SEARCH(FILLING!$D$11,tblData[[#This Row],[ФО]])))</f>
        <v>0</v>
      </c>
      <c r="C291" s="268" t="str">
        <f>IF(tblData[[#This Row],[Статус]],COUNTIF($B$2:tblData[[#This Row],[Статус]],TRUE),"")</f>
        <v/>
      </c>
      <c r="D291" s="269" t="str">
        <f>IFERROR(INDEX(tblData[ФО],MATCH(ROWS($C$2:tblData[[#This Row],[Индекс]]),tblData[Индекс],0)),"")</f>
        <v/>
      </c>
      <c r="E291" t="b">
        <f>NOT(ISERROR(SEARCH(FILLING!$D$15,tblData[[#This Row],[ФО]])))</f>
        <v>0</v>
      </c>
      <c r="F291" s="267" t="str">
        <f>IF(tblData[[#This Row],[Статус2]],COUNTIF($E$2:tblData[[#This Row],[Статус2]],TRUE),"")</f>
        <v/>
      </c>
      <c r="G291" t="str">
        <f>IFERROR(INDEX(tblData[ФО],MATCH(ROWS($F$2:tblData[[#This Row],[Индекс2]]),tblData[Индекс2],0)),"")</f>
        <v/>
      </c>
    </row>
    <row r="292" spans="2:7" x14ac:dyDescent="0.35">
      <c r="B292" s="268" t="b">
        <f>NOT(ISERROR(SEARCH(FILLING!$D$11,tblData[[#This Row],[ФО]])))</f>
        <v>0</v>
      </c>
      <c r="C292" s="268" t="str">
        <f>IF(tblData[[#This Row],[Статус]],COUNTIF($B$2:tblData[[#This Row],[Статус]],TRUE),"")</f>
        <v/>
      </c>
      <c r="D292" s="269" t="str">
        <f>IFERROR(INDEX(tblData[ФО],MATCH(ROWS($C$2:tblData[[#This Row],[Индекс]]),tblData[Индекс],0)),"")</f>
        <v/>
      </c>
      <c r="E292" t="b">
        <f>NOT(ISERROR(SEARCH(FILLING!$D$15,tblData[[#This Row],[ФО]])))</f>
        <v>0</v>
      </c>
      <c r="F292" s="267" t="str">
        <f>IF(tblData[[#This Row],[Статус2]],COUNTIF($E$2:tblData[[#This Row],[Статус2]],TRUE),"")</f>
        <v/>
      </c>
      <c r="G292" t="str">
        <f>IFERROR(INDEX(tblData[ФО],MATCH(ROWS($F$2:tblData[[#This Row],[Индекс2]]),tblData[Индекс2],0)),"")</f>
        <v/>
      </c>
    </row>
    <row r="293" spans="2:7" x14ac:dyDescent="0.35">
      <c r="B293" s="268" t="b">
        <f>NOT(ISERROR(SEARCH(FILLING!$D$11,tblData[[#This Row],[ФО]])))</f>
        <v>0</v>
      </c>
      <c r="C293" s="268" t="str">
        <f>IF(tblData[[#This Row],[Статус]],COUNTIF($B$2:tblData[[#This Row],[Статус]],TRUE),"")</f>
        <v/>
      </c>
      <c r="D293" s="269" t="str">
        <f>IFERROR(INDEX(tblData[ФО],MATCH(ROWS($C$2:tblData[[#This Row],[Индекс]]),tblData[Индекс],0)),"")</f>
        <v/>
      </c>
      <c r="E293" t="b">
        <f>NOT(ISERROR(SEARCH(FILLING!$D$15,tblData[[#This Row],[ФО]])))</f>
        <v>0</v>
      </c>
      <c r="F293" s="267" t="str">
        <f>IF(tblData[[#This Row],[Статус2]],COUNTIF($E$2:tblData[[#This Row],[Статус2]],TRUE),"")</f>
        <v/>
      </c>
      <c r="G293" t="str">
        <f>IFERROR(INDEX(tblData[ФО],MATCH(ROWS($F$2:tblData[[#This Row],[Индекс2]]),tblData[Индекс2],0)),"")</f>
        <v/>
      </c>
    </row>
    <row r="294" spans="2:7" x14ac:dyDescent="0.35">
      <c r="B294" s="268" t="b">
        <f>NOT(ISERROR(SEARCH(FILLING!$D$11,tblData[[#This Row],[ФО]])))</f>
        <v>0</v>
      </c>
      <c r="C294" s="268" t="str">
        <f>IF(tblData[[#This Row],[Статус]],COUNTIF($B$2:tblData[[#This Row],[Статус]],TRUE),"")</f>
        <v/>
      </c>
      <c r="D294" s="269" t="str">
        <f>IFERROR(INDEX(tblData[ФО],MATCH(ROWS($C$2:tblData[[#This Row],[Индекс]]),tblData[Индекс],0)),"")</f>
        <v/>
      </c>
      <c r="E294" t="b">
        <f>NOT(ISERROR(SEARCH(FILLING!$D$15,tblData[[#This Row],[ФО]])))</f>
        <v>0</v>
      </c>
      <c r="F294" s="267" t="str">
        <f>IF(tblData[[#This Row],[Статус2]],COUNTIF($E$2:tblData[[#This Row],[Статус2]],TRUE),"")</f>
        <v/>
      </c>
      <c r="G294" t="str">
        <f>IFERROR(INDEX(tblData[ФО],MATCH(ROWS($F$2:tblData[[#This Row],[Индекс2]]),tblData[Индекс2],0)),"")</f>
        <v/>
      </c>
    </row>
    <row r="295" spans="2:7" x14ac:dyDescent="0.35">
      <c r="B295" s="268" t="b">
        <f>NOT(ISERROR(SEARCH(FILLING!$D$11,tblData[[#This Row],[ФО]])))</f>
        <v>0</v>
      </c>
      <c r="C295" s="268" t="str">
        <f>IF(tblData[[#This Row],[Статус]],COUNTIF($B$2:tblData[[#This Row],[Статус]],TRUE),"")</f>
        <v/>
      </c>
      <c r="D295" s="269" t="str">
        <f>IFERROR(INDEX(tblData[ФО],MATCH(ROWS($C$2:tblData[[#This Row],[Индекс]]),tblData[Индекс],0)),"")</f>
        <v/>
      </c>
      <c r="E295" t="b">
        <f>NOT(ISERROR(SEARCH(FILLING!$D$15,tblData[[#This Row],[ФО]])))</f>
        <v>0</v>
      </c>
      <c r="F295" s="267" t="str">
        <f>IF(tblData[[#This Row],[Статус2]],COUNTIF($E$2:tblData[[#This Row],[Статус2]],TRUE),"")</f>
        <v/>
      </c>
      <c r="G295" t="str">
        <f>IFERROR(INDEX(tblData[ФО],MATCH(ROWS($F$2:tblData[[#This Row],[Индекс2]]),tblData[Индекс2],0)),"")</f>
        <v/>
      </c>
    </row>
    <row r="296" spans="2:7" x14ac:dyDescent="0.35">
      <c r="B296" s="268" t="b">
        <f>NOT(ISERROR(SEARCH(FILLING!$D$11,tblData[[#This Row],[ФО]])))</f>
        <v>0</v>
      </c>
      <c r="C296" s="268" t="str">
        <f>IF(tblData[[#This Row],[Статус]],COUNTIF($B$2:tblData[[#This Row],[Статус]],TRUE),"")</f>
        <v/>
      </c>
      <c r="D296" s="269" t="str">
        <f>IFERROR(INDEX(tblData[ФО],MATCH(ROWS($C$2:tblData[[#This Row],[Индекс]]),tblData[Индекс],0)),"")</f>
        <v/>
      </c>
      <c r="E296" t="b">
        <f>NOT(ISERROR(SEARCH(FILLING!$D$15,tblData[[#This Row],[ФО]])))</f>
        <v>0</v>
      </c>
      <c r="F296" s="267" t="str">
        <f>IF(tblData[[#This Row],[Статус2]],COUNTIF($E$2:tblData[[#This Row],[Статус2]],TRUE),"")</f>
        <v/>
      </c>
      <c r="G296" t="str">
        <f>IFERROR(INDEX(tblData[ФО],MATCH(ROWS($F$2:tblData[[#This Row],[Индекс2]]),tblData[Индекс2],0)),"")</f>
        <v/>
      </c>
    </row>
    <row r="297" spans="2:7" x14ac:dyDescent="0.35">
      <c r="B297" s="268" t="b">
        <f>NOT(ISERROR(SEARCH(FILLING!$D$11,tblData[[#This Row],[ФО]])))</f>
        <v>0</v>
      </c>
      <c r="C297" s="268" t="str">
        <f>IF(tblData[[#This Row],[Статус]],COUNTIF($B$2:tblData[[#This Row],[Статус]],TRUE),"")</f>
        <v/>
      </c>
      <c r="D297" s="269" t="str">
        <f>IFERROR(INDEX(tblData[ФО],MATCH(ROWS($C$2:tblData[[#This Row],[Индекс]]),tblData[Индекс],0)),"")</f>
        <v/>
      </c>
      <c r="E297" t="b">
        <f>NOT(ISERROR(SEARCH(FILLING!$D$15,tblData[[#This Row],[ФО]])))</f>
        <v>0</v>
      </c>
      <c r="F297" s="267" t="str">
        <f>IF(tblData[[#This Row],[Статус2]],COUNTIF($E$2:tblData[[#This Row],[Статус2]],TRUE),"")</f>
        <v/>
      </c>
      <c r="G297" t="str">
        <f>IFERROR(INDEX(tblData[ФО],MATCH(ROWS($F$2:tblData[[#This Row],[Индекс2]]),tblData[Индекс2],0)),"")</f>
        <v/>
      </c>
    </row>
    <row r="298" spans="2:7" x14ac:dyDescent="0.35">
      <c r="B298" s="268" t="b">
        <f>NOT(ISERROR(SEARCH(FILLING!$D$11,tblData[[#This Row],[ФО]])))</f>
        <v>0</v>
      </c>
      <c r="C298" s="268" t="str">
        <f>IF(tblData[[#This Row],[Статус]],COUNTIF($B$2:tblData[[#This Row],[Статус]],TRUE),"")</f>
        <v/>
      </c>
      <c r="D298" s="269" t="str">
        <f>IFERROR(INDEX(tblData[ФО],MATCH(ROWS($C$2:tblData[[#This Row],[Индекс]]),tblData[Индекс],0)),"")</f>
        <v/>
      </c>
      <c r="E298" t="b">
        <f>NOT(ISERROR(SEARCH(FILLING!$D$15,tblData[[#This Row],[ФО]])))</f>
        <v>0</v>
      </c>
      <c r="F298" s="267" t="str">
        <f>IF(tblData[[#This Row],[Статус2]],COUNTIF($E$2:tblData[[#This Row],[Статус2]],TRUE),"")</f>
        <v/>
      </c>
      <c r="G298" t="str">
        <f>IFERROR(INDEX(tblData[ФО],MATCH(ROWS($F$2:tblData[[#This Row],[Индекс2]]),tblData[Индекс2],0)),"")</f>
        <v/>
      </c>
    </row>
    <row r="299" spans="2:7" x14ac:dyDescent="0.35">
      <c r="B299" s="268" t="b">
        <f>NOT(ISERROR(SEARCH(FILLING!$D$11,tblData[[#This Row],[ФО]])))</f>
        <v>0</v>
      </c>
      <c r="C299" s="268" t="str">
        <f>IF(tblData[[#This Row],[Статус]],COUNTIF($B$2:tblData[[#This Row],[Статус]],TRUE),"")</f>
        <v/>
      </c>
      <c r="D299" s="269" t="str">
        <f>IFERROR(INDEX(tblData[ФО],MATCH(ROWS($C$2:tblData[[#This Row],[Индекс]]),tblData[Индекс],0)),"")</f>
        <v/>
      </c>
      <c r="E299" t="b">
        <f>NOT(ISERROR(SEARCH(FILLING!$D$15,tblData[[#This Row],[ФО]])))</f>
        <v>0</v>
      </c>
      <c r="F299" s="267" t="str">
        <f>IF(tblData[[#This Row],[Статус2]],COUNTIF($E$2:tblData[[#This Row],[Статус2]],TRUE),"")</f>
        <v/>
      </c>
      <c r="G299" t="str">
        <f>IFERROR(INDEX(tblData[ФО],MATCH(ROWS($F$2:tblData[[#This Row],[Индекс2]]),tblData[Индекс2],0)),"")</f>
        <v/>
      </c>
    </row>
    <row r="300" spans="2:7" x14ac:dyDescent="0.35">
      <c r="B300" s="268" t="b">
        <f>NOT(ISERROR(SEARCH(FILLING!$D$11,tblData[[#This Row],[ФО]])))</f>
        <v>0</v>
      </c>
      <c r="C300" s="268" t="str">
        <f>IF(tblData[[#This Row],[Статус]],COUNTIF($B$2:tblData[[#This Row],[Статус]],TRUE),"")</f>
        <v/>
      </c>
      <c r="D300" s="269" t="str">
        <f>IFERROR(INDEX(tblData[ФО],MATCH(ROWS($C$2:tblData[[#This Row],[Индекс]]),tblData[Индекс],0)),"")</f>
        <v/>
      </c>
      <c r="E300" t="b">
        <f>NOT(ISERROR(SEARCH(FILLING!$D$15,tblData[[#This Row],[ФО]])))</f>
        <v>0</v>
      </c>
      <c r="F300" s="267" t="str">
        <f>IF(tblData[[#This Row],[Статус2]],COUNTIF($E$2:tblData[[#This Row],[Статус2]],TRUE),"")</f>
        <v/>
      </c>
      <c r="G300" t="str">
        <f>IFERROR(INDEX(tblData[ФО],MATCH(ROWS($F$2:tblData[[#This Row],[Индекс2]]),tblData[Индекс2],0)),"")</f>
        <v/>
      </c>
    </row>
    <row r="301" spans="2:7" x14ac:dyDescent="0.35">
      <c r="B301" s="268" t="b">
        <f>NOT(ISERROR(SEARCH(FILLING!$D$11,tblData[[#This Row],[ФО]])))</f>
        <v>0</v>
      </c>
      <c r="C301" s="268" t="str">
        <f>IF(tblData[[#This Row],[Статус]],COUNTIF($B$2:tblData[[#This Row],[Статус]],TRUE),"")</f>
        <v/>
      </c>
      <c r="D301" s="269" t="str">
        <f>IFERROR(INDEX(tblData[ФО],MATCH(ROWS($C$2:tblData[[#This Row],[Индекс]]),tblData[Индекс],0)),"")</f>
        <v/>
      </c>
      <c r="E301" t="b">
        <f>NOT(ISERROR(SEARCH(FILLING!$D$15,tblData[[#This Row],[ФО]])))</f>
        <v>0</v>
      </c>
      <c r="F301" s="267" t="str">
        <f>IF(tblData[[#This Row],[Статус2]],COUNTIF($E$2:tblData[[#This Row],[Статус2]],TRUE),"")</f>
        <v/>
      </c>
      <c r="G301" t="str">
        <f>IFERROR(INDEX(tblData[ФО],MATCH(ROWS($F$2:tblData[[#This Row],[Индекс2]]),tblData[Индекс2],0)),"")</f>
        <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es">
    <tabColor rgb="FF7030A0"/>
  </sheetPr>
  <dimension ref="A1:R52"/>
  <sheetViews>
    <sheetView zoomScale="85" zoomScaleNormal="85" workbookViewId="0">
      <selection activeCell="G9" sqref="G9"/>
    </sheetView>
  </sheetViews>
  <sheetFormatPr defaultRowHeight="14.5" x14ac:dyDescent="0.35"/>
  <cols>
    <col min="1" max="1" width="15.453125" customWidth="1"/>
    <col min="2" max="2" width="16.08984375" style="4" customWidth="1"/>
    <col min="3" max="3" width="16.26953125" customWidth="1"/>
    <col min="4" max="4" width="13.81640625" customWidth="1"/>
    <col min="5" max="5" width="16.1796875" customWidth="1"/>
    <col min="6" max="6" width="14.1796875" customWidth="1"/>
    <col min="7" max="7" width="15.90625" customWidth="1"/>
    <col min="8" max="8" width="20" customWidth="1"/>
    <col min="9" max="9" width="12.36328125" customWidth="1"/>
    <col min="10" max="10" width="7.453125" customWidth="1"/>
    <col min="11" max="11" width="15.6328125" customWidth="1"/>
    <col min="12" max="12" width="17.81640625" customWidth="1"/>
    <col min="13" max="13" width="15.6328125" customWidth="1"/>
    <col min="14" max="14" width="6.36328125" customWidth="1"/>
    <col min="15" max="15" width="6.08984375" customWidth="1"/>
    <col min="16" max="16" width="8" customWidth="1"/>
    <col min="18" max="18" width="13.1796875" customWidth="1"/>
  </cols>
  <sheetData>
    <row r="1" spans="1:15" ht="15.5" customHeight="1" thickTop="1" thickBot="1" x14ac:dyDescent="0.4">
      <c r="A1" s="775" t="s">
        <v>0</v>
      </c>
      <c r="B1" s="776"/>
      <c r="C1" s="777" t="s">
        <v>6</v>
      </c>
      <c r="D1" s="778"/>
      <c r="E1" s="778"/>
      <c r="F1" s="779"/>
      <c r="J1" s="454" t="s">
        <v>5937</v>
      </c>
      <c r="K1" s="774" t="s">
        <v>42</v>
      </c>
      <c r="L1" s="774"/>
      <c r="M1" s="454" t="s">
        <v>615</v>
      </c>
      <c r="N1" s="454" t="s">
        <v>3959</v>
      </c>
      <c r="O1" s="454" t="s">
        <v>3960</v>
      </c>
    </row>
    <row r="2" spans="1:15" ht="15.5" customHeight="1" thickTop="1" thickBot="1" x14ac:dyDescent="0.4">
      <c r="A2" s="757" t="str">
        <f>IFERROR(INDEX(STATUS!A:K,MATCH("РЕШ шаблон",STATUS!K:K,0),1),"")</f>
        <v/>
      </c>
      <c r="B2" s="458" t="str">
        <f>IFERROR(INDEX(STATUS!A:K,MATCH("РЕШ шаблон",STATUS!K:K,0),3),"")</f>
        <v/>
      </c>
      <c r="C2" s="760" t="str">
        <f>IFERROR((INDEX(STATUS!A:K,MATCH("РЕШ шаблон",STATUS!K:K,0),6)),"")</f>
        <v/>
      </c>
      <c r="D2" s="761"/>
      <c r="E2" s="761"/>
      <c r="F2" s="762"/>
      <c r="H2" s="468" t="s">
        <v>925</v>
      </c>
      <c r="J2" s="465" t="str">
        <f>IF(ISBLANK(K2),"",IF(OR(K2=M$2,K2=M$3,K2=M$4,K2=M$5,K2=M$6,K2=M$7,K2=M$8,K2=M$9,K2=M$10,K2=M$11),"ОК","БР"))</f>
        <v/>
      </c>
      <c r="K2" s="27"/>
      <c r="L2" s="315"/>
      <c r="M2" s="27"/>
      <c r="N2" s="459"/>
      <c r="O2" s="460"/>
    </row>
    <row r="3" spans="1:15" ht="15.5" customHeight="1" thickTop="1" x14ac:dyDescent="0.35">
      <c r="A3" s="556"/>
      <c r="B3" s="556"/>
      <c r="C3" s="556"/>
      <c r="D3" s="556"/>
      <c r="E3" s="220"/>
      <c r="F3" s="220"/>
      <c r="H3" s="469">
        <f>IF(NOT(B13=""),IF(H4=FALSE,IF(B13&gt;DRAFT!AG3,DRAFT!AF3,DRAFT!AF2),IF(B13&gt;DRAFT!AG6,DRAFT!AF6,DRAFT!AF5)),0)</f>
        <v>0</v>
      </c>
      <c r="J3" s="466" t="str">
        <f t="shared" ref="J3:J11" si="0">IF(ISBLANK(K3),"",IF(OR(K3=M$2,K3=M$3,K3=M$4,K3=M$5,K3=M$6,K3=M$7,K3=M$8,K3=M$9,K3=M$10,K3=M$11),"ОК","БР"))</f>
        <v/>
      </c>
      <c r="K3" s="32"/>
      <c r="L3" s="316"/>
      <c r="M3" s="32"/>
      <c r="N3" s="461"/>
      <c r="O3" s="462"/>
    </row>
    <row r="4" spans="1:15" ht="15.5" customHeight="1" thickBot="1" x14ac:dyDescent="0.4">
      <c r="A4" s="556"/>
      <c r="B4" s="556"/>
      <c r="C4" s="556"/>
      <c r="D4" s="556"/>
      <c r="E4" s="556"/>
      <c r="F4" s="220"/>
      <c r="H4" t="b">
        <v>0</v>
      </c>
      <c r="J4" s="466" t="str">
        <f t="shared" si="0"/>
        <v/>
      </c>
      <c r="K4" s="32"/>
      <c r="L4" s="316"/>
      <c r="M4" s="32"/>
      <c r="N4" s="461"/>
      <c r="O4" s="462"/>
    </row>
    <row r="5" spans="1:15" ht="15.5" customHeight="1" thickTop="1" thickBot="1" x14ac:dyDescent="0.4">
      <c r="A5" s="780" t="s">
        <v>7</v>
      </c>
      <c r="B5" s="781"/>
      <c r="C5" s="781"/>
      <c r="D5" s="781"/>
      <c r="E5" s="781"/>
      <c r="F5" s="782"/>
      <c r="H5" s="532" t="str">
        <f>IFERROR(IF(OR(ISBLANK(B14),ISBLANK(B2)),"",IF((B2-(EDATE(B15,36)))&gt;=0,"СРОК ДАВНОСТИ","")),"")</f>
        <v/>
      </c>
      <c r="J5" s="466" t="str">
        <f t="shared" si="0"/>
        <v/>
      </c>
      <c r="K5" s="32"/>
      <c r="L5" s="316"/>
      <c r="M5" s="32"/>
      <c r="N5" s="461"/>
      <c r="O5" s="462"/>
    </row>
    <row r="6" spans="1:15" ht="15.5" customHeight="1" thickTop="1" thickBot="1" x14ac:dyDescent="0.4">
      <c r="A6" s="756" t="str">
        <f>IFERROR(INDEX(ФО!A:E,MATCH(C6,ФО!A:A,0),2),"")</f>
        <v/>
      </c>
      <c r="B6" s="216" t="str">
        <f>IFERROR(INDEX(ФО!A:E,MATCH(C6,ФО!A:A,0),5),"")</f>
        <v/>
      </c>
      <c r="C6" s="760" t="str">
        <f>IFERROR(INDEX(STATUS!A:K,MATCH("РЕШ шаблон",STATUS!K:K,0),7),"")</f>
        <v/>
      </c>
      <c r="D6" s="761"/>
      <c r="E6" s="761"/>
      <c r="F6" s="762"/>
      <c r="H6" s="533" t="str">
        <f>IF(ISBLANK(B12),"",IF((B14-B12)&gt;1095,"ИСКОВАЯ ДАВНОСТЬ",""))</f>
        <v/>
      </c>
      <c r="J6" s="466" t="str">
        <f t="shared" si="0"/>
        <v/>
      </c>
      <c r="K6" s="32"/>
      <c r="L6" s="316"/>
      <c r="M6" s="32"/>
      <c r="N6" s="461"/>
      <c r="O6" s="462"/>
    </row>
    <row r="7" spans="1:15" ht="15.5" customHeight="1" thickTop="1" x14ac:dyDescent="0.35">
      <c r="A7" s="763" t="str">
        <f>IFERROR(INDEX(ФО!A:E,MATCH(C6,ФО!A:A,0),3),"")</f>
        <v/>
      </c>
      <c r="B7" s="764"/>
      <c r="C7" s="764"/>
      <c r="D7" s="764"/>
      <c r="E7" s="764"/>
      <c r="F7" s="765"/>
      <c r="H7" s="4"/>
      <c r="J7" s="466" t="str">
        <f t="shared" si="0"/>
        <v/>
      </c>
      <c r="K7" s="32"/>
      <c r="L7" s="316"/>
      <c r="M7" s="32"/>
      <c r="N7" s="461"/>
      <c r="O7" s="462"/>
    </row>
    <row r="8" spans="1:15" ht="15.5" customHeight="1" x14ac:dyDescent="0.35">
      <c r="A8" s="763" t="str">
        <f>IFERROR(INDEX(ФО!A:E,MATCH(C6,ФО!A:A,0),4),"")</f>
        <v/>
      </c>
      <c r="B8" s="764"/>
      <c r="C8" s="764"/>
      <c r="D8" s="764"/>
      <c r="E8" s="764"/>
      <c r="F8" s="765"/>
      <c r="J8" s="466" t="str">
        <f t="shared" si="0"/>
        <v/>
      </c>
      <c r="K8" s="32"/>
      <c r="L8" s="316"/>
      <c r="M8" s="32"/>
      <c r="N8" s="461"/>
      <c r="O8" s="462"/>
    </row>
    <row r="9" spans="1:15" ht="15.5" customHeight="1" x14ac:dyDescent="0.35">
      <c r="I9" t="s">
        <v>151</v>
      </c>
      <c r="J9" s="466" t="str">
        <f t="shared" si="0"/>
        <v/>
      </c>
      <c r="K9" s="32"/>
      <c r="L9" s="316"/>
      <c r="M9" s="32"/>
      <c r="N9" s="461"/>
      <c r="O9" s="462"/>
    </row>
    <row r="10" spans="1:15" ht="15.5" customHeight="1" thickBot="1" x14ac:dyDescent="0.4">
      <c r="I10" t="s">
        <v>151</v>
      </c>
      <c r="J10" s="466" t="str">
        <f t="shared" si="0"/>
        <v/>
      </c>
      <c r="K10" s="32"/>
      <c r="L10" s="316"/>
      <c r="M10" s="32"/>
      <c r="N10" s="461"/>
      <c r="O10" s="462"/>
    </row>
    <row r="11" spans="1:15" ht="15.5" customHeight="1" thickTop="1" thickBot="1" x14ac:dyDescent="0.4">
      <c r="A11" s="478" t="s">
        <v>5940</v>
      </c>
      <c r="B11" s="485" t="s">
        <v>5</v>
      </c>
      <c r="C11" s="478" t="s">
        <v>5938</v>
      </c>
      <c r="D11" s="478" t="s">
        <v>5</v>
      </c>
      <c r="E11" s="478" t="s">
        <v>634</v>
      </c>
      <c r="F11" s="478" t="s">
        <v>660</v>
      </c>
      <c r="G11" s="478" t="s">
        <v>463</v>
      </c>
      <c r="H11" s="478" t="s">
        <v>5941</v>
      </c>
      <c r="I11" t="s">
        <v>151</v>
      </c>
      <c r="J11" s="467" t="str">
        <f t="shared" si="0"/>
        <v/>
      </c>
      <c r="K11" s="32"/>
      <c r="L11" s="317"/>
      <c r="M11" s="32"/>
      <c r="N11" s="463"/>
      <c r="O11" s="464"/>
    </row>
    <row r="12" spans="1:15" ht="15.5" thickTop="1" thickBot="1" x14ac:dyDescent="0.4">
      <c r="A12" s="479" t="s">
        <v>2209</v>
      </c>
      <c r="B12" s="480"/>
      <c r="C12" s="548"/>
      <c r="D12" s="481"/>
      <c r="E12" s="482"/>
      <c r="F12" s="483">
        <f>IF(B33&lt;&gt;"",MAX(D12-B35+1,0),IF(C12="Ущерб",MAX(D12-B$15+1,0),IF(C12=A$16,MAX(D12-B$17+1,0),IF(C12=A$18,MAX(D12-B$19+1,0),IF(C12=A$20,MAX(D12-B$21+1,0),0)))))</f>
        <v>0</v>
      </c>
      <c r="G12" s="484">
        <f t="shared" ref="G12:G21" si="1">E12*F12*0.01</f>
        <v>0</v>
      </c>
      <c r="H12" s="281" t="str">
        <f>IF(ISBLANK(G12),"",SUBSTITUTE(TEXT(G12,"# ##0\ рублей ,00\ копеек"),",",))</f>
        <v>0 рублей 00 копеек</v>
      </c>
      <c r="I12" t="s">
        <v>151</v>
      </c>
      <c r="K12" s="455" t="s">
        <v>47</v>
      </c>
      <c r="L12" s="116">
        <f>SUM(L2:L11)</f>
        <v>0</v>
      </c>
      <c r="N12" s="330"/>
    </row>
    <row r="13" spans="1:15" ht="15.5" thickTop="1" thickBot="1" x14ac:dyDescent="0.4">
      <c r="A13" s="476" t="s">
        <v>220</v>
      </c>
      <c r="B13" s="477"/>
      <c r="C13" s="549"/>
      <c r="D13" s="470"/>
      <c r="E13" s="471"/>
      <c r="F13" s="310">
        <f>IF(B33&lt;&gt;"",MAX(D13-B35+1,0),IF(C13="Ущерб",MAX(D13-B$15+1,0),IF(C13=A$16,MAX(D13-B$17+1,0),IF(C13=A$18,MAX(D13-B$19+1,0),IF(C13=A$20,MAX(D13-B$21+1,0),0)))))</f>
        <v>0</v>
      </c>
      <c r="G13" s="472">
        <f t="shared" si="1"/>
        <v>0</v>
      </c>
      <c r="H13" s="281" t="str">
        <f t="shared" ref="H13:H21" si="2">IF(ISBLANK(G13),"",SUBSTITUTE(TEXT(G13,"# ##0\ рублей ,00\ копеек"),",",))</f>
        <v>0 рублей 00 копеек</v>
      </c>
      <c r="I13" t="s">
        <v>151</v>
      </c>
      <c r="J13" s="330"/>
      <c r="K13" s="306" t="s">
        <v>648</v>
      </c>
      <c r="L13" s="314"/>
      <c r="M13" s="330"/>
    </row>
    <row r="14" spans="1:15" ht="15.5" thickTop="1" thickBot="1" x14ac:dyDescent="0.4">
      <c r="A14" s="474" t="s">
        <v>613</v>
      </c>
      <c r="B14" s="477"/>
      <c r="C14" s="549"/>
      <c r="D14" s="470"/>
      <c r="E14" s="471"/>
      <c r="F14" s="310">
        <f>IF(B33&lt;&gt;"",MAX(D14-B35+1,0),IF(C14="Ущерб",MAX(D14-B$15+1,0),IF(C14=A$16,MAX(D14-B$17+1,0),IF(C14=A$18,MAX(D14-B$19+1,0),IF(C14=A$20,MAX(D14-B$21+1,0),0)))))</f>
        <v>0</v>
      </c>
      <c r="G14" s="472">
        <f t="shared" si="1"/>
        <v>0</v>
      </c>
      <c r="H14" s="281" t="str">
        <f t="shared" si="2"/>
        <v>0 рублей 00 копеек</v>
      </c>
      <c r="I14" t="s">
        <v>151</v>
      </c>
      <c r="K14" s="306" t="s">
        <v>4181</v>
      </c>
      <c r="L14" s="380">
        <f>L13-L12</f>
        <v>0</v>
      </c>
    </row>
    <row r="15" spans="1:15" ht="15.5" thickTop="1" thickBot="1" x14ac:dyDescent="0.4">
      <c r="A15" s="475" t="s">
        <v>5939</v>
      </c>
      <c r="B15" s="329">
        <f>IF(WEEKDAY(WORKDAY.INTL(B14,20,"0000000",DRAFT!X2:X123),2)=6,WORKDAY.INTL(B14,20,"0000000",DRAFT!X2:X123)+2,IF(WEEKDAY(WORKDAY.INTL(B14,20,"0000000",DRAFT!X2:X123),2)=7,WORKDAY.INTL(B14,20,"0000000",DRAFT!X2:X123)+1,WORKDAY.INTL(B14,20,"0000000",DRAFT!X2:X123)))+1</f>
        <v>21</v>
      </c>
      <c r="C15" s="549"/>
      <c r="D15" s="470"/>
      <c r="E15" s="471"/>
      <c r="F15" s="310">
        <f>IF(B33&lt;&gt;"",MAX(D15-B35+1,0),IF(C15="Ущерб",MAX(D15-B$15+1,0),IF(C15=A$16,MAX(D15-B$17+1,0),IF(C15=A$18,MAX(D15-B$19+1,0),IF(C15=A$20,MAX(D15-B$21+1,0),0)))))</f>
        <v>0</v>
      </c>
      <c r="G15" s="472">
        <f t="shared" si="1"/>
        <v>0</v>
      </c>
      <c r="H15" s="281" t="str">
        <f t="shared" si="2"/>
        <v>0 рублей 00 копеек</v>
      </c>
      <c r="I15" t="s">
        <v>151</v>
      </c>
    </row>
    <row r="16" spans="1:15" ht="15" thickTop="1" x14ac:dyDescent="0.35">
      <c r="A16" s="486" t="s">
        <v>611</v>
      </c>
      <c r="B16" s="487"/>
      <c r="C16" s="549"/>
      <c r="D16" s="470"/>
      <c r="E16" s="471"/>
      <c r="F16" s="310">
        <f>IF(B33&lt;&gt;"",MAX(D16-B35+1,0),IF(C16="Ущерб",MAX(D16-B$15+1,0),IF(C16=A$16,MAX(D16-B$17+1,0),IF(C16=A$18,MAX(D16-B$19+1,0),IF(C16=A$20,MAX(D16-B$21+1,0),0)))))</f>
        <v>0</v>
      </c>
      <c r="G16" s="472">
        <f t="shared" si="1"/>
        <v>0</v>
      </c>
      <c r="H16" s="281" t="str">
        <f t="shared" si="2"/>
        <v>0 рублей 00 копеек</v>
      </c>
      <c r="I16" t="s">
        <v>151</v>
      </c>
    </row>
    <row r="17" spans="1:9" ht="15" thickBot="1" x14ac:dyDescent="0.4">
      <c r="A17" s="475" t="s">
        <v>5939</v>
      </c>
      <c r="B17" s="329">
        <f>IF(WEEKDAY(WORKDAY.INTL(B16,20,"0000000",DRAFT!X4:X125),2)=6,WORKDAY.INTL(B16,20,"0000000",DRAFT!X4:X125)+2,IF(WEEKDAY(WORKDAY.INTL(B16,20,"0000000",DRAFT!X4:X125),2)=7,WORKDAY.INTL(B16,20,"0000000",DRAFT!X4:X125)+1,WORKDAY.INTL(B16,20,"0000000",DRAFT!X4:X125)))+1</f>
        <v>21</v>
      </c>
      <c r="C17" s="550"/>
      <c r="D17" s="470"/>
      <c r="E17" s="471"/>
      <c r="F17" s="310">
        <f>IF(B33&lt;&gt;"",MAX(D17-B35+1,0),IF(C17="Ущерб",MAX(D17-B$15+1,0),IF(C17=A$16,MAX(D17-B$17+1,0),IF(C17=A$18,MAX(D17-B$19+1,0),IF(C17=A$20,MAX(D17-B$21+1,0),0)))))</f>
        <v>0</v>
      </c>
      <c r="G17" s="472">
        <f t="shared" si="1"/>
        <v>0</v>
      </c>
      <c r="H17" s="281" t="str">
        <f t="shared" si="2"/>
        <v>0 рублей 00 копеек</v>
      </c>
      <c r="I17" t="s">
        <v>151</v>
      </c>
    </row>
    <row r="18" spans="1:9" ht="15" thickTop="1" x14ac:dyDescent="0.35">
      <c r="A18" s="486" t="s">
        <v>1126</v>
      </c>
      <c r="B18" s="487"/>
      <c r="C18" s="550"/>
      <c r="D18" s="308"/>
      <c r="E18" s="311"/>
      <c r="F18" s="310">
        <f>IF(B33&lt;&gt;"",MAX(D18-B35+1,0),IF(C18="Ущерб",MAX(D18-B$15+1,0),IF(C18=A$16,MAX(D18-B$17+1,0),IF(C18=A$18,MAX(D18-B$19+1,0),IF(C18=A$20,MAX(D18-B$21+1,0),0)))))</f>
        <v>0</v>
      </c>
      <c r="G18" s="472">
        <f t="shared" si="1"/>
        <v>0</v>
      </c>
      <c r="H18" s="281" t="str">
        <f t="shared" si="2"/>
        <v>0 рублей 00 копеек</v>
      </c>
      <c r="I18" t="s">
        <v>151</v>
      </c>
    </row>
    <row r="19" spans="1:9" ht="15" thickBot="1" x14ac:dyDescent="0.4">
      <c r="A19" s="475" t="s">
        <v>5939</v>
      </c>
      <c r="B19" s="329">
        <f>IF(WEEKDAY(WORKDAY.INTL(B18,20,"0000000",DRAFT!X6:X127),2)=6,WORKDAY.INTL(B18,20,"0000000",DRAFT!X6:X127)+2,IF(WEEKDAY(WORKDAY.INTL(B18,20,"0000000",DRAFT!X6:X127),2)=7,WORKDAY.INTL(B18,20,"0000000",DRAFT!X6:X127)+1,WORKDAY.INTL(B18,20,"0000000",DRAFT!X6:X127)))+1</f>
        <v>21</v>
      </c>
      <c r="C19" s="551"/>
      <c r="D19" s="539"/>
      <c r="E19" s="540"/>
      <c r="F19" s="541">
        <f>IF(B33&lt;&gt;"",MAX(D19-B35+1,0),IF(C19="Ущерб",MAX(D19-B$15+1,0),IF(C19=A$16,MAX(D19-B$17+1,0),IF(C19=A$18,MAX(D19-B$19+1,0),IF(C19=A$20,MAX(D19-B$21+1,0),0)))))</f>
        <v>0</v>
      </c>
      <c r="G19" s="518">
        <f t="shared" si="1"/>
        <v>0</v>
      </c>
      <c r="H19" s="281" t="str">
        <f t="shared" si="2"/>
        <v>0 рублей 00 копеек</v>
      </c>
      <c r="I19" t="s">
        <v>151</v>
      </c>
    </row>
    <row r="20" spans="1:9" ht="15" thickTop="1" x14ac:dyDescent="0.35">
      <c r="A20" s="486" t="s">
        <v>5194</v>
      </c>
      <c r="B20" s="487"/>
      <c r="C20" s="552"/>
      <c r="D20" s="547"/>
      <c r="E20" s="542"/>
      <c r="F20" s="543">
        <f>IF(B33&lt;&gt;"",MAX(B31-B35,0),MAX(B31-B15,0))</f>
        <v>0</v>
      </c>
      <c r="G20" s="513">
        <f t="shared" si="1"/>
        <v>0</v>
      </c>
      <c r="H20" s="544" t="str">
        <f t="shared" si="2"/>
        <v>0 рублей 00 копеек</v>
      </c>
      <c r="I20" t="s">
        <v>151</v>
      </c>
    </row>
    <row r="21" spans="1:9" ht="15" thickBot="1" x14ac:dyDescent="0.4">
      <c r="A21" s="475" t="s">
        <v>5939</v>
      </c>
      <c r="B21" s="538">
        <f>IF(WEEKDAY(WORKDAY.INTL(B20,20,"0000000",DRAFT!X8:X129),2)=6,WORKDAY.INTL(B20,20,"0000000",DRAFT!X8:X129)+2,IF(WEEKDAY(WORKDAY.INTL(B20,20,"0000000",DRAFT!X8:X129),2)=7,WORKDAY.INTL(B20,20,"0000000",DRAFT!X8:X129)+1,WORKDAY.INTL(B20,20,"0000000",DRAFT!X8:X129)))+1</f>
        <v>21</v>
      </c>
      <c r="C21" s="553"/>
      <c r="D21" s="545"/>
      <c r="E21" s="546"/>
      <c r="F21" s="488">
        <f>D21-B32</f>
        <v>0</v>
      </c>
      <c r="G21" s="489">
        <f t="shared" si="1"/>
        <v>0</v>
      </c>
      <c r="H21" s="490" t="str">
        <f t="shared" si="2"/>
        <v>0 рублей 00 копеек</v>
      </c>
      <c r="I21" t="s">
        <v>151</v>
      </c>
    </row>
    <row r="22" spans="1:9" ht="15" thickTop="1" x14ac:dyDescent="0.35">
      <c r="A22" s="474" t="s">
        <v>5931</v>
      </c>
      <c r="B22" s="473"/>
      <c r="C22" s="495" t="s">
        <v>1255</v>
      </c>
      <c r="D22" s="766">
        <f>SUMIFS(E$12:E$21,C$12:C$21,C22)</f>
        <v>0</v>
      </c>
      <c r="E22" s="767"/>
      <c r="F22" s="770">
        <f>SUMIFS(G$12:G$21,C$12:C$21,C22)</f>
        <v>0</v>
      </c>
      <c r="G22" s="771"/>
      <c r="H22" s="492" t="str">
        <f>IF(ISBLANK(F22),"",SUBSTITUTE(TEXT(F22,"# ##0\ рублей ,00\ копеек"),",",))</f>
        <v>0 рублей 00 копеек</v>
      </c>
      <c r="I22" t="s">
        <v>151</v>
      </c>
    </row>
    <row r="23" spans="1:9" x14ac:dyDescent="0.35">
      <c r="A23" s="524" t="b">
        <v>0</v>
      </c>
      <c r="B23" s="525" t="str">
        <f>IF(ISBLANK(B22),"",IF(A23,IF((B22-B14)&gt;0,"LATE","NORM"),IF((B22-B14)&gt;3,"LATE","NORM")))</f>
        <v/>
      </c>
      <c r="C23" s="496" t="s">
        <v>611</v>
      </c>
      <c r="D23" s="768">
        <f>SUMIFS(E$12:E$21,C$12:C$21,C23)</f>
        <v>0</v>
      </c>
      <c r="E23" s="769"/>
      <c r="F23" s="772">
        <f>SUMIFS(G$12:G$21,C$12:C$21,C23)</f>
        <v>0</v>
      </c>
      <c r="G23" s="773"/>
      <c r="H23" s="493" t="str">
        <f>IF(ISBLANK(F23),"",SUBSTITUTE(TEXT(F23,"# ##0\ рублей ,00\ копеек"),",",))</f>
        <v>0 рублей 00 копеек</v>
      </c>
      <c r="I23" t="s">
        <v>151</v>
      </c>
    </row>
    <row r="24" spans="1:9" ht="15" thickBot="1" x14ac:dyDescent="0.4">
      <c r="A24" s="526" t="s">
        <v>5932</v>
      </c>
      <c r="B24" s="527"/>
      <c r="C24" s="496" t="s">
        <v>1126</v>
      </c>
      <c r="D24" s="768">
        <f>SUMIFS(E$12:E$21,C$12:C$21,C24)</f>
        <v>0</v>
      </c>
      <c r="E24" s="769"/>
      <c r="F24" s="772">
        <f>SUMIFS(G$12:G$21,C$12:C$21,C24)</f>
        <v>0</v>
      </c>
      <c r="G24" s="773"/>
      <c r="H24" s="493" t="str">
        <f>IF(ISBLANK(F24),"",SUBSTITUTE(TEXT(F24,"# ##0\ рублей ,00\ копеек"),",",))</f>
        <v>0 рублей 00 копеек</v>
      </c>
    </row>
    <row r="25" spans="1:9" ht="15.5" thickTop="1" thickBot="1" x14ac:dyDescent="0.4">
      <c r="A25" s="307" t="s">
        <v>5933</v>
      </c>
      <c r="B25" s="528"/>
      <c r="C25" s="476" t="s">
        <v>5194</v>
      </c>
      <c r="D25" s="783">
        <f>SUMIFS(E$12:E$21,C$12:C$21,C25)</f>
        <v>0</v>
      </c>
      <c r="E25" s="784"/>
      <c r="F25" s="786">
        <f>SUMIFS(G$12:G$21,C$12:C$21,C25)</f>
        <v>0</v>
      </c>
      <c r="G25" s="787"/>
      <c r="H25" s="494" t="str">
        <f>IF(ISBLANK(F25),"",SUBSTITUTE(TEXT(F25,"# ##0\ рублей ,00\ копеек"),",",))</f>
        <v>0 рублей 00 копеек</v>
      </c>
    </row>
    <row r="26" spans="1:9" ht="15.5" thickTop="1" thickBot="1" x14ac:dyDescent="0.4">
      <c r="A26" s="312" t="s">
        <v>5934</v>
      </c>
      <c r="B26" s="529"/>
      <c r="C26" s="271" t="s">
        <v>5942</v>
      </c>
      <c r="D26" s="504"/>
      <c r="E26" s="509" t="s">
        <v>648</v>
      </c>
      <c r="F26" s="788">
        <f>SUM(F22:G25)</f>
        <v>0</v>
      </c>
      <c r="G26" s="789"/>
      <c r="H26" s="491" t="str">
        <f>IF(ISBLANK(F26),"",SUBSTITUTE(TEXT(F26,"# ##0\ рублей ,00\ копеек"),",",))</f>
        <v>0 рублей 00 копеек</v>
      </c>
      <c r="I26" t="s">
        <v>151</v>
      </c>
    </row>
    <row r="27" spans="1:9" ht="15.5" thickTop="1" thickBot="1" x14ac:dyDescent="0.4">
      <c r="A27" s="312" t="s">
        <v>5935</v>
      </c>
      <c r="B27" s="529"/>
      <c r="C27" s="272" t="s">
        <v>5943</v>
      </c>
      <c r="D27" s="505"/>
      <c r="E27" s="510">
        <f>IF(D26&gt;D28,D28-D29,0)</f>
        <v>0</v>
      </c>
      <c r="F27" s="508"/>
      <c r="G27" s="472">
        <f>IF(E31,(F27*100/87)*13/100,0)</f>
        <v>0</v>
      </c>
      <c r="H27" s="535">
        <f>SUM(F27:G27)</f>
        <v>0</v>
      </c>
    </row>
    <row r="28" spans="1:9" ht="15.5" thickTop="1" thickBot="1" x14ac:dyDescent="0.4">
      <c r="A28" s="313" t="s">
        <v>5934</v>
      </c>
      <c r="B28" s="530"/>
      <c r="C28" s="272" t="s">
        <v>609</v>
      </c>
      <c r="D28" s="506"/>
      <c r="E28" s="509" t="s">
        <v>722</v>
      </c>
      <c r="F28" s="508"/>
      <c r="G28" s="472">
        <f>IF(E31,(F28*100/87)*13/100,0)</f>
        <v>0</v>
      </c>
      <c r="H28" s="516">
        <f>SUM(F28:G28)</f>
        <v>0</v>
      </c>
    </row>
    <row r="29" spans="1:9" ht="15" thickTop="1" x14ac:dyDescent="0.35">
      <c r="A29" s="531" t="s">
        <v>670</v>
      </c>
      <c r="B29" s="473"/>
      <c r="C29" s="272" t="s">
        <v>5944</v>
      </c>
      <c r="D29" s="506"/>
      <c r="E29" s="511">
        <f>IF(D31,IF(E27=0,D27,E27)/2,IF(E27=0,D27,E27))</f>
        <v>0</v>
      </c>
      <c r="F29" s="508"/>
      <c r="G29" s="472">
        <f>IF(E31,(F29*100/87)*13/100,0)</f>
        <v>0</v>
      </c>
      <c r="H29" s="516">
        <f>SUM(F29:G29)</f>
        <v>0</v>
      </c>
      <c r="I29" t="s">
        <v>151</v>
      </c>
    </row>
    <row r="30" spans="1:9" ht="15" thickBot="1" x14ac:dyDescent="0.4">
      <c r="A30" s="526" t="s">
        <v>5936</v>
      </c>
      <c r="B30" s="527"/>
      <c r="C30" s="273" t="s">
        <v>611</v>
      </c>
      <c r="D30" s="507"/>
      <c r="E30" s="592">
        <f>IFERROR(IF(NOT(E27=0),"",IF(ROUND((D27-D22)/D22,0)&lt;0,"Больше",ROUND((E29-D22)/D22,5))),0)</f>
        <v>0</v>
      </c>
      <c r="F30" s="499">
        <f>SUM(F27:F29)</f>
        <v>0</v>
      </c>
      <c r="G30" s="472">
        <f>SUM(G27:G29)</f>
        <v>0</v>
      </c>
      <c r="H30" s="536">
        <f>SUM(H27:H29)</f>
        <v>0</v>
      </c>
    </row>
    <row r="31" spans="1:9" ht="15.5" thickTop="1" thickBot="1" x14ac:dyDescent="0.4">
      <c r="A31" s="534" t="s">
        <v>5948</v>
      </c>
      <c r="B31" s="473"/>
      <c r="D31" t="b">
        <v>0</v>
      </c>
      <c r="E31" t="b">
        <v>0</v>
      </c>
      <c r="F31" s="478" t="s">
        <v>660</v>
      </c>
      <c r="G31" s="478" t="s">
        <v>1256</v>
      </c>
      <c r="H31" s="478" t="s">
        <v>5941</v>
      </c>
    </row>
    <row r="32" spans="1:9" ht="15.5" thickTop="1" thickBot="1" x14ac:dyDescent="0.4">
      <c r="A32" s="526" t="s">
        <v>5949</v>
      </c>
      <c r="B32" s="537"/>
      <c r="C32" s="43" t="s">
        <v>2008</v>
      </c>
      <c r="D32" s="43" t="s">
        <v>4554</v>
      </c>
      <c r="F32" s="512">
        <f>MAX(MIN(B30,B29,D12)-B15+1,0)</f>
        <v>0</v>
      </c>
      <c r="G32" s="513">
        <f>MAX(H3*0.0005*F32,0)</f>
        <v>0</v>
      </c>
      <c r="H32" s="514" t="str">
        <f t="shared" ref="H32" si="3">IF(ISBLANK(G32),"",SUBSTITUTE(TEXT(G32,"# ##0\ рублей ,00\ копеек"),",",))</f>
        <v>0 рублей 00 копеек</v>
      </c>
      <c r="I32" t="s">
        <v>151</v>
      </c>
    </row>
    <row r="33" spans="1:12" ht="15" thickTop="1" x14ac:dyDescent="0.35">
      <c r="A33" s="531" t="s">
        <v>663</v>
      </c>
      <c r="B33" s="473"/>
      <c r="C33" s="256"/>
      <c r="D33" s="555"/>
      <c r="F33" s="515"/>
      <c r="G33" s="472">
        <f>IF(E31,(F33*100/87)*13/100,0)</f>
        <v>0</v>
      </c>
      <c r="H33" s="516">
        <f>SUM(F33:G33)</f>
        <v>0</v>
      </c>
    </row>
    <row r="34" spans="1:12" ht="15" thickBot="1" x14ac:dyDescent="0.4">
      <c r="A34" s="564" t="s">
        <v>660</v>
      </c>
      <c r="B34" s="565"/>
      <c r="C34" s="353">
        <f>IF(C35="",0,IF(AND(C35&gt;DRAFT!U4,C35&lt;DRAFT!U3),IFERROR(INDEX(DRAFT!T:T,MATCH(C33,DRAFT!Q:Q,0),1),0),IF(AND(C35&gt;DRAFT!U5,C35&lt;DRAFT!U4),IFERROR(INDEX(DRAFT!AI:AI,MATCH(C33,DRAFT!Q:Q,0),1),0),IF(C35&gt;DRAFT!U3,"НЕ ПОЛОЖЕНО",IFERROR(INDEX(DRAFT!AI:AI,MATCH(C33,DRAFT!Q:Q,0),1),0)))))</f>
        <v>0</v>
      </c>
      <c r="D34" s="554">
        <f>D33*500000</f>
        <v>0</v>
      </c>
      <c r="F34" s="517"/>
      <c r="G34" s="518">
        <f>IF(E31,(F34*100/87)*13/100,0)</f>
        <v>0</v>
      </c>
      <c r="H34" s="519">
        <f>SUM(F34:G34)</f>
        <v>0</v>
      </c>
    </row>
    <row r="35" spans="1:12" ht="15.5" thickTop="1" thickBot="1" x14ac:dyDescent="0.4">
      <c r="A35" s="563" t="s">
        <v>5939</v>
      </c>
      <c r="B35" s="329">
        <f>WORKDAY(B33,B34)+1</f>
        <v>1</v>
      </c>
      <c r="C35" s="477"/>
      <c r="F35" s="520">
        <f>SUM(F33:F34)</f>
        <v>0</v>
      </c>
      <c r="G35" s="521">
        <f>SUM(G32:G34)</f>
        <v>0</v>
      </c>
      <c r="H35" s="522">
        <f>SUM(H32:H34)</f>
        <v>0</v>
      </c>
    </row>
    <row r="36" spans="1:12" ht="15" thickTop="1" x14ac:dyDescent="0.35">
      <c r="C36" s="4"/>
      <c r="I36" t="s">
        <v>151</v>
      </c>
    </row>
    <row r="37" spans="1:12" ht="15" thickBot="1" x14ac:dyDescent="0.4">
      <c r="I37" t="s">
        <v>151</v>
      </c>
    </row>
    <row r="38" spans="1:12" ht="15.5" thickTop="1" thickBot="1" x14ac:dyDescent="0.4">
      <c r="B38" s="497"/>
      <c r="C38" s="785" t="s">
        <v>5945</v>
      </c>
      <c r="D38" s="785"/>
      <c r="E38" s="785" t="s">
        <v>5946</v>
      </c>
      <c r="F38" s="785"/>
      <c r="G38" s="790" t="s">
        <v>815</v>
      </c>
      <c r="H38" s="791"/>
      <c r="I38" s="792"/>
    </row>
    <row r="39" spans="1:12" ht="15" thickTop="1" x14ac:dyDescent="0.35">
      <c r="B39" s="501" t="s">
        <v>1255</v>
      </c>
      <c r="C39" s="498">
        <f>IF(D33="",E29,D34)</f>
        <v>0</v>
      </c>
      <c r="D39" s="281" t="str">
        <f t="shared" ref="D39:H43" si="4">IF(ISBLANK(C39),"",SUBSTITUTE(TEXT(C39,"# ##0\ рублей ,00\ копеек"),",",))</f>
        <v>0 рублей 00 копеек</v>
      </c>
      <c r="E39" s="484">
        <f>D22</f>
        <v>0</v>
      </c>
      <c r="F39" s="281" t="str">
        <f t="shared" si="4"/>
        <v>0 рублей 00 копеек</v>
      </c>
      <c r="G39" s="484">
        <f>MAX(C39-E39,0)</f>
        <v>0</v>
      </c>
      <c r="H39" s="281" t="str">
        <f t="shared" si="4"/>
        <v>0 рублей 00 копеек</v>
      </c>
      <c r="I39" s="560" t="str">
        <f>SUBSTITUTE(TEXT(INT(G39),"# ##0"),",",)&amp;" ("&amp;LOWER(TRIM(SUBSTITUTE(PROPER(INDEX(n_4,MID(TEXT(SUBSTITUTE(TEXT(INT(G39),"# ##0"),",",),n0),1,1)+1)&amp;INDEX(n0x,MID(TEXT(SUBSTITUTE(TEXT(INT(G39),"# ##0"),",",),n0),2,1)+1,MID(TEXT(SUBSTITUTE(TEXT(INT(G39),"# ##0"),",",),n0),3,1)+1)&amp;IF(-MID(TEXT(SUBSTITUTE(TEXT(INT(G39),"# ##0"),",",),n0),1,3),"миллиард"&amp;VLOOKUP(MID(TEXT(SUBSTITUTE(TEXT(INT(G39),"# ##0"),",",),n0),3,1)*AND(MID(TEXT(SUBSTITUTE(TEXT(INT(G39),"# ##0"),",",),n0),2,1)-1),мил,2),"")&amp;INDEX(n_4,MID(TEXT(SUBSTITUTE(TEXT(INT(G39),"# ##0"),",",),n0),4,1)+1)&amp;INDEX(n0x,MID(TEXT(SUBSTITUTE(TEXT(INT(G39),"# ##0"),",",),n0),5,1)+1,MID(TEXT(SUBSTITUTE(TEXT(INT(G39),"# ##0"),",",),n0),6,1)+1)&amp;IF(-MID(TEXT(SUBSTITUTE(TEXT(INT(G39),"# ##0"),",",),n0),4,3),"миллион"&amp;VLOOKUP(MID(TEXT(SUBSTITUTE(TEXT(INT(G39),"# ##0"),",",),n0),6,1)*AND(MID(TEXT(SUBSTITUTE(TEXT(INT(G39),"# ##0"),",",),n0),5,1)-1),мил,2),"")&amp;INDEX(n_4,MID(TEXT(SUBSTITUTE(TEXT(INT(G39),"# ##0"),",",),n0),7,1)+1)&amp;INDEX(n1x,MID(TEXT(SUBSTITUTE(TEXT(INT(G39),"# ##0"),",",),n0),8,1)+1,MID(TEXT(SUBSTITUTE(TEXT(INT(G39),"# ##0"),",",),n0),9,1)+1)&amp;IF(-MID(TEXT(SUBSTITUTE(TEXT(INT(G39),"# ##0"),",",),n0),7,3),VLOOKUP(MID(TEXT(SUBSTITUTE(TEXT(INT(G39),"# ##0"),",",),n0),9,1)*AND(MID(TEXT(SUBSTITUTE(TEXT(INT(G39),"# ##0"),",",),n0),8,1)-1),тыс,2),"")&amp;INDEX(n_4,MID(TEXT(SUBSTITUTE(TEXT(INT(G39),"# ##0"),",",),n0),10,1)+1)&amp;INDEX(IF(-MID(TEXT(SUBSTITUTE(TEXT(INT(G39),"# ##0"),",",),n0),14,6),n1x,n0x),MID(TEXT(SUBSTITUTE(TEXT(INT(G39),"# ##0"),",",),n0),11,1)+1,MID(TEXT(SUBSTITUTE(TEXT(INT(G39),"# ##0"),",",),n0),12,1)+1)),"z"," ")&amp;IF(TRUNC(TEXT(SUBSTITUTE(TEXT(INT(G39),"# ##0"),",",),n0)),,"Ноль ")&amp;IF(-MID(TEXT(SUBSTITUTE(TEXT(INT(G39),"# ##0"),",",),n0),14,6),IF(MOD(MAX(MOD(MID(TEXT(SUBSTITUTE(TEXT(INT(G39),"# ##0"),",",),n0),11,2)-11,100),9),10),"целых ","целая ")&amp;SUBSTITUTE(INDEX(n_4,MID(TEXT(SUBSTITUTE(TEXT(INT(G39),"# ##0"),",",),n0),14,6)/10^5+1)&amp;INDEX(n1x,MOD(MID(TEXT(SUBSTITUTE(TEXT(INT(G39),"# ##0"),",",),n0),14,6)/10^4,10)+1,MOD(MID(TEXT(SUBSTITUTE(TEXT(INT(G39),"# ##0"),",",),n0),14,6)/1000,10)+1)&amp;IF(INT(MID(TEXT(SUBSTITUTE(TEXT(INT(G39),"# ##0"),",",),n0),14,6)/1000),VLOOKUP(MOD(MID(TEXT(SUBSTITUTE(TEXT(INT(G39),"# ##0"),",",),n0),14,6)/1000,10)*(MOD(INT(MID(TEXT(SUBSTITUTE(TEXT(INT(G39),"# ##0"),",",),n0),14,6)/10^4),10)&lt;&gt;1),тыс,2),"")&amp;INDEX(n_4,MOD(MID(TEXT(SUBSTITUTE(TEXT(INT(G39),"# ##0"),",",),n0),14,6)/100,10)+1)&amp;INDEX(n1x,MOD(MID(TEXT(SUBSTITUTE(TEXT(INT(G39),"# ##0"),",",),n0),14,6)/10,10)+1,MOD(MID(TEXT(SUBSTITUTE(TEXT(INT(G39),"# ##0"),",",),n0),14,6),10)+1),"z"," ")&amp;INDEX(доля,LEN(MID(TEXT(SUBSTITUTE(TEXT(INT(G39),"# ##0"),",",),n0),14,6)),(MOD(MAX(MOD(MID(TEXT(SUBSTITUTE(TEXT(INT(G39),"# ##0"),",",),n0),14,6)-11,100),9),10)&gt;0)+1),)))&amp;")"&amp;" "&amp;SUBSTITUTE(TEXT(ROUND((G39-SUBSTITUTE(TEXT(INT(G39),"# ##0"),",",))*100,2),"00"),",",)&amp;" копеек"</f>
        <v>0 (ноль) 00 копеек</v>
      </c>
      <c r="J39" t="s">
        <v>151</v>
      </c>
      <c r="L39" s="51"/>
    </row>
    <row r="40" spans="1:12" x14ac:dyDescent="0.35">
      <c r="B40" s="502" t="s">
        <v>611</v>
      </c>
      <c r="C40" s="499">
        <f>D30</f>
        <v>0</v>
      </c>
      <c r="D40" s="281" t="str">
        <f t="shared" si="4"/>
        <v>0 рублей 00 копеек</v>
      </c>
      <c r="E40" s="472">
        <f>D23</f>
        <v>0</v>
      </c>
      <c r="F40" s="281" t="str">
        <f t="shared" si="4"/>
        <v>0 рублей 00 копеек</v>
      </c>
      <c r="G40" s="472">
        <f>MAX(C40-E40,0)</f>
        <v>0</v>
      </c>
      <c r="H40" s="281" t="str">
        <f t="shared" si="4"/>
        <v>0 рублей 00 копеек</v>
      </c>
      <c r="I40" s="561" t="str">
        <f>SUBSTITUTE(TEXT(INT(G40),"# ##0"),",",)&amp;" ("&amp;LOWER(TRIM(SUBSTITUTE(PROPER(INDEX(n_4,MID(TEXT(SUBSTITUTE(TEXT(INT(G40),"# ##0"),",",),n0),1,1)+1)&amp;INDEX(n0x,MID(TEXT(SUBSTITUTE(TEXT(INT(G40),"# ##0"),",",),n0),2,1)+1,MID(TEXT(SUBSTITUTE(TEXT(INT(G40),"# ##0"),",",),n0),3,1)+1)&amp;IF(-MID(TEXT(SUBSTITUTE(TEXT(INT(G40),"# ##0"),",",),n0),1,3),"миллиард"&amp;VLOOKUP(MID(TEXT(SUBSTITUTE(TEXT(INT(G40),"# ##0"),",",),n0),3,1)*AND(MID(TEXT(SUBSTITUTE(TEXT(INT(G40),"# ##0"),",",),n0),2,1)-1),мил,2),"")&amp;INDEX(n_4,MID(TEXT(SUBSTITUTE(TEXT(INT(G40),"# ##0"),",",),n0),4,1)+1)&amp;INDEX(n0x,MID(TEXT(SUBSTITUTE(TEXT(INT(G40),"# ##0"),",",),n0),5,1)+1,MID(TEXT(SUBSTITUTE(TEXT(INT(G40),"# ##0"),",",),n0),6,1)+1)&amp;IF(-MID(TEXT(SUBSTITUTE(TEXT(INT(G40),"# ##0"),",",),n0),4,3),"миллион"&amp;VLOOKUP(MID(TEXT(SUBSTITUTE(TEXT(INT(G40),"# ##0"),",",),n0),6,1)*AND(MID(TEXT(SUBSTITUTE(TEXT(INT(G40),"# ##0"),",",),n0),5,1)-1),мил,2),"")&amp;INDEX(n_4,MID(TEXT(SUBSTITUTE(TEXT(INT(G40),"# ##0"),",",),n0),7,1)+1)&amp;INDEX(n1x,MID(TEXT(SUBSTITUTE(TEXT(INT(G40),"# ##0"),",",),n0),8,1)+1,MID(TEXT(SUBSTITUTE(TEXT(INT(G40),"# ##0"),",",),n0),9,1)+1)&amp;IF(-MID(TEXT(SUBSTITUTE(TEXT(INT(G40),"# ##0"),",",),n0),7,3),VLOOKUP(MID(TEXT(SUBSTITUTE(TEXT(INT(G40),"# ##0"),",",),n0),9,1)*AND(MID(TEXT(SUBSTITUTE(TEXT(INT(G40),"# ##0"),",",),n0),8,1)-1),тыс,2),"")&amp;INDEX(n_4,MID(TEXT(SUBSTITUTE(TEXT(INT(G40),"# ##0"),",",),n0),10,1)+1)&amp;INDEX(IF(-MID(TEXT(SUBSTITUTE(TEXT(INT(G40),"# ##0"),",",),n0),14,6),n1x,n0x),MID(TEXT(SUBSTITUTE(TEXT(INT(G40),"# ##0"),",",),n0),11,1)+1,MID(TEXT(SUBSTITUTE(TEXT(INT(G40),"# ##0"),",",),n0),12,1)+1)),"z"," ")&amp;IF(TRUNC(TEXT(SUBSTITUTE(TEXT(INT(G40),"# ##0"),",",),n0)),,"Ноль ")&amp;IF(-MID(TEXT(SUBSTITUTE(TEXT(INT(G40),"# ##0"),",",),n0),14,6),IF(MOD(MAX(MOD(MID(TEXT(SUBSTITUTE(TEXT(INT(G40),"# ##0"),",",),n0),11,2)-11,100),9),10),"целых ","целая ")&amp;SUBSTITUTE(INDEX(n_4,MID(TEXT(SUBSTITUTE(TEXT(INT(G40),"# ##0"),",",),n0),14,6)/10^5+1)&amp;INDEX(n1x,MOD(MID(TEXT(SUBSTITUTE(TEXT(INT(G40),"# ##0"),",",),n0),14,6)/10^4,10)+1,MOD(MID(TEXT(SUBSTITUTE(TEXT(INT(G40),"# ##0"),",",),n0),14,6)/1000,10)+1)&amp;IF(INT(MID(TEXT(SUBSTITUTE(TEXT(INT(G40),"# ##0"),",",),n0),14,6)/1000),VLOOKUP(MOD(MID(TEXT(SUBSTITUTE(TEXT(INT(G40),"# ##0"),",",),n0),14,6)/1000,10)*(MOD(INT(MID(TEXT(SUBSTITUTE(TEXT(INT(G40),"# ##0"),",",),n0),14,6)/10^4),10)&lt;&gt;1),тыс,2),"")&amp;INDEX(n_4,MOD(MID(TEXT(SUBSTITUTE(TEXT(INT(G40),"# ##0"),",",),n0),14,6)/100,10)+1)&amp;INDEX(n1x,MOD(MID(TEXT(SUBSTITUTE(TEXT(INT(G40),"# ##0"),",",),n0),14,6)/10,10)+1,MOD(MID(TEXT(SUBSTITUTE(TEXT(INT(G40),"# ##0"),",",),n0),14,6),10)+1),"z"," ")&amp;INDEX(доля,LEN(MID(TEXT(SUBSTITUTE(TEXT(INT(G40),"# ##0"),",",),n0),14,6)),(MOD(MAX(MOD(MID(TEXT(SUBSTITUTE(TEXT(INT(G40),"# ##0"),",",),n0),14,6)-11,100),9),10)&gt;0)+1),)))&amp;")"&amp;" "&amp;SUBSTITUTE(TEXT(ROUND((G40-SUBSTITUTE(TEXT(INT(G40),"# ##0"),",",))*100,2),"00"),",",)&amp;" копеек"</f>
        <v>0 (ноль) 00 копеек</v>
      </c>
      <c r="J40" t="s">
        <v>151</v>
      </c>
    </row>
    <row r="41" spans="1:12" x14ac:dyDescent="0.35">
      <c r="B41" s="502" t="s">
        <v>463</v>
      </c>
      <c r="C41" s="499">
        <f>IF(F26&gt;H3,H3,F26)</f>
        <v>0</v>
      </c>
      <c r="D41" s="281" t="str">
        <f t="shared" si="4"/>
        <v>0 рублей 00 копеек</v>
      </c>
      <c r="E41" s="472">
        <f>H30</f>
        <v>0</v>
      </c>
      <c r="F41" s="281" t="str">
        <f t="shared" si="4"/>
        <v>0 рублей 00 копеек</v>
      </c>
      <c r="G41" s="472">
        <f t="shared" ref="G41:G42" si="5">MAX(C41-E41,0)</f>
        <v>0</v>
      </c>
      <c r="H41" s="281" t="str">
        <f t="shared" si="4"/>
        <v>0 рублей 00 копеек</v>
      </c>
      <c r="I41" s="561" t="str">
        <f>SUBSTITUTE(TEXT(INT(G41),"# ##0"),",",)&amp;" ("&amp;LOWER(TRIM(SUBSTITUTE(PROPER(INDEX(n_4,MID(TEXT(SUBSTITUTE(TEXT(INT(G41),"# ##0"),",",),n0),1,1)+1)&amp;INDEX(n0x,MID(TEXT(SUBSTITUTE(TEXT(INT(G41),"# ##0"),",",),n0),2,1)+1,MID(TEXT(SUBSTITUTE(TEXT(INT(G41),"# ##0"),",",),n0),3,1)+1)&amp;IF(-MID(TEXT(SUBSTITUTE(TEXT(INT(G41),"# ##0"),",",),n0),1,3),"миллиард"&amp;VLOOKUP(MID(TEXT(SUBSTITUTE(TEXT(INT(G41),"# ##0"),",",),n0),3,1)*AND(MID(TEXT(SUBSTITUTE(TEXT(INT(G41),"# ##0"),",",),n0),2,1)-1),мил,2),"")&amp;INDEX(n_4,MID(TEXT(SUBSTITUTE(TEXT(INT(G41),"# ##0"),",",),n0),4,1)+1)&amp;INDEX(n0x,MID(TEXT(SUBSTITUTE(TEXT(INT(G41),"# ##0"),",",),n0),5,1)+1,MID(TEXT(SUBSTITUTE(TEXT(INT(G41),"# ##0"),",",),n0),6,1)+1)&amp;IF(-MID(TEXT(SUBSTITUTE(TEXT(INT(G41),"# ##0"),",",),n0),4,3),"миллион"&amp;VLOOKUP(MID(TEXT(SUBSTITUTE(TEXT(INT(G41),"# ##0"),",",),n0),6,1)*AND(MID(TEXT(SUBSTITUTE(TEXT(INT(G41),"# ##0"),",",),n0),5,1)-1),мил,2),"")&amp;INDEX(n_4,MID(TEXT(SUBSTITUTE(TEXT(INT(G41),"# ##0"),",",),n0),7,1)+1)&amp;INDEX(n1x,MID(TEXT(SUBSTITUTE(TEXT(INT(G41),"# ##0"),",",),n0),8,1)+1,MID(TEXT(SUBSTITUTE(TEXT(INT(G41),"# ##0"),",",),n0),9,1)+1)&amp;IF(-MID(TEXT(SUBSTITUTE(TEXT(INT(G41),"# ##0"),",",),n0),7,3),VLOOKUP(MID(TEXT(SUBSTITUTE(TEXT(INT(G41),"# ##0"),",",),n0),9,1)*AND(MID(TEXT(SUBSTITUTE(TEXT(INT(G41),"# ##0"),",",),n0),8,1)-1),тыс,2),"")&amp;INDEX(n_4,MID(TEXT(SUBSTITUTE(TEXT(INT(G41),"# ##0"),",",),n0),10,1)+1)&amp;INDEX(IF(-MID(TEXT(SUBSTITUTE(TEXT(INT(G41),"# ##0"),",",),n0),14,6),n1x,n0x),MID(TEXT(SUBSTITUTE(TEXT(INT(G41),"# ##0"),",",),n0),11,1)+1,MID(TEXT(SUBSTITUTE(TEXT(INT(G41),"# ##0"),",",),n0),12,1)+1)),"z"," ")&amp;IF(TRUNC(TEXT(SUBSTITUTE(TEXT(INT(G41),"# ##0"),",",),n0)),,"Ноль ")&amp;IF(-MID(TEXT(SUBSTITUTE(TEXT(INT(G41),"# ##0"),",",),n0),14,6),IF(MOD(MAX(MOD(MID(TEXT(SUBSTITUTE(TEXT(INT(G41),"# ##0"),",",),n0),11,2)-11,100),9),10),"целых ","целая ")&amp;SUBSTITUTE(INDEX(n_4,MID(TEXT(SUBSTITUTE(TEXT(INT(G41),"# ##0"),",",),n0),14,6)/10^5+1)&amp;INDEX(n1x,MOD(MID(TEXT(SUBSTITUTE(TEXT(INT(G41),"# ##0"),",",),n0),14,6)/10^4,10)+1,MOD(MID(TEXT(SUBSTITUTE(TEXT(INT(G41),"# ##0"),",",),n0),14,6)/1000,10)+1)&amp;IF(INT(MID(TEXT(SUBSTITUTE(TEXT(INT(G41),"# ##0"),",",),n0),14,6)/1000),VLOOKUP(MOD(MID(TEXT(SUBSTITUTE(TEXT(INT(G41),"# ##0"),",",),n0),14,6)/1000,10)*(MOD(INT(MID(TEXT(SUBSTITUTE(TEXT(INT(G41),"# ##0"),",",),n0),14,6)/10^4),10)&lt;&gt;1),тыс,2),"")&amp;INDEX(n_4,MOD(MID(TEXT(SUBSTITUTE(TEXT(INT(G41),"# ##0"),",",),n0),14,6)/100,10)+1)&amp;INDEX(n1x,MOD(MID(TEXT(SUBSTITUTE(TEXT(INT(G41),"# ##0"),",",),n0),14,6)/10,10)+1,MOD(MID(TEXT(SUBSTITUTE(TEXT(INT(G41),"# ##0"),",",),n0),14,6),10)+1),"z"," ")&amp;INDEX(доля,LEN(MID(TEXT(SUBSTITUTE(TEXT(INT(G41),"# ##0"),",",),n0),14,6)),(MOD(MAX(MOD(MID(TEXT(SUBSTITUTE(TEXT(INT(G41),"# ##0"),",",),n0),14,6)-11,100),9),10)&gt;0)+1),)))&amp;")"&amp;" "&amp;SUBSTITUTE(TEXT(ROUND((G41-SUBSTITUTE(TEXT(INT(G41),"# ##0"),",",))*100,2),"00"),",",)&amp;" копеек"</f>
        <v>0 (ноль) 00 копеек</v>
      </c>
      <c r="J41" t="s">
        <v>151</v>
      </c>
    </row>
    <row r="42" spans="1:12" x14ac:dyDescent="0.35">
      <c r="B42" s="502" t="s">
        <v>1256</v>
      </c>
      <c r="C42" s="499">
        <f>G32</f>
        <v>0</v>
      </c>
      <c r="D42" s="281" t="str">
        <f t="shared" si="4"/>
        <v>0 рублей 00 копеек</v>
      </c>
      <c r="E42" s="472">
        <f>H35</f>
        <v>0</v>
      </c>
      <c r="F42" s="281" t="str">
        <f t="shared" si="4"/>
        <v>0 рублей 00 копеек</v>
      </c>
      <c r="G42" s="472">
        <f t="shared" si="5"/>
        <v>0</v>
      </c>
      <c r="H42" s="281" t="str">
        <f t="shared" si="4"/>
        <v>0 рублей 00 копеек</v>
      </c>
      <c r="I42" s="561" t="str">
        <f>SUBSTITUTE(TEXT(INT(G42),"# ##0"),",",)&amp;" ("&amp;LOWER(TRIM(SUBSTITUTE(PROPER(INDEX(n_4,MID(TEXT(SUBSTITUTE(TEXT(INT(G42),"# ##0"),",",),n0),1,1)+1)&amp;INDEX(n0x,MID(TEXT(SUBSTITUTE(TEXT(INT(G42),"# ##0"),",",),n0),2,1)+1,MID(TEXT(SUBSTITUTE(TEXT(INT(G42),"# ##0"),",",),n0),3,1)+1)&amp;IF(-MID(TEXT(SUBSTITUTE(TEXT(INT(G42),"# ##0"),",",),n0),1,3),"миллиард"&amp;VLOOKUP(MID(TEXT(SUBSTITUTE(TEXT(INT(G42),"# ##0"),",",),n0),3,1)*AND(MID(TEXT(SUBSTITUTE(TEXT(INT(G42),"# ##0"),",",),n0),2,1)-1),мил,2),"")&amp;INDEX(n_4,MID(TEXT(SUBSTITUTE(TEXT(INT(G42),"# ##0"),",",),n0),4,1)+1)&amp;INDEX(n0x,MID(TEXT(SUBSTITUTE(TEXT(INT(G42),"# ##0"),",",),n0),5,1)+1,MID(TEXT(SUBSTITUTE(TEXT(INT(G42),"# ##0"),",",),n0),6,1)+1)&amp;IF(-MID(TEXT(SUBSTITUTE(TEXT(INT(G42),"# ##0"),",",),n0),4,3),"миллион"&amp;VLOOKUP(MID(TEXT(SUBSTITUTE(TEXT(INT(G42),"# ##0"),",",),n0),6,1)*AND(MID(TEXT(SUBSTITUTE(TEXT(INT(G42),"# ##0"),",",),n0),5,1)-1),мил,2),"")&amp;INDEX(n_4,MID(TEXT(SUBSTITUTE(TEXT(INT(G42),"# ##0"),",",),n0),7,1)+1)&amp;INDEX(n1x,MID(TEXT(SUBSTITUTE(TEXT(INT(G42),"# ##0"),",",),n0),8,1)+1,MID(TEXT(SUBSTITUTE(TEXT(INT(G42),"# ##0"),",",),n0),9,1)+1)&amp;IF(-MID(TEXT(SUBSTITUTE(TEXT(INT(G42),"# ##0"),",",),n0),7,3),VLOOKUP(MID(TEXT(SUBSTITUTE(TEXT(INT(G42),"# ##0"),",",),n0),9,1)*AND(MID(TEXT(SUBSTITUTE(TEXT(INT(G42),"# ##0"),",",),n0),8,1)-1),тыс,2),"")&amp;INDEX(n_4,MID(TEXT(SUBSTITUTE(TEXT(INT(G42),"# ##0"),",",),n0),10,1)+1)&amp;INDEX(IF(-MID(TEXT(SUBSTITUTE(TEXT(INT(G42),"# ##0"),",",),n0),14,6),n1x,n0x),MID(TEXT(SUBSTITUTE(TEXT(INT(G42),"# ##0"),",",),n0),11,1)+1,MID(TEXT(SUBSTITUTE(TEXT(INT(G42),"# ##0"),",",),n0),12,1)+1)),"z"," ")&amp;IF(TRUNC(TEXT(SUBSTITUTE(TEXT(INT(G42),"# ##0"),",",),n0)),,"Ноль ")&amp;IF(-MID(TEXT(SUBSTITUTE(TEXT(INT(G42),"# ##0"),",",),n0),14,6),IF(MOD(MAX(MOD(MID(TEXT(SUBSTITUTE(TEXT(INT(G42),"# ##0"),",",),n0),11,2)-11,100),9),10),"целых ","целая ")&amp;SUBSTITUTE(INDEX(n_4,MID(TEXT(SUBSTITUTE(TEXT(INT(G42),"# ##0"),",",),n0),14,6)/10^5+1)&amp;INDEX(n1x,MOD(MID(TEXT(SUBSTITUTE(TEXT(INT(G42),"# ##0"),",",),n0),14,6)/10^4,10)+1,MOD(MID(TEXT(SUBSTITUTE(TEXT(INT(G42),"# ##0"),",",),n0),14,6)/1000,10)+1)&amp;IF(INT(MID(TEXT(SUBSTITUTE(TEXT(INT(G42),"# ##0"),",",),n0),14,6)/1000),VLOOKUP(MOD(MID(TEXT(SUBSTITUTE(TEXT(INT(G42),"# ##0"),",",),n0),14,6)/1000,10)*(MOD(INT(MID(TEXT(SUBSTITUTE(TEXT(INT(G42),"# ##0"),",",),n0),14,6)/10^4),10)&lt;&gt;1),тыс,2),"")&amp;INDEX(n_4,MOD(MID(TEXT(SUBSTITUTE(TEXT(INT(G42),"# ##0"),",",),n0),14,6)/100,10)+1)&amp;INDEX(n1x,MOD(MID(TEXT(SUBSTITUTE(TEXT(INT(G42),"# ##0"),",",),n0),14,6)/10,10)+1,MOD(MID(TEXT(SUBSTITUTE(TEXT(INT(G42),"# ##0"),",",),n0),14,6),10)+1),"z"," ")&amp;INDEX(доля,LEN(MID(TEXT(SUBSTITUTE(TEXT(INT(G42),"# ##0"),",",),n0),14,6)),(MOD(MAX(MOD(MID(TEXT(SUBSTITUTE(TEXT(INT(G42),"# ##0"),",",),n0),14,6)-11,100),9),10)&gt;0)+1),)))&amp;")"&amp;" "&amp;SUBSTITUTE(TEXT(ROUND((G42-SUBSTITUTE(TEXT(INT(G42),"# ##0"),",",))*100,2),"00"),",",)&amp;" копеек"</f>
        <v>0 (ноль) 00 копеек</v>
      </c>
      <c r="J42" t="s">
        <v>151</v>
      </c>
    </row>
    <row r="43" spans="1:12" ht="15" thickBot="1" x14ac:dyDescent="0.4">
      <c r="B43" s="503" t="s">
        <v>1257</v>
      </c>
      <c r="C43" s="500">
        <f>C34</f>
        <v>0</v>
      </c>
      <c r="D43" s="490" t="str">
        <f t="shared" si="4"/>
        <v>0 рублей 00 копеек</v>
      </c>
      <c r="E43" s="489">
        <f>SUMIFS(E$12:E$21,C$12:C$21,B43)</f>
        <v>0</v>
      </c>
      <c r="F43" s="490" t="str">
        <f t="shared" si="4"/>
        <v>0 рублей 00 копеек</v>
      </c>
      <c r="G43" s="489">
        <f>IFERROR(MAX(C43-E43,0),0)</f>
        <v>0</v>
      </c>
      <c r="H43" s="490" t="str">
        <f t="shared" si="4"/>
        <v>0 рублей 00 копеек</v>
      </c>
      <c r="I43" s="562" t="str">
        <f>SUBSTITUTE(TEXT(INT(G43),"# ##0"),",",)&amp;" ("&amp;LOWER(TRIM(SUBSTITUTE(PROPER(INDEX(n_4,MID(TEXT(SUBSTITUTE(TEXT(INT(G43),"# ##0"),",",),n0),1,1)+1)&amp;INDEX(n0x,MID(TEXT(SUBSTITUTE(TEXT(INT(G43),"# ##0"),",",),n0),2,1)+1,MID(TEXT(SUBSTITUTE(TEXT(INT(G43),"# ##0"),",",),n0),3,1)+1)&amp;IF(-MID(TEXT(SUBSTITUTE(TEXT(INT(G43),"# ##0"),",",),n0),1,3),"миллиард"&amp;VLOOKUP(MID(TEXT(SUBSTITUTE(TEXT(INT(G43),"# ##0"),",",),n0),3,1)*AND(MID(TEXT(SUBSTITUTE(TEXT(INT(G43),"# ##0"),",",),n0),2,1)-1),мил,2),"")&amp;INDEX(n_4,MID(TEXT(SUBSTITUTE(TEXT(INT(G43),"# ##0"),",",),n0),4,1)+1)&amp;INDEX(n0x,MID(TEXT(SUBSTITUTE(TEXT(INT(G43),"# ##0"),",",),n0),5,1)+1,MID(TEXT(SUBSTITUTE(TEXT(INT(G43),"# ##0"),",",),n0),6,1)+1)&amp;IF(-MID(TEXT(SUBSTITUTE(TEXT(INT(G43),"# ##0"),",",),n0),4,3),"миллион"&amp;VLOOKUP(MID(TEXT(SUBSTITUTE(TEXT(INT(G43),"# ##0"),",",),n0),6,1)*AND(MID(TEXT(SUBSTITUTE(TEXT(INT(G43),"# ##0"),",",),n0),5,1)-1),мил,2),"")&amp;INDEX(n_4,MID(TEXT(SUBSTITUTE(TEXT(INT(G43),"# ##0"),",",),n0),7,1)+1)&amp;INDEX(n1x,MID(TEXT(SUBSTITUTE(TEXT(INT(G43),"# ##0"),",",),n0),8,1)+1,MID(TEXT(SUBSTITUTE(TEXT(INT(G43),"# ##0"),",",),n0),9,1)+1)&amp;IF(-MID(TEXT(SUBSTITUTE(TEXT(INT(G43),"# ##0"),",",),n0),7,3),VLOOKUP(MID(TEXT(SUBSTITUTE(TEXT(INT(G43),"# ##0"),",",),n0),9,1)*AND(MID(TEXT(SUBSTITUTE(TEXT(INT(G43),"# ##0"),",",),n0),8,1)-1),тыс,2),"")&amp;INDEX(n_4,MID(TEXT(SUBSTITUTE(TEXT(INT(G43),"# ##0"),",",),n0),10,1)+1)&amp;INDEX(IF(-MID(TEXT(SUBSTITUTE(TEXT(INT(G43),"# ##0"),",",),n0),14,6),n1x,n0x),MID(TEXT(SUBSTITUTE(TEXT(INT(G43),"# ##0"),",",),n0),11,1)+1,MID(TEXT(SUBSTITUTE(TEXT(INT(G43),"# ##0"),",",),n0),12,1)+1)),"z"," ")&amp;IF(TRUNC(TEXT(SUBSTITUTE(TEXT(INT(G43),"# ##0"),",",),n0)),,"Ноль ")&amp;IF(-MID(TEXT(SUBSTITUTE(TEXT(INT(G43),"# ##0"),",",),n0),14,6),IF(MOD(MAX(MOD(MID(TEXT(SUBSTITUTE(TEXT(INT(G43),"# ##0"),",",),n0),11,2)-11,100),9),10),"целых ","целая ")&amp;SUBSTITUTE(INDEX(n_4,MID(TEXT(SUBSTITUTE(TEXT(INT(G43),"# ##0"),",",),n0),14,6)/10^5+1)&amp;INDEX(n1x,MOD(MID(TEXT(SUBSTITUTE(TEXT(INT(G43),"# ##0"),",",),n0),14,6)/10^4,10)+1,MOD(MID(TEXT(SUBSTITUTE(TEXT(INT(G43),"# ##0"),",",),n0),14,6)/1000,10)+1)&amp;IF(INT(MID(TEXT(SUBSTITUTE(TEXT(INT(G43),"# ##0"),",",),n0),14,6)/1000),VLOOKUP(MOD(MID(TEXT(SUBSTITUTE(TEXT(INT(G43),"# ##0"),",",),n0),14,6)/1000,10)*(MOD(INT(MID(TEXT(SUBSTITUTE(TEXT(INT(G43),"# ##0"),",",),n0),14,6)/10^4),10)&lt;&gt;1),тыс,2),"")&amp;INDEX(n_4,MOD(MID(TEXT(SUBSTITUTE(TEXT(INT(G43),"# ##0"),",",),n0),14,6)/100,10)+1)&amp;INDEX(n1x,MOD(MID(TEXT(SUBSTITUTE(TEXT(INT(G43),"# ##0"),",",),n0),14,6)/10,10)+1,MOD(MID(TEXT(SUBSTITUTE(TEXT(INT(G43),"# ##0"),",",),n0),14,6),10)+1),"z"," ")&amp;INDEX(доля,LEN(MID(TEXT(SUBSTITUTE(TEXT(INT(G43),"# ##0"),",",),n0),14,6)),(MOD(MAX(MOD(MID(TEXT(SUBSTITUTE(TEXT(INT(G43),"# ##0"),",",),n0),14,6)-11,100),9),10)&gt;0)+1),)))&amp;")"&amp;" "&amp;SUBSTITUTE(TEXT(ROUND((G43-SUBSTITUTE(TEXT(INT(G43),"# ##0"),",",))*100,2),"00"),",",)&amp;" копеек"</f>
        <v>0 (ноль) 00 копеек</v>
      </c>
      <c r="J43" t="s">
        <v>151</v>
      </c>
    </row>
    <row r="44" spans="1:12" ht="15" thickTop="1" x14ac:dyDescent="0.35"/>
    <row r="46" spans="1:12" ht="15" thickBot="1" x14ac:dyDescent="0.4">
      <c r="E46" s="63"/>
      <c r="F46" s="558" t="str">
        <f t="shared" ref="F46" si="6">IF(ISBLANK(E46),"",SUBSTITUTE(TEXT(E46,"# ##0\ рублей ,00\ копеек"),",",))</f>
        <v/>
      </c>
    </row>
    <row r="47" spans="1:12" ht="18.5" thickTop="1" x14ac:dyDescent="0.4">
      <c r="A47" s="271" t="s">
        <v>1780</v>
      </c>
      <c r="B47" s="523"/>
      <c r="C47" s="274"/>
      <c r="E47" s="3" t="s">
        <v>8064</v>
      </c>
      <c r="F47" s="557"/>
    </row>
    <row r="48" spans="1:12" ht="15" thickBot="1" x14ac:dyDescent="0.4">
      <c r="A48" s="272" t="s">
        <v>1781</v>
      </c>
      <c r="B48" s="270" t="str">
        <f>IFERROR(IF(ISBLANK(B47),"",Term_EntryIntoForce(B47)),"")</f>
        <v/>
      </c>
      <c r="C48" s="275"/>
    </row>
    <row r="49" spans="1:18" ht="15" thickTop="1" x14ac:dyDescent="0.35">
      <c r="A49" s="272" t="s">
        <v>1782</v>
      </c>
      <c r="B49" s="270" t="str">
        <f>IFERROR(WORKDAY.INTL(B48,10,1,DRAFT!X2:X123),"")</f>
        <v/>
      </c>
      <c r="C49" s="275"/>
      <c r="R49" s="43" t="s">
        <v>905</v>
      </c>
    </row>
    <row r="50" spans="1:18" x14ac:dyDescent="0.35">
      <c r="A50" s="272" t="s">
        <v>1783</v>
      </c>
      <c r="B50" s="308"/>
      <c r="C50" s="328" t="str">
        <f>IF(B50="","",IF(B50&gt;=B49,IF(B50&lt;=C49,"ВСЕ ОК","НАРУШЕНИЕ"),"НАРУШЕНИЕ"))</f>
        <v/>
      </c>
    </row>
    <row r="51" spans="1:18" ht="15" thickBot="1" x14ac:dyDescent="0.4">
      <c r="A51" s="273" t="s">
        <v>2523</v>
      </c>
      <c r="B51" s="305"/>
      <c r="C51" s="329" t="str">
        <f>IFERROR(EDATE(B49,3)-1,"")</f>
        <v/>
      </c>
    </row>
    <row r="52" spans="1:18" ht="15" thickTop="1" x14ac:dyDescent="0.35"/>
  </sheetData>
  <mergeCells count="20">
    <mergeCell ref="D24:E24"/>
    <mergeCell ref="D25:E25"/>
    <mergeCell ref="C38:D38"/>
    <mergeCell ref="E38:F38"/>
    <mergeCell ref="F24:G24"/>
    <mergeCell ref="F25:G25"/>
    <mergeCell ref="F26:G26"/>
    <mergeCell ref="G38:I38"/>
    <mergeCell ref="K1:L1"/>
    <mergeCell ref="A1:B1"/>
    <mergeCell ref="C1:F1"/>
    <mergeCell ref="C2:F2"/>
    <mergeCell ref="A5:F5"/>
    <mergeCell ref="C6:F6"/>
    <mergeCell ref="A7:F7"/>
    <mergeCell ref="A8:F8"/>
    <mergeCell ref="D22:E22"/>
    <mergeCell ref="D23:E23"/>
    <mergeCell ref="F22:G22"/>
    <mergeCell ref="F23:G23"/>
  </mergeCells>
  <conditionalFormatting sqref="C50">
    <cfRule type="containsText" dxfId="289" priority="23" operator="containsText" text="НАРУШЕНИЕ">
      <formula>NOT(ISERROR(SEARCH("НАРУШЕНИЕ",C50)))</formula>
    </cfRule>
    <cfRule type="containsText" dxfId="288" priority="24" operator="containsText" text="ВСЕ ОК">
      <formula>NOT(ISERROR(SEARCH("ВСЕ ОК",C50)))</formula>
    </cfRule>
  </conditionalFormatting>
  <conditionalFormatting sqref="J2:J11">
    <cfRule type="containsText" dxfId="287" priority="13" operator="containsText" text="БР">
      <formula>NOT(ISERROR(SEARCH("БР",J2)))</formula>
    </cfRule>
    <cfRule type="containsText" dxfId="286" priority="14" operator="containsText" text="ОК">
      <formula>NOT(ISERROR(SEARCH("ОК",J2)))</formula>
    </cfRule>
  </conditionalFormatting>
  <conditionalFormatting sqref="L14">
    <cfRule type="cellIs" dxfId="285" priority="12" operator="equal">
      <formula>0</formula>
    </cfRule>
  </conditionalFormatting>
  <conditionalFormatting sqref="C33">
    <cfRule type="containsBlanks" dxfId="284" priority="10">
      <formula>LEN(TRIM(C33))=0</formula>
    </cfRule>
    <cfRule type="notContainsBlanks" dxfId="283" priority="11">
      <formula>LEN(TRIM(C33))&gt;0</formula>
    </cfRule>
  </conditionalFormatting>
  <conditionalFormatting sqref="C34">
    <cfRule type="containsText" dxfId="282" priority="9" operator="containsText" text="НЕ ПОЛОЖЕНО">
      <formula>NOT(ISERROR(SEARCH("НЕ ПОЛОЖЕНО",C34)))</formula>
    </cfRule>
  </conditionalFormatting>
  <conditionalFormatting sqref="H5">
    <cfRule type="containsText" dxfId="281" priority="8" operator="containsText" text="СРОК ДАВНОСТИ">
      <formula>NOT(ISERROR(SEARCH("СРОК ДАВНОСТИ",H5)))</formula>
    </cfRule>
  </conditionalFormatting>
  <conditionalFormatting sqref="H6">
    <cfRule type="containsText" dxfId="280" priority="7" operator="containsText" text="ИСКОВАЯ ДАВНОСТЬ">
      <formula>NOT(ISERROR(SEARCH("ИСКОВАЯ ДАВНОСТЬ",H6)))</formula>
    </cfRule>
  </conditionalFormatting>
  <conditionalFormatting sqref="B23">
    <cfRule type="containsText" dxfId="279" priority="5" operator="containsText" text="NORM">
      <formula>NOT(ISERROR(SEARCH("NORM",B23)))</formula>
    </cfRule>
    <cfRule type="containsText" dxfId="278" priority="6" operator="containsText" text="LATE">
      <formula>NOT(ISERROR(SEARCH("LATE",B23)))</formula>
    </cfRule>
  </conditionalFormatting>
  <conditionalFormatting sqref="D34">
    <cfRule type="containsText" dxfId="277" priority="1" operator="containsText" text="НЕ ПОЛОЖЕНО">
      <formula>NOT(ISERROR(SEARCH("НЕ ПОЛОЖЕНО",D34)))</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1" r:id="rId4" name="NewFilledListDates">
          <controlPr defaultSize="0" autoLine="0" r:id="rId5">
            <anchor moveWithCells="1">
              <from>
                <xdr:col>6</xdr:col>
                <xdr:colOff>0</xdr:colOff>
                <xdr:row>2</xdr:row>
                <xdr:rowOff>0</xdr:rowOff>
              </from>
              <to>
                <xdr:col>7</xdr:col>
                <xdr:colOff>0</xdr:colOff>
                <xdr:row>4</xdr:row>
                <xdr:rowOff>0</xdr:rowOff>
              </to>
            </anchor>
          </controlPr>
        </control>
      </mc:Choice>
      <mc:Fallback>
        <control shapeId="12341" r:id="rId4" name="NewFilledListDates"/>
      </mc:Fallback>
    </mc:AlternateContent>
    <mc:AlternateContent xmlns:mc="http://schemas.openxmlformats.org/markup-compatibility/2006">
      <mc:Choice Requires="x14">
        <control shapeId="12339" r:id="rId6" name="ComboBox31">
          <controlPr defaultSize="0" autoLine="0" autoPict="0" linkedCell="C33" listFillRange="DDL_Fake_Region" r:id="rId7">
            <anchor moveWithCells="1">
              <from>
                <xdr:col>2</xdr:col>
                <xdr:colOff>0</xdr:colOff>
                <xdr:row>32</xdr:row>
                <xdr:rowOff>0</xdr:rowOff>
              </from>
              <to>
                <xdr:col>3</xdr:col>
                <xdr:colOff>0</xdr:colOff>
                <xdr:row>32</xdr:row>
                <xdr:rowOff>184150</xdr:rowOff>
              </to>
            </anchor>
          </controlPr>
        </control>
      </mc:Choice>
      <mc:Fallback>
        <control shapeId="12339" r:id="rId6" name="ComboBox31"/>
      </mc:Fallback>
    </mc:AlternateContent>
    <mc:AlternateContent xmlns:mc="http://schemas.openxmlformats.org/markup-compatibility/2006">
      <mc:Choice Requires="x14">
        <control shapeId="12294" r:id="rId8" name="ComboBox1">
          <controlPr defaultSize="0" autoLine="0" autoPict="0" linkedCell="K2" listFillRange="DRAFT!M2:M18" r:id="rId9">
            <anchor moveWithCells="1">
              <from>
                <xdr:col>10</xdr:col>
                <xdr:colOff>0</xdr:colOff>
                <xdr:row>1</xdr:row>
                <xdr:rowOff>0</xdr:rowOff>
              </from>
              <to>
                <xdr:col>11</xdr:col>
                <xdr:colOff>0</xdr:colOff>
                <xdr:row>2</xdr:row>
                <xdr:rowOff>0</xdr:rowOff>
              </to>
            </anchor>
          </controlPr>
        </control>
      </mc:Choice>
      <mc:Fallback>
        <control shapeId="12294" r:id="rId8" name="ComboBox1"/>
      </mc:Fallback>
    </mc:AlternateContent>
    <mc:AlternateContent xmlns:mc="http://schemas.openxmlformats.org/markup-compatibility/2006">
      <mc:Choice Requires="x14">
        <control shapeId="12295" r:id="rId10" name="ComboBox2">
          <controlPr defaultSize="0" autoLine="0" autoPict="0" linkedCell="K3" listFillRange="DRAFT!M2:M18" r:id="rId9">
            <anchor moveWithCells="1">
              <from>
                <xdr:col>10</xdr:col>
                <xdr:colOff>0</xdr:colOff>
                <xdr:row>2</xdr:row>
                <xdr:rowOff>0</xdr:rowOff>
              </from>
              <to>
                <xdr:col>11</xdr:col>
                <xdr:colOff>0</xdr:colOff>
                <xdr:row>3</xdr:row>
                <xdr:rowOff>0</xdr:rowOff>
              </to>
            </anchor>
          </controlPr>
        </control>
      </mc:Choice>
      <mc:Fallback>
        <control shapeId="12295" r:id="rId10" name="ComboBox2"/>
      </mc:Fallback>
    </mc:AlternateContent>
    <mc:AlternateContent xmlns:mc="http://schemas.openxmlformats.org/markup-compatibility/2006">
      <mc:Choice Requires="x14">
        <control shapeId="12296" r:id="rId11" name="ComboBox3">
          <controlPr defaultSize="0" autoLine="0" autoPict="0" linkedCell="K4" listFillRange="DRAFT!M2:M18" r:id="rId9">
            <anchor moveWithCells="1">
              <from>
                <xdr:col>10</xdr:col>
                <xdr:colOff>0</xdr:colOff>
                <xdr:row>3</xdr:row>
                <xdr:rowOff>0</xdr:rowOff>
              </from>
              <to>
                <xdr:col>11</xdr:col>
                <xdr:colOff>0</xdr:colOff>
                <xdr:row>4</xdr:row>
                <xdr:rowOff>0</xdr:rowOff>
              </to>
            </anchor>
          </controlPr>
        </control>
      </mc:Choice>
      <mc:Fallback>
        <control shapeId="12296" r:id="rId11" name="ComboBox3"/>
      </mc:Fallback>
    </mc:AlternateContent>
    <mc:AlternateContent xmlns:mc="http://schemas.openxmlformats.org/markup-compatibility/2006">
      <mc:Choice Requires="x14">
        <control shapeId="12297" r:id="rId12" name="ComboBox4">
          <controlPr defaultSize="0" autoLine="0" autoPict="0" linkedCell="K5" listFillRange="DRAFT!M2:M18" r:id="rId9">
            <anchor moveWithCells="1">
              <from>
                <xdr:col>10</xdr:col>
                <xdr:colOff>0</xdr:colOff>
                <xdr:row>4</xdr:row>
                <xdr:rowOff>0</xdr:rowOff>
              </from>
              <to>
                <xdr:col>11</xdr:col>
                <xdr:colOff>0</xdr:colOff>
                <xdr:row>5</xdr:row>
                <xdr:rowOff>0</xdr:rowOff>
              </to>
            </anchor>
          </controlPr>
        </control>
      </mc:Choice>
      <mc:Fallback>
        <control shapeId="12297" r:id="rId12" name="ComboBox4"/>
      </mc:Fallback>
    </mc:AlternateContent>
    <mc:AlternateContent xmlns:mc="http://schemas.openxmlformats.org/markup-compatibility/2006">
      <mc:Choice Requires="x14">
        <control shapeId="12298" r:id="rId13" name="ComboBox5">
          <controlPr defaultSize="0" autoLine="0" autoPict="0" linkedCell="K6" listFillRange="DRAFT!M2:M18" r:id="rId9">
            <anchor moveWithCells="1">
              <from>
                <xdr:col>10</xdr:col>
                <xdr:colOff>0</xdr:colOff>
                <xdr:row>5</xdr:row>
                <xdr:rowOff>0</xdr:rowOff>
              </from>
              <to>
                <xdr:col>11</xdr:col>
                <xdr:colOff>0</xdr:colOff>
                <xdr:row>6</xdr:row>
                <xdr:rowOff>0</xdr:rowOff>
              </to>
            </anchor>
          </controlPr>
        </control>
      </mc:Choice>
      <mc:Fallback>
        <control shapeId="12298" r:id="rId13" name="ComboBox5"/>
      </mc:Fallback>
    </mc:AlternateContent>
    <mc:AlternateContent xmlns:mc="http://schemas.openxmlformats.org/markup-compatibility/2006">
      <mc:Choice Requires="x14">
        <control shapeId="12299" r:id="rId14" name="ComboBox6">
          <controlPr defaultSize="0" autoLine="0" autoPict="0" linkedCell="K7" listFillRange="DRAFT!M2:M18" r:id="rId9">
            <anchor moveWithCells="1">
              <from>
                <xdr:col>10</xdr:col>
                <xdr:colOff>0</xdr:colOff>
                <xdr:row>6</xdr:row>
                <xdr:rowOff>0</xdr:rowOff>
              </from>
              <to>
                <xdr:col>11</xdr:col>
                <xdr:colOff>0</xdr:colOff>
                <xdr:row>7</xdr:row>
                <xdr:rowOff>0</xdr:rowOff>
              </to>
            </anchor>
          </controlPr>
        </control>
      </mc:Choice>
      <mc:Fallback>
        <control shapeId="12299" r:id="rId14" name="ComboBox6"/>
      </mc:Fallback>
    </mc:AlternateContent>
    <mc:AlternateContent xmlns:mc="http://schemas.openxmlformats.org/markup-compatibility/2006">
      <mc:Choice Requires="x14">
        <control shapeId="12300" r:id="rId15" name="ComboBox7">
          <controlPr defaultSize="0" autoLine="0" autoPict="0" linkedCell="K8" listFillRange="DRAFT!M2:M18" r:id="rId9">
            <anchor moveWithCells="1">
              <from>
                <xdr:col>10</xdr:col>
                <xdr:colOff>0</xdr:colOff>
                <xdr:row>7</xdr:row>
                <xdr:rowOff>0</xdr:rowOff>
              </from>
              <to>
                <xdr:col>11</xdr:col>
                <xdr:colOff>0</xdr:colOff>
                <xdr:row>8</xdr:row>
                <xdr:rowOff>0</xdr:rowOff>
              </to>
            </anchor>
          </controlPr>
        </control>
      </mc:Choice>
      <mc:Fallback>
        <control shapeId="12300" r:id="rId15" name="ComboBox7"/>
      </mc:Fallback>
    </mc:AlternateContent>
    <mc:AlternateContent xmlns:mc="http://schemas.openxmlformats.org/markup-compatibility/2006">
      <mc:Choice Requires="x14">
        <control shapeId="12301" r:id="rId16" name="ComboBox8">
          <controlPr defaultSize="0" autoLine="0" autoPict="0" linkedCell="K9" listFillRange="DRAFT!M2:M18" r:id="rId9">
            <anchor moveWithCells="1">
              <from>
                <xdr:col>10</xdr:col>
                <xdr:colOff>0</xdr:colOff>
                <xdr:row>8</xdr:row>
                <xdr:rowOff>0</xdr:rowOff>
              </from>
              <to>
                <xdr:col>11</xdr:col>
                <xdr:colOff>0</xdr:colOff>
                <xdr:row>9</xdr:row>
                <xdr:rowOff>0</xdr:rowOff>
              </to>
            </anchor>
          </controlPr>
        </control>
      </mc:Choice>
      <mc:Fallback>
        <control shapeId="12301" r:id="rId16" name="ComboBox8"/>
      </mc:Fallback>
    </mc:AlternateContent>
    <mc:AlternateContent xmlns:mc="http://schemas.openxmlformats.org/markup-compatibility/2006">
      <mc:Choice Requires="x14">
        <control shapeId="12302" r:id="rId17" name="ComboBox9">
          <controlPr defaultSize="0" autoLine="0" autoPict="0" linkedCell="K10" listFillRange="DRAFT!M2:M18" r:id="rId9">
            <anchor moveWithCells="1">
              <from>
                <xdr:col>10</xdr:col>
                <xdr:colOff>0</xdr:colOff>
                <xdr:row>9</xdr:row>
                <xdr:rowOff>0</xdr:rowOff>
              </from>
              <to>
                <xdr:col>11</xdr:col>
                <xdr:colOff>0</xdr:colOff>
                <xdr:row>10</xdr:row>
                <xdr:rowOff>0</xdr:rowOff>
              </to>
            </anchor>
          </controlPr>
        </control>
      </mc:Choice>
      <mc:Fallback>
        <control shapeId="12302" r:id="rId17" name="ComboBox9"/>
      </mc:Fallback>
    </mc:AlternateContent>
    <mc:AlternateContent xmlns:mc="http://schemas.openxmlformats.org/markup-compatibility/2006">
      <mc:Choice Requires="x14">
        <control shapeId="12303" r:id="rId18" name="ComboBox10">
          <controlPr defaultSize="0" autoLine="0" autoPict="0" linkedCell="K11" listFillRange="DRAFT!M2:M18" r:id="rId9">
            <anchor moveWithCells="1">
              <from>
                <xdr:col>10</xdr:col>
                <xdr:colOff>0</xdr:colOff>
                <xdr:row>10</xdr:row>
                <xdr:rowOff>0</xdr:rowOff>
              </from>
              <to>
                <xdr:col>11</xdr:col>
                <xdr:colOff>0</xdr:colOff>
                <xdr:row>11</xdr:row>
                <xdr:rowOff>0</xdr:rowOff>
              </to>
            </anchor>
          </controlPr>
        </control>
      </mc:Choice>
      <mc:Fallback>
        <control shapeId="12303" r:id="rId18" name="ComboBox10"/>
      </mc:Fallback>
    </mc:AlternateContent>
    <mc:AlternateContent xmlns:mc="http://schemas.openxmlformats.org/markup-compatibility/2006">
      <mc:Choice Requires="x14">
        <control shapeId="12304" r:id="rId19" name="ComboBox11">
          <controlPr defaultSize="0" autoLine="0" autoPict="0" linkedCell="M2" listFillRange="DRAFT!M2:M18" r:id="rId9">
            <anchor moveWithCells="1">
              <from>
                <xdr:col>12</xdr:col>
                <xdr:colOff>0</xdr:colOff>
                <xdr:row>1</xdr:row>
                <xdr:rowOff>0</xdr:rowOff>
              </from>
              <to>
                <xdr:col>13</xdr:col>
                <xdr:colOff>0</xdr:colOff>
                <xdr:row>2</xdr:row>
                <xdr:rowOff>0</xdr:rowOff>
              </to>
            </anchor>
          </controlPr>
        </control>
      </mc:Choice>
      <mc:Fallback>
        <control shapeId="12304" r:id="rId19" name="ComboBox11"/>
      </mc:Fallback>
    </mc:AlternateContent>
    <mc:AlternateContent xmlns:mc="http://schemas.openxmlformats.org/markup-compatibility/2006">
      <mc:Choice Requires="x14">
        <control shapeId="12305" r:id="rId20" name="ComboBox12">
          <controlPr defaultSize="0" autoLine="0" autoPict="0" linkedCell="M3" listFillRange="DRAFT!M2:M18" r:id="rId9">
            <anchor moveWithCells="1">
              <from>
                <xdr:col>12</xdr:col>
                <xdr:colOff>0</xdr:colOff>
                <xdr:row>2</xdr:row>
                <xdr:rowOff>0</xdr:rowOff>
              </from>
              <to>
                <xdr:col>13</xdr:col>
                <xdr:colOff>0</xdr:colOff>
                <xdr:row>3</xdr:row>
                <xdr:rowOff>0</xdr:rowOff>
              </to>
            </anchor>
          </controlPr>
        </control>
      </mc:Choice>
      <mc:Fallback>
        <control shapeId="12305" r:id="rId20" name="ComboBox12"/>
      </mc:Fallback>
    </mc:AlternateContent>
    <mc:AlternateContent xmlns:mc="http://schemas.openxmlformats.org/markup-compatibility/2006">
      <mc:Choice Requires="x14">
        <control shapeId="12314" r:id="rId21" name="ComboBox13">
          <controlPr defaultSize="0" autoLine="0" linkedCell="M4" listFillRange="DRAFT!M2:M18" r:id="rId9">
            <anchor moveWithCells="1">
              <from>
                <xdr:col>12</xdr:col>
                <xdr:colOff>0</xdr:colOff>
                <xdr:row>3</xdr:row>
                <xdr:rowOff>0</xdr:rowOff>
              </from>
              <to>
                <xdr:col>13</xdr:col>
                <xdr:colOff>0</xdr:colOff>
                <xdr:row>4</xdr:row>
                <xdr:rowOff>0</xdr:rowOff>
              </to>
            </anchor>
          </controlPr>
        </control>
      </mc:Choice>
      <mc:Fallback>
        <control shapeId="12314" r:id="rId21" name="ComboBox13"/>
      </mc:Fallback>
    </mc:AlternateContent>
    <mc:AlternateContent xmlns:mc="http://schemas.openxmlformats.org/markup-compatibility/2006">
      <mc:Choice Requires="x14">
        <control shapeId="12315" r:id="rId22" name="ComboBox14">
          <controlPr defaultSize="0" autoLine="0" linkedCell="M5" listFillRange="DRAFT!M2:M18" r:id="rId9">
            <anchor moveWithCells="1">
              <from>
                <xdr:col>12</xdr:col>
                <xdr:colOff>0</xdr:colOff>
                <xdr:row>4</xdr:row>
                <xdr:rowOff>0</xdr:rowOff>
              </from>
              <to>
                <xdr:col>13</xdr:col>
                <xdr:colOff>0</xdr:colOff>
                <xdr:row>5</xdr:row>
                <xdr:rowOff>0</xdr:rowOff>
              </to>
            </anchor>
          </controlPr>
        </control>
      </mc:Choice>
      <mc:Fallback>
        <control shapeId="12315" r:id="rId22" name="ComboBox14"/>
      </mc:Fallback>
    </mc:AlternateContent>
    <mc:AlternateContent xmlns:mc="http://schemas.openxmlformats.org/markup-compatibility/2006">
      <mc:Choice Requires="x14">
        <control shapeId="12317" r:id="rId23" name="ComboBox15">
          <controlPr defaultSize="0" autoLine="0" linkedCell="M6" listFillRange="DRAFT!M2:M18" r:id="rId9">
            <anchor moveWithCells="1">
              <from>
                <xdr:col>12</xdr:col>
                <xdr:colOff>0</xdr:colOff>
                <xdr:row>5</xdr:row>
                <xdr:rowOff>0</xdr:rowOff>
              </from>
              <to>
                <xdr:col>13</xdr:col>
                <xdr:colOff>0</xdr:colOff>
                <xdr:row>6</xdr:row>
                <xdr:rowOff>0</xdr:rowOff>
              </to>
            </anchor>
          </controlPr>
        </control>
      </mc:Choice>
      <mc:Fallback>
        <control shapeId="12317" r:id="rId23" name="ComboBox15"/>
      </mc:Fallback>
    </mc:AlternateContent>
    <mc:AlternateContent xmlns:mc="http://schemas.openxmlformats.org/markup-compatibility/2006">
      <mc:Choice Requires="x14">
        <control shapeId="12318" r:id="rId24" name="ComboBox16">
          <controlPr defaultSize="0" autoLine="0" linkedCell="M7" listFillRange="DRAFT!M2:M18" r:id="rId9">
            <anchor moveWithCells="1">
              <from>
                <xdr:col>12</xdr:col>
                <xdr:colOff>0</xdr:colOff>
                <xdr:row>6</xdr:row>
                <xdr:rowOff>0</xdr:rowOff>
              </from>
              <to>
                <xdr:col>13</xdr:col>
                <xdr:colOff>0</xdr:colOff>
                <xdr:row>7</xdr:row>
                <xdr:rowOff>0</xdr:rowOff>
              </to>
            </anchor>
          </controlPr>
        </control>
      </mc:Choice>
      <mc:Fallback>
        <control shapeId="12318" r:id="rId24" name="ComboBox16"/>
      </mc:Fallback>
    </mc:AlternateContent>
    <mc:AlternateContent xmlns:mc="http://schemas.openxmlformats.org/markup-compatibility/2006">
      <mc:Choice Requires="x14">
        <control shapeId="12319" r:id="rId25" name="ComboBox17">
          <controlPr defaultSize="0" autoLine="0" linkedCell="M8" listFillRange="DRAFT!M2:M18" r:id="rId9">
            <anchor moveWithCells="1">
              <from>
                <xdr:col>12</xdr:col>
                <xdr:colOff>0</xdr:colOff>
                <xdr:row>7</xdr:row>
                <xdr:rowOff>0</xdr:rowOff>
              </from>
              <to>
                <xdr:col>13</xdr:col>
                <xdr:colOff>0</xdr:colOff>
                <xdr:row>8</xdr:row>
                <xdr:rowOff>0</xdr:rowOff>
              </to>
            </anchor>
          </controlPr>
        </control>
      </mc:Choice>
      <mc:Fallback>
        <control shapeId="12319" r:id="rId25" name="ComboBox17"/>
      </mc:Fallback>
    </mc:AlternateContent>
    <mc:AlternateContent xmlns:mc="http://schemas.openxmlformats.org/markup-compatibility/2006">
      <mc:Choice Requires="x14">
        <control shapeId="12320" r:id="rId26" name="ComboBox18">
          <controlPr defaultSize="0" autoLine="0" linkedCell="M9" listFillRange="DRAFT!M2:M18" r:id="rId9">
            <anchor moveWithCells="1">
              <from>
                <xdr:col>12</xdr:col>
                <xdr:colOff>0</xdr:colOff>
                <xdr:row>8</xdr:row>
                <xdr:rowOff>0</xdr:rowOff>
              </from>
              <to>
                <xdr:col>13</xdr:col>
                <xdr:colOff>0</xdr:colOff>
                <xdr:row>9</xdr:row>
                <xdr:rowOff>0</xdr:rowOff>
              </to>
            </anchor>
          </controlPr>
        </control>
      </mc:Choice>
      <mc:Fallback>
        <control shapeId="12320" r:id="rId26" name="ComboBox18"/>
      </mc:Fallback>
    </mc:AlternateContent>
    <mc:AlternateContent xmlns:mc="http://schemas.openxmlformats.org/markup-compatibility/2006">
      <mc:Choice Requires="x14">
        <control shapeId="12321" r:id="rId27" name="ComboBox19">
          <controlPr defaultSize="0" autoLine="0" linkedCell="M10" listFillRange="DRAFT!M2:M18" r:id="rId9">
            <anchor moveWithCells="1">
              <from>
                <xdr:col>12</xdr:col>
                <xdr:colOff>0</xdr:colOff>
                <xdr:row>9</xdr:row>
                <xdr:rowOff>0</xdr:rowOff>
              </from>
              <to>
                <xdr:col>13</xdr:col>
                <xdr:colOff>0</xdr:colOff>
                <xdr:row>10</xdr:row>
                <xdr:rowOff>0</xdr:rowOff>
              </to>
            </anchor>
          </controlPr>
        </control>
      </mc:Choice>
      <mc:Fallback>
        <control shapeId="12321" r:id="rId27" name="ComboBox19"/>
      </mc:Fallback>
    </mc:AlternateContent>
    <mc:AlternateContent xmlns:mc="http://schemas.openxmlformats.org/markup-compatibility/2006">
      <mc:Choice Requires="x14">
        <control shapeId="12322" r:id="rId28" name="ComboBox20">
          <controlPr defaultSize="0" autoLine="0" linkedCell="M11" listFillRange="DRAFT!M2:M18" r:id="rId9">
            <anchor moveWithCells="1">
              <from>
                <xdr:col>12</xdr:col>
                <xdr:colOff>0</xdr:colOff>
                <xdr:row>10</xdr:row>
                <xdr:rowOff>0</xdr:rowOff>
              </from>
              <to>
                <xdr:col>13</xdr:col>
                <xdr:colOff>0</xdr:colOff>
                <xdr:row>11</xdr:row>
                <xdr:rowOff>0</xdr:rowOff>
              </to>
            </anchor>
          </controlPr>
        </control>
      </mc:Choice>
      <mc:Fallback>
        <control shapeId="12322" r:id="rId28" name="ComboBox20"/>
      </mc:Fallback>
    </mc:AlternateContent>
    <mc:AlternateContent xmlns:mc="http://schemas.openxmlformats.org/markup-compatibility/2006">
      <mc:Choice Requires="x14">
        <control shapeId="12323" r:id="rId29" name="Button_Delete">
          <controlPr defaultSize="0" autoFill="0" autoLine="0" autoPict="0" r:id="rId30">
            <anchor moveWithCells="1">
              <from>
                <xdr:col>6</xdr:col>
                <xdr:colOff>0</xdr:colOff>
                <xdr:row>0</xdr:row>
                <xdr:rowOff>0</xdr:rowOff>
              </from>
              <to>
                <xdr:col>7</xdr:col>
                <xdr:colOff>0</xdr:colOff>
                <xdr:row>2</xdr:row>
                <xdr:rowOff>0</xdr:rowOff>
              </to>
            </anchor>
          </controlPr>
        </control>
      </mc:Choice>
      <mc:Fallback>
        <control shapeId="12323" r:id="rId29" name="Button_Delete"/>
      </mc:Fallback>
    </mc:AlternateContent>
    <mc:AlternateContent xmlns:mc="http://schemas.openxmlformats.org/markup-compatibility/2006">
      <mc:Choice Requires="x14">
        <control shapeId="12327" r:id="rId31" name="ComboBox21">
          <controlPr defaultSize="0" autoLine="0" autoPict="0" linkedCell="C12" listFillRange="DRAFT!M2:M18" r:id="rId32">
            <anchor moveWithCells="1">
              <from>
                <xdr:col>2</xdr:col>
                <xdr:colOff>0</xdr:colOff>
                <xdr:row>11</xdr:row>
                <xdr:rowOff>0</xdr:rowOff>
              </from>
              <to>
                <xdr:col>3</xdr:col>
                <xdr:colOff>0</xdr:colOff>
                <xdr:row>12</xdr:row>
                <xdr:rowOff>0</xdr:rowOff>
              </to>
            </anchor>
          </controlPr>
        </control>
      </mc:Choice>
      <mc:Fallback>
        <control shapeId="12327" r:id="rId31" name="ComboBox21"/>
      </mc:Fallback>
    </mc:AlternateContent>
    <mc:AlternateContent xmlns:mc="http://schemas.openxmlformats.org/markup-compatibility/2006">
      <mc:Choice Requires="x14">
        <control shapeId="12328" r:id="rId33" name="ComboBox22">
          <controlPr defaultSize="0" autoLine="0" linkedCell="C13" listFillRange="DRAFT!M2:M18" r:id="rId32">
            <anchor moveWithCells="1">
              <from>
                <xdr:col>2</xdr:col>
                <xdr:colOff>0</xdr:colOff>
                <xdr:row>12</xdr:row>
                <xdr:rowOff>0</xdr:rowOff>
              </from>
              <to>
                <xdr:col>3</xdr:col>
                <xdr:colOff>0</xdr:colOff>
                <xdr:row>13</xdr:row>
                <xdr:rowOff>0</xdr:rowOff>
              </to>
            </anchor>
          </controlPr>
        </control>
      </mc:Choice>
      <mc:Fallback>
        <control shapeId="12328" r:id="rId33" name="ComboBox22"/>
      </mc:Fallback>
    </mc:AlternateContent>
    <mc:AlternateContent xmlns:mc="http://schemas.openxmlformats.org/markup-compatibility/2006">
      <mc:Choice Requires="x14">
        <control shapeId="12329" r:id="rId34" name="ComboBox23">
          <controlPr defaultSize="0" autoLine="0" linkedCell="C14" listFillRange="DRAFT!M2:M18" r:id="rId32">
            <anchor moveWithCells="1">
              <from>
                <xdr:col>2</xdr:col>
                <xdr:colOff>0</xdr:colOff>
                <xdr:row>13</xdr:row>
                <xdr:rowOff>0</xdr:rowOff>
              </from>
              <to>
                <xdr:col>3</xdr:col>
                <xdr:colOff>0</xdr:colOff>
                <xdr:row>14</xdr:row>
                <xdr:rowOff>0</xdr:rowOff>
              </to>
            </anchor>
          </controlPr>
        </control>
      </mc:Choice>
      <mc:Fallback>
        <control shapeId="12329" r:id="rId34" name="ComboBox23"/>
      </mc:Fallback>
    </mc:AlternateContent>
    <mc:AlternateContent xmlns:mc="http://schemas.openxmlformats.org/markup-compatibility/2006">
      <mc:Choice Requires="x14">
        <control shapeId="12330" r:id="rId35" name="ComboBox24">
          <controlPr defaultSize="0" autoLine="0" linkedCell="C15" listFillRange="DRAFT!M2:M18" r:id="rId32">
            <anchor moveWithCells="1">
              <from>
                <xdr:col>2</xdr:col>
                <xdr:colOff>0</xdr:colOff>
                <xdr:row>14</xdr:row>
                <xdr:rowOff>0</xdr:rowOff>
              </from>
              <to>
                <xdr:col>3</xdr:col>
                <xdr:colOff>0</xdr:colOff>
                <xdr:row>15</xdr:row>
                <xdr:rowOff>0</xdr:rowOff>
              </to>
            </anchor>
          </controlPr>
        </control>
      </mc:Choice>
      <mc:Fallback>
        <control shapeId="12330" r:id="rId35" name="ComboBox24"/>
      </mc:Fallback>
    </mc:AlternateContent>
    <mc:AlternateContent xmlns:mc="http://schemas.openxmlformats.org/markup-compatibility/2006">
      <mc:Choice Requires="x14">
        <control shapeId="12331" r:id="rId36" name="ComboBox25">
          <controlPr defaultSize="0" autoLine="0" linkedCell="C16" listFillRange="DRAFT!M2:M18" r:id="rId32">
            <anchor moveWithCells="1">
              <from>
                <xdr:col>2</xdr:col>
                <xdr:colOff>0</xdr:colOff>
                <xdr:row>15</xdr:row>
                <xdr:rowOff>0</xdr:rowOff>
              </from>
              <to>
                <xdr:col>3</xdr:col>
                <xdr:colOff>0</xdr:colOff>
                <xdr:row>16</xdr:row>
                <xdr:rowOff>6350</xdr:rowOff>
              </to>
            </anchor>
          </controlPr>
        </control>
      </mc:Choice>
      <mc:Fallback>
        <control shapeId="12331" r:id="rId36" name="ComboBox25"/>
      </mc:Fallback>
    </mc:AlternateContent>
    <mc:AlternateContent xmlns:mc="http://schemas.openxmlformats.org/markup-compatibility/2006">
      <mc:Choice Requires="x14">
        <control shapeId="12332" r:id="rId37" name="ComboBox26">
          <controlPr defaultSize="0" autoLine="0" linkedCell="C17" listFillRange="DRAFT!M2:M18" r:id="rId32">
            <anchor moveWithCells="1">
              <from>
                <xdr:col>2</xdr:col>
                <xdr:colOff>0</xdr:colOff>
                <xdr:row>16</xdr:row>
                <xdr:rowOff>0</xdr:rowOff>
              </from>
              <to>
                <xdr:col>3</xdr:col>
                <xdr:colOff>0</xdr:colOff>
                <xdr:row>17</xdr:row>
                <xdr:rowOff>6350</xdr:rowOff>
              </to>
            </anchor>
          </controlPr>
        </control>
      </mc:Choice>
      <mc:Fallback>
        <control shapeId="12332" r:id="rId37" name="ComboBox26"/>
      </mc:Fallback>
    </mc:AlternateContent>
    <mc:AlternateContent xmlns:mc="http://schemas.openxmlformats.org/markup-compatibility/2006">
      <mc:Choice Requires="x14">
        <control shapeId="12333" r:id="rId38" name="ComboBox27">
          <controlPr defaultSize="0" autoLine="0" linkedCell="C18" listFillRange="DRAFT!M2:M18" r:id="rId32">
            <anchor moveWithCells="1">
              <from>
                <xdr:col>2</xdr:col>
                <xdr:colOff>0</xdr:colOff>
                <xdr:row>17</xdr:row>
                <xdr:rowOff>0</xdr:rowOff>
              </from>
              <to>
                <xdr:col>3</xdr:col>
                <xdr:colOff>0</xdr:colOff>
                <xdr:row>18</xdr:row>
                <xdr:rowOff>6350</xdr:rowOff>
              </to>
            </anchor>
          </controlPr>
        </control>
      </mc:Choice>
      <mc:Fallback>
        <control shapeId="12333" r:id="rId38" name="ComboBox27"/>
      </mc:Fallback>
    </mc:AlternateContent>
    <mc:AlternateContent xmlns:mc="http://schemas.openxmlformats.org/markup-compatibility/2006">
      <mc:Choice Requires="x14">
        <control shapeId="12334" r:id="rId39" name="ComboBox28">
          <controlPr defaultSize="0" autoLine="0" linkedCell="C19" listFillRange="DRAFT!M2:M18" r:id="rId32">
            <anchor moveWithCells="1">
              <from>
                <xdr:col>2</xdr:col>
                <xdr:colOff>0</xdr:colOff>
                <xdr:row>18</xdr:row>
                <xdr:rowOff>0</xdr:rowOff>
              </from>
              <to>
                <xdr:col>3</xdr:col>
                <xdr:colOff>0</xdr:colOff>
                <xdr:row>19</xdr:row>
                <xdr:rowOff>6350</xdr:rowOff>
              </to>
            </anchor>
          </controlPr>
        </control>
      </mc:Choice>
      <mc:Fallback>
        <control shapeId="12334" r:id="rId39" name="ComboBox28"/>
      </mc:Fallback>
    </mc:AlternateContent>
    <mc:AlternateContent xmlns:mc="http://schemas.openxmlformats.org/markup-compatibility/2006">
      <mc:Choice Requires="x14">
        <control shapeId="12335" r:id="rId40" name="ComboBox29">
          <controlPr defaultSize="0" autoLine="0" linkedCell="C20" listFillRange="DRAFT!M2:M18" r:id="rId32">
            <anchor moveWithCells="1">
              <from>
                <xdr:col>2</xdr:col>
                <xdr:colOff>0</xdr:colOff>
                <xdr:row>19</xdr:row>
                <xdr:rowOff>0</xdr:rowOff>
              </from>
              <to>
                <xdr:col>3</xdr:col>
                <xdr:colOff>0</xdr:colOff>
                <xdr:row>20</xdr:row>
                <xdr:rowOff>6350</xdr:rowOff>
              </to>
            </anchor>
          </controlPr>
        </control>
      </mc:Choice>
      <mc:Fallback>
        <control shapeId="12335" r:id="rId40" name="ComboBox29"/>
      </mc:Fallback>
    </mc:AlternateContent>
    <mc:AlternateContent xmlns:mc="http://schemas.openxmlformats.org/markup-compatibility/2006">
      <mc:Choice Requires="x14">
        <control shapeId="12336" r:id="rId41" name="ComboBox30">
          <controlPr defaultSize="0" autoLine="0" linkedCell="C21" listFillRange="DRAFT!M2:M18" r:id="rId32">
            <anchor moveWithCells="1">
              <from>
                <xdr:col>2</xdr:col>
                <xdr:colOff>0</xdr:colOff>
                <xdr:row>20</xdr:row>
                <xdr:rowOff>0</xdr:rowOff>
              </from>
              <to>
                <xdr:col>3</xdr:col>
                <xdr:colOff>0</xdr:colOff>
                <xdr:row>21</xdr:row>
                <xdr:rowOff>6350</xdr:rowOff>
              </to>
            </anchor>
          </controlPr>
        </control>
      </mc:Choice>
      <mc:Fallback>
        <control shapeId="12336" r:id="rId41" name="ComboBox30"/>
      </mc:Fallback>
    </mc:AlternateContent>
    <mc:AlternateContent xmlns:mc="http://schemas.openxmlformats.org/markup-compatibility/2006">
      <mc:Choice Requires="x14">
        <control shapeId="12344" r:id="rId42" name="DescriptionList">
          <controlPr defaultSize="0" autoLine="0" autoPict="0" linkedCell="E47" listFillRange="DRAFT!AR2:AR3" r:id="rId43">
            <anchor moveWithCells="1">
              <from>
                <xdr:col>4</xdr:col>
                <xdr:colOff>0</xdr:colOff>
                <xdr:row>46</xdr:row>
                <xdr:rowOff>0</xdr:rowOff>
              </from>
              <to>
                <xdr:col>5</xdr:col>
                <xdr:colOff>0</xdr:colOff>
                <xdr:row>47</xdr:row>
                <xdr:rowOff>0</xdr:rowOff>
              </to>
            </anchor>
          </controlPr>
        </control>
      </mc:Choice>
      <mc:Fallback>
        <control shapeId="12344" r:id="rId42" name="DescriptionList"/>
      </mc:Fallback>
    </mc:AlternateContent>
    <mc:AlternateContent xmlns:mc="http://schemas.openxmlformats.org/markup-compatibility/2006">
      <mc:Choice Requires="x14">
        <control shapeId="12325" r:id="rId44" name="Check Box 37">
          <controlPr defaultSize="0" autoFill="0" autoLine="0" autoPict="0">
            <anchor moveWithCells="1">
              <from>
                <xdr:col>7</xdr:col>
                <xdr:colOff>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12337" r:id="rId45" name="Check Box 49">
          <controlPr defaultSize="0" autoFill="0" autoLine="0" autoPict="0">
            <anchor moveWithCells="1">
              <from>
                <xdr:col>3</xdr:col>
                <xdr:colOff>0</xdr:colOff>
                <xdr:row>30</xdr:row>
                <xdr:rowOff>0</xdr:rowOff>
              </from>
              <to>
                <xdr:col>4</xdr:col>
                <xdr:colOff>0</xdr:colOff>
                <xdr:row>30</xdr:row>
                <xdr:rowOff>184150</xdr:rowOff>
              </to>
            </anchor>
          </controlPr>
        </control>
      </mc:Choice>
    </mc:AlternateContent>
    <mc:AlternateContent xmlns:mc="http://schemas.openxmlformats.org/markup-compatibility/2006">
      <mc:Choice Requires="x14">
        <control shapeId="12338" r:id="rId46" name="Check Box 50">
          <controlPr defaultSize="0" autoFill="0" autoLine="0" autoPict="0">
            <anchor moveWithCells="1">
              <from>
                <xdr:col>3</xdr:col>
                <xdr:colOff>965200</xdr:colOff>
                <xdr:row>30</xdr:row>
                <xdr:rowOff>0</xdr:rowOff>
              </from>
              <to>
                <xdr:col>5</xdr:col>
                <xdr:colOff>0</xdr:colOff>
                <xdr:row>30</xdr:row>
                <xdr:rowOff>184150</xdr:rowOff>
              </to>
            </anchor>
          </controlPr>
        </control>
      </mc:Choice>
    </mc:AlternateContent>
    <mc:AlternateContent xmlns:mc="http://schemas.openxmlformats.org/markup-compatibility/2006">
      <mc:Choice Requires="x14">
        <control shapeId="12340" r:id="rId47" name="Check Box 52">
          <controlPr defaultSize="0" autoFill="0" autoLine="0" autoPict="0">
            <anchor moveWithCells="1">
              <from>
                <xdr:col>0</xdr:col>
                <xdr:colOff>0</xdr:colOff>
                <xdr:row>21</xdr:row>
                <xdr:rowOff>184150</xdr:rowOff>
              </from>
              <to>
                <xdr:col>1</xdr:col>
                <xdr:colOff>0</xdr:colOff>
                <xdr:row>23</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5" id="{3FAB1E2B-CB5A-477A-A41C-F00E4E57FE44}">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N2:O11</xm:sqref>
        </x14:conditionalFormatting>
        <x14:conditionalFormatting xmlns:xm="http://schemas.microsoft.com/office/excel/2006/main">
          <x14:cfRule type="expression" priority="19689" id="{752DBA7C-0211-432E-BAF5-3834FD854CFA}">
            <xm:f>WEEKDAY(WORKDAY.INTL(B14,20,"0000000",DRAFT!X2:X123),2)=7</xm:f>
            <x14:dxf>
              <fill>
                <patternFill>
                  <bgColor rgb="FFFF0000"/>
                </patternFill>
              </fill>
            </x14:dxf>
          </x14:cfRule>
          <x14:cfRule type="expression" priority="19690" id="{68E969AA-784B-46E1-A6CC-F275A3F6483B}">
            <xm:f>WEEKDAY(WORKDAY.INTL(B14,20,"0000000",DRAFT!X2:X123),2)=6</xm:f>
            <x14:dxf>
              <fill>
                <patternFill>
                  <bgColor rgb="FFFF0000"/>
                </patternFill>
              </fill>
            </x14:dxf>
          </x14:cfRule>
          <xm:sqref>A14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yStatusList">
    <tabColor rgb="FFFFC000"/>
  </sheetPr>
  <dimension ref="A1:AM2823"/>
  <sheetViews>
    <sheetView zoomScaleNormal="100" workbookViewId="0">
      <pane xSplit="1" ySplit="2" topLeftCell="B3" activePane="bottomRight" state="frozen"/>
      <selection pane="topRight" activeCell="B1" sqref="B1"/>
      <selection pane="bottomLeft" activeCell="A5" sqref="A5"/>
      <selection pane="bottomRight" activeCell="F11" sqref="F11"/>
    </sheetView>
  </sheetViews>
  <sheetFormatPr defaultColWidth="8.7265625" defaultRowHeight="14.5" x14ac:dyDescent="0.35"/>
  <cols>
    <col min="1" max="1" width="11.81640625" style="81" customWidth="1"/>
    <col min="2" max="2" width="11.1796875" style="88" customWidth="1"/>
    <col min="3" max="3" width="10.54296875" style="83" customWidth="1"/>
    <col min="4" max="4" width="10.26953125" style="83" customWidth="1"/>
    <col min="5" max="5" width="13.453125" style="83" customWidth="1"/>
    <col min="6" max="6" width="23.54296875" style="88" customWidth="1"/>
    <col min="7" max="7" width="17.54296875" style="88" customWidth="1"/>
    <col min="8" max="8" width="8" style="81" customWidth="1"/>
    <col min="9" max="9" width="15.7265625" style="81" customWidth="1"/>
    <col min="10" max="10" width="4.54296875" style="93" customWidth="1"/>
    <col min="11" max="11" width="17.1796875" style="81" customWidth="1"/>
    <col min="12" max="12" width="36.7265625" style="88" customWidth="1"/>
    <col min="13" max="13" width="9.453125" style="81" customWidth="1"/>
    <col min="14" max="14" width="13" style="78" customWidth="1"/>
    <col min="15" max="15" width="14.54296875" style="114" customWidth="1"/>
    <col min="16" max="16" width="15.7265625" style="114" customWidth="1"/>
    <col min="17" max="17" width="13.453125" style="78" customWidth="1"/>
    <col min="18" max="18" width="4.7265625" style="78" customWidth="1"/>
    <col min="19" max="19" width="13.81640625" style="78" customWidth="1"/>
    <col min="20" max="20" width="16.81640625" style="78" customWidth="1"/>
    <col min="21" max="23" width="13.81640625" style="78" customWidth="1"/>
    <col min="24" max="24" width="12.54296875" style="78" customWidth="1"/>
    <col min="25" max="28" width="12.54296875" style="576" customWidth="1"/>
    <col min="29" max="29" width="9.36328125" style="78" bestFit="1" customWidth="1"/>
    <col min="30" max="30" width="8.7265625" style="78"/>
    <col min="31" max="31" width="14.7265625" style="78" customWidth="1"/>
    <col min="32" max="32" width="15" style="78" customWidth="1"/>
    <col min="33" max="33" width="10.81640625" style="78" customWidth="1"/>
    <col min="34" max="34" width="9.81640625" style="78" customWidth="1"/>
    <col min="35" max="35" width="11.81640625" style="78" customWidth="1"/>
    <col min="36" max="36" width="16.54296875" style="78" customWidth="1"/>
    <col min="37" max="38" width="16.7265625" style="78" customWidth="1"/>
    <col min="39" max="16384" width="8.7265625" style="78"/>
  </cols>
  <sheetData>
    <row r="1" spans="1:39" ht="15" customHeight="1" thickTop="1" thickBot="1" x14ac:dyDescent="0.4">
      <c r="A1" s="793" t="s">
        <v>4</v>
      </c>
      <c r="B1" s="797" t="s">
        <v>203</v>
      </c>
      <c r="C1" s="799" t="s">
        <v>5</v>
      </c>
      <c r="D1" s="799" t="s">
        <v>6214</v>
      </c>
      <c r="E1" s="799" t="s">
        <v>6215</v>
      </c>
      <c r="F1" s="793" t="s">
        <v>8</v>
      </c>
      <c r="G1" s="793" t="s">
        <v>12</v>
      </c>
      <c r="H1" s="793" t="s">
        <v>204</v>
      </c>
      <c r="I1" s="793" t="s">
        <v>205</v>
      </c>
      <c r="J1" s="393"/>
      <c r="K1" s="793" t="s">
        <v>206</v>
      </c>
      <c r="L1" s="793" t="s">
        <v>3953</v>
      </c>
      <c r="M1" s="793" t="s">
        <v>207</v>
      </c>
      <c r="N1" s="793" t="s">
        <v>2</v>
      </c>
      <c r="O1" s="795" t="s">
        <v>925</v>
      </c>
      <c r="P1" s="795" t="s">
        <v>924</v>
      </c>
      <c r="Q1" s="795" t="s">
        <v>1984</v>
      </c>
      <c r="R1" s="395"/>
      <c r="S1" s="795" t="s">
        <v>206</v>
      </c>
      <c r="T1" s="795" t="s">
        <v>5586</v>
      </c>
      <c r="U1" s="795" t="s">
        <v>4931</v>
      </c>
      <c r="V1" s="795" t="s">
        <v>5593</v>
      </c>
      <c r="W1" s="795" t="s">
        <v>4932</v>
      </c>
      <c r="X1" s="795" t="s">
        <v>4936</v>
      </c>
      <c r="Y1" s="803" t="s">
        <v>6217</v>
      </c>
      <c r="Z1" s="804"/>
      <c r="AA1" s="805"/>
      <c r="AB1" s="801" t="s">
        <v>7812</v>
      </c>
      <c r="AC1" s="320" t="s">
        <v>2467</v>
      </c>
      <c r="AD1" s="320" t="s">
        <v>2451</v>
      </c>
      <c r="AE1" s="326" t="s">
        <v>1991</v>
      </c>
      <c r="AF1" s="326" t="s">
        <v>1990</v>
      </c>
      <c r="AG1" s="326" t="s">
        <v>1989</v>
      </c>
      <c r="AH1" s="326" t="s">
        <v>1988</v>
      </c>
      <c r="AI1" s="325" t="s">
        <v>2458</v>
      </c>
      <c r="AJ1" s="325" t="s">
        <v>2460</v>
      </c>
      <c r="AK1" s="325" t="s">
        <v>2459</v>
      </c>
      <c r="AL1" s="325" t="s">
        <v>1988</v>
      </c>
    </row>
    <row r="2" spans="1:39" s="19" customFormat="1" ht="15.75" customHeight="1" thickTop="1" thickBot="1" x14ac:dyDescent="0.4">
      <c r="A2" s="794"/>
      <c r="B2" s="798"/>
      <c r="C2" s="800"/>
      <c r="D2" s="800"/>
      <c r="E2" s="800"/>
      <c r="F2" s="794"/>
      <c r="G2" s="794"/>
      <c r="H2" s="794"/>
      <c r="I2" s="794"/>
      <c r="J2" s="394"/>
      <c r="K2" s="794"/>
      <c r="L2" s="794"/>
      <c r="M2" s="794"/>
      <c r="N2" s="794"/>
      <c r="O2" s="796"/>
      <c r="P2" s="796"/>
      <c r="Q2" s="796"/>
      <c r="R2" s="396"/>
      <c r="S2" s="796"/>
      <c r="T2" s="796"/>
      <c r="U2" s="796"/>
      <c r="V2" s="796"/>
      <c r="W2" s="796"/>
      <c r="X2" s="796"/>
      <c r="Y2" s="574" t="s">
        <v>122</v>
      </c>
      <c r="Z2" s="574" t="s">
        <v>123</v>
      </c>
      <c r="AA2" s="574" t="s">
        <v>6218</v>
      </c>
      <c r="AB2" s="802"/>
      <c r="AC2" s="321">
        <f>SUBTOTAL(3,Q:Q)-1</f>
        <v>2636</v>
      </c>
      <c r="AD2" s="321">
        <f ca="1">SUBTOTAL(9,AE2:AH2)</f>
        <v>0</v>
      </c>
      <c r="AE2" s="321">
        <f ca="1">COUNTIFS($S:$S,AE1,$D:$D,TODAY()+$AM$2)</f>
        <v>0</v>
      </c>
      <c r="AF2" s="321">
        <f ca="1">COUNTIFS($S:$S,AF1,$D:$D,TODAY()+$AM$2)</f>
        <v>0</v>
      </c>
      <c r="AG2" s="321">
        <f ca="1">COUNTIFS($S:$S,AG1,$D:$D,TODAY()+$AM$2)</f>
        <v>0</v>
      </c>
      <c r="AH2" s="321">
        <f ca="1">COUNTIFS($S:$S,AH1,$D:$D,TODAY()+$AM$2)</f>
        <v>0</v>
      </c>
      <c r="AI2" s="324">
        <f ca="1">COUNTIFS(J:J,1,$D:$D,TODAY()+$AM$2)</f>
        <v>0</v>
      </c>
      <c r="AJ2" s="323">
        <f ca="1">COUNTIFS(K:K,"РЕШ согласовано",$D:$D,TODAY()+$AM$2)</f>
        <v>0</v>
      </c>
      <c r="AK2" s="323">
        <f ca="1">COUNTIFS(K:K,"РЕШ согласование",$D:$D,TODAY()+$AM$2)</f>
        <v>0</v>
      </c>
      <c r="AL2" s="323">
        <f ca="1">COUNTIFS(K:K,"",$D:$D,TODAY()+$AM$2)</f>
        <v>0</v>
      </c>
      <c r="AM2" s="322"/>
    </row>
    <row r="3" spans="1:39" ht="15.75" customHeight="1" thickTop="1" x14ac:dyDescent="0.35">
      <c r="A3" s="69" t="s">
        <v>208</v>
      </c>
      <c r="B3" s="70" t="s">
        <v>209</v>
      </c>
      <c r="C3" s="71">
        <v>43694</v>
      </c>
      <c r="D3" s="122">
        <v>43745</v>
      </c>
      <c r="E3" s="570"/>
      <c r="F3" s="73" t="s">
        <v>210</v>
      </c>
      <c r="G3" s="73"/>
      <c r="H3" s="74"/>
      <c r="I3" s="74"/>
      <c r="J3" s="75">
        <f t="shared" ref="J3:J66" si="0">IF(OR(K3="Документы готовы",K3="Запрос в ФО",K3="ЭЗ",K3="РЕШ",K3="РЕШ шаблон"),0.1,IF(OR(K3="ЭЗ согласование",K3="РЕШ согласование"),0.3,IF(OR(K3="ЭЗ согласовано",K3="РЕШ согласовано",K3="РЕШ подписано"),0.6,IF(OR(K3="ЭЗ ПР согласование",K3="РЕШ УВ согласование"),0.9,IF(OR(K3="ЭЗ ПР DONE",K3="РЕШ УВ DONE"),1,0)))))</f>
        <v>1</v>
      </c>
      <c r="K3" s="76" t="s">
        <v>211</v>
      </c>
      <c r="L3" s="73" t="s">
        <v>212</v>
      </c>
      <c r="M3" s="77">
        <v>1</v>
      </c>
      <c r="N3" s="78" t="s">
        <v>17</v>
      </c>
      <c r="O3" s="114">
        <v>20702</v>
      </c>
      <c r="P3" s="114">
        <v>20702</v>
      </c>
      <c r="R3" s="75">
        <f t="shared" ref="R3" si="1">IF(S3="В работе",0.3,IF(S3="Отписано",0.6,IF(S3="На доработку",0.9,IF(S3="Согласовано",1,0))))</f>
        <v>0</v>
      </c>
      <c r="S3" s="263"/>
      <c r="T3" s="263"/>
      <c r="U3" s="263"/>
      <c r="V3" s="263"/>
      <c r="W3" s="263"/>
      <c r="X3" s="263"/>
      <c r="Y3" s="575"/>
      <c r="Z3" s="575"/>
      <c r="AA3" s="576">
        <f t="shared" ref="AA3:AA66" si="2">Z3-Y3</f>
        <v>0</v>
      </c>
    </row>
    <row r="4" spans="1:39" ht="15.75" customHeight="1" x14ac:dyDescent="0.35">
      <c r="A4" s="69" t="s">
        <v>213</v>
      </c>
      <c r="B4" s="79" t="s">
        <v>214</v>
      </c>
      <c r="C4" s="71">
        <v>43721</v>
      </c>
      <c r="D4" s="80">
        <v>43745</v>
      </c>
      <c r="E4" s="570"/>
      <c r="F4" s="76" t="s">
        <v>215</v>
      </c>
      <c r="G4" s="76"/>
      <c r="H4" s="71" t="s">
        <v>275</v>
      </c>
      <c r="I4" s="71"/>
      <c r="J4" s="75">
        <f t="shared" si="0"/>
        <v>1</v>
      </c>
      <c r="K4" s="76" t="s">
        <v>211</v>
      </c>
      <c r="L4" s="73" t="s">
        <v>216</v>
      </c>
      <c r="M4" s="81">
        <v>0</v>
      </c>
      <c r="N4" s="78" t="s">
        <v>18</v>
      </c>
      <c r="R4" s="75">
        <f t="shared" ref="R4" si="3">IF(S4="В работе",0.3,IF(S4="Отписано",0.6,IF(S4="На доработку",0.9,IF(S4="Согласовано",1,0))))</f>
        <v>0</v>
      </c>
      <c r="S4" s="263"/>
      <c r="T4" s="263"/>
      <c r="U4" s="263"/>
      <c r="V4" s="263"/>
      <c r="W4" s="263"/>
      <c r="X4" s="263"/>
      <c r="Y4" s="575"/>
      <c r="Z4" s="575"/>
      <c r="AA4" s="576">
        <f t="shared" si="2"/>
        <v>0</v>
      </c>
    </row>
    <row r="5" spans="1:39" ht="15.75" customHeight="1" x14ac:dyDescent="0.35">
      <c r="A5" s="69" t="s">
        <v>217</v>
      </c>
      <c r="B5" s="79" t="s">
        <v>218</v>
      </c>
      <c r="C5" s="71">
        <v>43724</v>
      </c>
      <c r="D5" s="82">
        <v>43759</v>
      </c>
      <c r="E5" s="570"/>
      <c r="F5" s="73" t="s">
        <v>219</v>
      </c>
      <c r="G5" s="73" t="s">
        <v>162</v>
      </c>
      <c r="H5" s="74" t="s">
        <v>220</v>
      </c>
      <c r="I5" s="74" t="s">
        <v>652</v>
      </c>
      <c r="J5" s="75">
        <f t="shared" si="0"/>
        <v>1</v>
      </c>
      <c r="K5" s="76" t="s">
        <v>211</v>
      </c>
      <c r="L5" s="97" t="s">
        <v>1192</v>
      </c>
      <c r="M5" s="77">
        <v>1</v>
      </c>
      <c r="N5" s="78" t="s">
        <v>18</v>
      </c>
      <c r="R5" s="75">
        <f t="shared" ref="R5" si="4">IF(S5="В работе",0.3,IF(S5="Отписано",0.6,IF(S5="На доработку",0.9,IF(S5="Согласовано",1,0))))</f>
        <v>0</v>
      </c>
      <c r="S5" s="263"/>
      <c r="T5" s="263"/>
      <c r="U5" s="263"/>
      <c r="V5" s="263"/>
      <c r="W5" s="263"/>
      <c r="X5" s="263"/>
      <c r="Y5" s="575"/>
      <c r="Z5" s="575"/>
      <c r="AA5" s="576">
        <f t="shared" si="2"/>
        <v>0</v>
      </c>
      <c r="AB5" s="722"/>
    </row>
    <row r="6" spans="1:39" ht="15.75" customHeight="1" x14ac:dyDescent="0.35">
      <c r="A6" s="69" t="s">
        <v>222</v>
      </c>
      <c r="B6" s="79" t="s">
        <v>223</v>
      </c>
      <c r="C6" s="71">
        <v>43724</v>
      </c>
      <c r="D6" s="82">
        <v>43759</v>
      </c>
      <c r="E6" s="570"/>
      <c r="F6" s="73" t="s">
        <v>224</v>
      </c>
      <c r="G6" s="73" t="s">
        <v>162</v>
      </c>
      <c r="H6" s="74" t="s">
        <v>220</v>
      </c>
      <c r="I6" s="74" t="s">
        <v>648</v>
      </c>
      <c r="J6" s="75">
        <f t="shared" si="0"/>
        <v>1</v>
      </c>
      <c r="K6" s="76" t="s">
        <v>211</v>
      </c>
      <c r="L6" s="97" t="s">
        <v>1193</v>
      </c>
      <c r="M6" s="77">
        <v>1</v>
      </c>
      <c r="N6" s="78" t="s">
        <v>17</v>
      </c>
      <c r="O6" s="114">
        <v>949.71</v>
      </c>
      <c r="P6" s="114">
        <v>949.71</v>
      </c>
      <c r="R6" s="75">
        <f t="shared" ref="R6" si="5">IF(S6="В работе",0.3,IF(S6="Отписано",0.6,IF(S6="На доработку",0.9,IF(S6="Согласовано",1,0))))</f>
        <v>0</v>
      </c>
      <c r="S6" s="263"/>
      <c r="T6" s="263"/>
      <c r="U6" s="263"/>
      <c r="V6" s="263"/>
      <c r="W6" s="263"/>
      <c r="X6" s="263"/>
      <c r="Y6" s="575"/>
      <c r="Z6" s="575"/>
      <c r="AA6" s="576">
        <f t="shared" si="2"/>
        <v>0</v>
      </c>
      <c r="AB6" s="722"/>
    </row>
    <row r="7" spans="1:39" ht="15.75" customHeight="1" x14ac:dyDescent="0.35">
      <c r="A7" s="69" t="s">
        <v>225</v>
      </c>
      <c r="B7" s="79" t="s">
        <v>226</v>
      </c>
      <c r="C7" s="71">
        <v>43724</v>
      </c>
      <c r="D7" s="72">
        <v>43745</v>
      </c>
      <c r="E7" s="570"/>
      <c r="F7" s="73" t="s">
        <v>227</v>
      </c>
      <c r="G7" s="73"/>
      <c r="H7" s="74"/>
      <c r="I7" s="74"/>
      <c r="J7" s="75">
        <f t="shared" si="0"/>
        <v>1</v>
      </c>
      <c r="K7" s="76" t="s">
        <v>211</v>
      </c>
      <c r="L7" s="73" t="s">
        <v>228</v>
      </c>
      <c r="M7" s="81">
        <v>0</v>
      </c>
      <c r="N7" s="78" t="s">
        <v>18</v>
      </c>
      <c r="R7" s="75">
        <f t="shared" ref="R7" si="6">IF(S7="В работе",0.3,IF(S7="Отписано",0.6,IF(S7="На доработку",0.9,IF(S7="Согласовано",1,0))))</f>
        <v>0</v>
      </c>
      <c r="S7" s="263"/>
      <c r="T7" s="263"/>
      <c r="U7" s="263"/>
      <c r="V7" s="263"/>
      <c r="W7" s="263"/>
      <c r="X7" s="263"/>
      <c r="Y7" s="575"/>
      <c r="Z7" s="575"/>
      <c r="AA7" s="576">
        <f t="shared" si="2"/>
        <v>0</v>
      </c>
      <c r="AB7" s="722"/>
    </row>
    <row r="8" spans="1:39" ht="15.75" customHeight="1" x14ac:dyDescent="0.35">
      <c r="A8" s="84" t="s">
        <v>229</v>
      </c>
      <c r="B8" s="79" t="s">
        <v>230</v>
      </c>
      <c r="C8" s="71">
        <v>43724</v>
      </c>
      <c r="D8" s="72">
        <v>43745</v>
      </c>
      <c r="E8" s="570"/>
      <c r="F8" s="73" t="s">
        <v>231</v>
      </c>
      <c r="G8" s="73"/>
      <c r="H8" s="74"/>
      <c r="I8" s="74"/>
      <c r="J8" s="75">
        <f t="shared" si="0"/>
        <v>1</v>
      </c>
      <c r="K8" s="76" t="s">
        <v>211</v>
      </c>
      <c r="L8" s="73" t="s">
        <v>232</v>
      </c>
      <c r="M8" s="81">
        <v>0</v>
      </c>
      <c r="N8" s="78" t="s">
        <v>18</v>
      </c>
      <c r="R8" s="75">
        <f t="shared" ref="R8" si="7">IF(S8="В работе",0.3,IF(S8="Отписано",0.6,IF(S8="На доработку",0.9,IF(S8="Согласовано",1,0))))</f>
        <v>0</v>
      </c>
      <c r="S8" s="263"/>
      <c r="T8" s="263"/>
      <c r="U8" s="263"/>
      <c r="V8" s="263"/>
      <c r="W8" s="263"/>
      <c r="X8" s="263"/>
      <c r="Y8" s="575"/>
      <c r="Z8" s="575"/>
      <c r="AA8" s="576">
        <f t="shared" si="2"/>
        <v>0</v>
      </c>
      <c r="AB8" s="722"/>
    </row>
    <row r="9" spans="1:39" ht="15.75" customHeight="1" x14ac:dyDescent="0.35">
      <c r="A9" s="69" t="s">
        <v>233</v>
      </c>
      <c r="B9" s="70" t="s">
        <v>234</v>
      </c>
      <c r="C9" s="71">
        <v>43694</v>
      </c>
      <c r="D9" s="72">
        <v>43745</v>
      </c>
      <c r="E9" s="570"/>
      <c r="F9" s="73" t="s">
        <v>235</v>
      </c>
      <c r="G9" s="73"/>
      <c r="H9" s="74"/>
      <c r="I9" s="106" t="s">
        <v>1294</v>
      </c>
      <c r="J9" s="75">
        <f t="shared" si="0"/>
        <v>1</v>
      </c>
      <c r="K9" s="76" t="s">
        <v>211</v>
      </c>
      <c r="L9" s="73" t="s">
        <v>236</v>
      </c>
      <c r="M9" s="77">
        <v>1</v>
      </c>
      <c r="N9" s="78" t="s">
        <v>19</v>
      </c>
      <c r="R9" s="75">
        <f t="shared" ref="R9:R72" si="8">IF(S9="В работе",0.3,IF(S9="Отписано",0.6,IF(S9="На доработку",0.9,IF(S9="Согласовано",1,0))))</f>
        <v>0</v>
      </c>
      <c r="S9" s="263"/>
      <c r="T9" s="263"/>
      <c r="U9" s="263"/>
      <c r="V9" s="263"/>
      <c r="W9" s="263"/>
      <c r="X9" s="263"/>
      <c r="Y9" s="575"/>
      <c r="Z9" s="575"/>
      <c r="AA9" s="576">
        <f t="shared" si="2"/>
        <v>0</v>
      </c>
      <c r="AB9" s="722"/>
    </row>
    <row r="10" spans="1:39" ht="15" customHeight="1" x14ac:dyDescent="0.35">
      <c r="A10" s="84" t="s">
        <v>237</v>
      </c>
      <c r="B10" s="70" t="s">
        <v>238</v>
      </c>
      <c r="C10" s="71">
        <v>43697</v>
      </c>
      <c r="D10" s="96">
        <v>43746</v>
      </c>
      <c r="E10" s="570"/>
      <c r="F10" s="73" t="s">
        <v>239</v>
      </c>
      <c r="G10" s="85"/>
      <c r="H10" s="86"/>
      <c r="I10" s="86"/>
      <c r="J10" s="75">
        <f t="shared" si="0"/>
        <v>1</v>
      </c>
      <c r="K10" s="76" t="s">
        <v>211</v>
      </c>
      <c r="L10" s="73" t="s">
        <v>240</v>
      </c>
      <c r="M10" s="77">
        <v>1</v>
      </c>
      <c r="N10" s="78" t="s">
        <v>17</v>
      </c>
      <c r="O10" s="114">
        <v>85200</v>
      </c>
      <c r="P10" s="114">
        <v>85200</v>
      </c>
      <c r="R10" s="75">
        <f t="shared" si="8"/>
        <v>0</v>
      </c>
      <c r="S10" s="263"/>
      <c r="T10" s="263"/>
      <c r="U10" s="263"/>
      <c r="V10" s="263"/>
      <c r="W10" s="263"/>
      <c r="X10" s="263"/>
      <c r="Y10" s="575"/>
      <c r="Z10" s="575"/>
      <c r="AA10" s="576">
        <f t="shared" si="2"/>
        <v>0</v>
      </c>
      <c r="AB10" s="722"/>
    </row>
    <row r="11" spans="1:39" ht="15.75" customHeight="1" x14ac:dyDescent="0.35">
      <c r="A11" s="69" t="s">
        <v>241</v>
      </c>
      <c r="B11" s="70" t="s">
        <v>242</v>
      </c>
      <c r="C11" s="71">
        <v>43697</v>
      </c>
      <c r="D11" s="96">
        <v>43760</v>
      </c>
      <c r="E11" s="570"/>
      <c r="F11" s="73" t="s">
        <v>243</v>
      </c>
      <c r="G11" s="73" t="s">
        <v>152</v>
      </c>
      <c r="H11" s="74" t="s">
        <v>220</v>
      </c>
      <c r="I11" s="74" t="s">
        <v>664</v>
      </c>
      <c r="J11" s="75">
        <f t="shared" si="0"/>
        <v>1</v>
      </c>
      <c r="K11" s="76" t="s">
        <v>211</v>
      </c>
      <c r="L11" s="97" t="s">
        <v>1194</v>
      </c>
      <c r="M11" s="77">
        <v>1</v>
      </c>
      <c r="N11" s="78" t="s">
        <v>17</v>
      </c>
      <c r="O11" s="114">
        <v>41300</v>
      </c>
      <c r="P11" s="114">
        <v>41300</v>
      </c>
      <c r="R11" s="75">
        <f t="shared" si="8"/>
        <v>0</v>
      </c>
      <c r="S11" s="263"/>
      <c r="T11" s="263"/>
      <c r="U11" s="263"/>
      <c r="V11" s="263"/>
      <c r="W11" s="263"/>
      <c r="X11" s="263"/>
      <c r="Y11" s="575"/>
      <c r="Z11" s="575"/>
      <c r="AA11" s="576">
        <f t="shared" si="2"/>
        <v>0</v>
      </c>
      <c r="AB11" s="722"/>
    </row>
    <row r="12" spans="1:39" ht="15.75" customHeight="1" x14ac:dyDescent="0.35">
      <c r="A12" s="84" t="s">
        <v>244</v>
      </c>
      <c r="B12" s="70" t="s">
        <v>245</v>
      </c>
      <c r="C12" s="71">
        <v>43711</v>
      </c>
      <c r="D12" s="71">
        <v>43746</v>
      </c>
      <c r="E12" s="570"/>
      <c r="F12" s="73" t="s">
        <v>246</v>
      </c>
      <c r="G12" s="73"/>
      <c r="H12" s="74"/>
      <c r="I12" s="74"/>
      <c r="J12" s="75">
        <f t="shared" si="0"/>
        <v>1</v>
      </c>
      <c r="K12" s="76" t="s">
        <v>211</v>
      </c>
      <c r="L12" s="73" t="s">
        <v>247</v>
      </c>
      <c r="M12" s="77">
        <v>1</v>
      </c>
      <c r="N12" s="78" t="s">
        <v>18</v>
      </c>
      <c r="R12" s="75">
        <f t="shared" si="8"/>
        <v>0</v>
      </c>
      <c r="S12" s="263"/>
      <c r="T12" s="263"/>
      <c r="U12" s="263"/>
      <c r="V12" s="263"/>
      <c r="W12" s="263"/>
      <c r="X12" s="263"/>
      <c r="Y12" s="575"/>
      <c r="Z12" s="575"/>
      <c r="AA12" s="576">
        <f t="shared" si="2"/>
        <v>0</v>
      </c>
      <c r="AB12" s="722"/>
    </row>
    <row r="13" spans="1:39" ht="15.75" customHeight="1" x14ac:dyDescent="0.35">
      <c r="A13" s="69" t="s">
        <v>248</v>
      </c>
      <c r="B13" s="70" t="s">
        <v>249</v>
      </c>
      <c r="C13" s="83">
        <v>43725</v>
      </c>
      <c r="D13" s="112">
        <v>43775</v>
      </c>
      <c r="E13" s="570"/>
      <c r="F13" s="88" t="s">
        <v>250</v>
      </c>
      <c r="G13" s="99" t="s">
        <v>170</v>
      </c>
      <c r="H13" s="81" t="s">
        <v>220</v>
      </c>
      <c r="I13" s="98" t="s">
        <v>722</v>
      </c>
      <c r="J13" s="75">
        <f t="shared" si="0"/>
        <v>1</v>
      </c>
      <c r="K13" s="76" t="s">
        <v>211</v>
      </c>
      <c r="L13" s="97" t="s">
        <v>1166</v>
      </c>
      <c r="M13" s="77">
        <v>1</v>
      </c>
      <c r="N13" s="78" t="s">
        <v>18</v>
      </c>
      <c r="R13" s="75">
        <f t="shared" si="8"/>
        <v>0</v>
      </c>
      <c r="S13" s="263"/>
      <c r="T13" s="263"/>
      <c r="U13" s="263"/>
      <c r="V13" s="263"/>
      <c r="W13" s="263"/>
      <c r="X13" s="263"/>
      <c r="Y13" s="575"/>
      <c r="Z13" s="575"/>
      <c r="AA13" s="576">
        <f t="shared" si="2"/>
        <v>0</v>
      </c>
      <c r="AB13" s="722"/>
    </row>
    <row r="14" spans="1:39" ht="15.75" customHeight="1" x14ac:dyDescent="0.35">
      <c r="A14" s="69" t="s">
        <v>251</v>
      </c>
      <c r="B14" s="151" t="s">
        <v>252</v>
      </c>
      <c r="C14" s="71">
        <v>43725</v>
      </c>
      <c r="D14" s="96">
        <v>43789</v>
      </c>
      <c r="E14" s="570"/>
      <c r="F14" s="73" t="s">
        <v>253</v>
      </c>
      <c r="G14" s="73" t="s">
        <v>177</v>
      </c>
      <c r="H14" s="74" t="s">
        <v>220</v>
      </c>
      <c r="I14" s="74"/>
      <c r="J14" s="75">
        <f t="shared" si="0"/>
        <v>1</v>
      </c>
      <c r="K14" s="76" t="s">
        <v>211</v>
      </c>
      <c r="L14" s="97" t="s">
        <v>1694</v>
      </c>
      <c r="M14" s="77">
        <v>1</v>
      </c>
      <c r="N14" s="78" t="s">
        <v>18</v>
      </c>
      <c r="R14" s="75">
        <f t="shared" si="8"/>
        <v>0</v>
      </c>
      <c r="S14" s="263"/>
      <c r="T14" s="263"/>
      <c r="U14" s="263"/>
      <c r="V14" s="263"/>
      <c r="W14" s="263"/>
      <c r="X14" s="263"/>
      <c r="Y14" s="575"/>
      <c r="Z14" s="575"/>
      <c r="AA14" s="576">
        <f t="shared" si="2"/>
        <v>0</v>
      </c>
      <c r="AB14" s="722"/>
    </row>
    <row r="15" spans="1:39" ht="15.75" customHeight="1" x14ac:dyDescent="0.35">
      <c r="A15" s="69" t="s">
        <v>254</v>
      </c>
      <c r="B15" s="70" t="s">
        <v>255</v>
      </c>
      <c r="C15" s="83">
        <v>43725</v>
      </c>
      <c r="D15" s="87">
        <v>43760</v>
      </c>
      <c r="E15" s="570"/>
      <c r="F15" s="88" t="s">
        <v>256</v>
      </c>
      <c r="G15" s="88" t="s">
        <v>162</v>
      </c>
      <c r="H15" s="81" t="s">
        <v>220</v>
      </c>
      <c r="I15" s="81" t="s">
        <v>649</v>
      </c>
      <c r="J15" s="75">
        <f t="shared" si="0"/>
        <v>1</v>
      </c>
      <c r="K15" s="76" t="s">
        <v>211</v>
      </c>
      <c r="L15" s="97" t="s">
        <v>1195</v>
      </c>
      <c r="M15" s="77">
        <v>1</v>
      </c>
      <c r="N15" s="78" t="s">
        <v>18</v>
      </c>
      <c r="R15" s="75">
        <f t="shared" si="8"/>
        <v>0</v>
      </c>
      <c r="S15" s="263"/>
      <c r="T15" s="263"/>
      <c r="U15" s="263"/>
      <c r="V15" s="263"/>
      <c r="W15" s="263"/>
      <c r="X15" s="263"/>
      <c r="Y15" s="575"/>
      <c r="Z15" s="575"/>
      <c r="AA15" s="576">
        <f t="shared" si="2"/>
        <v>0</v>
      </c>
      <c r="AB15" s="722"/>
    </row>
    <row r="16" spans="1:39" ht="15.75" customHeight="1" x14ac:dyDescent="0.35">
      <c r="A16" s="69" t="s">
        <v>257</v>
      </c>
      <c r="B16" s="70" t="s">
        <v>258</v>
      </c>
      <c r="C16" s="71">
        <v>43725</v>
      </c>
      <c r="D16" s="71">
        <v>43746</v>
      </c>
      <c r="E16" s="570"/>
      <c r="F16" s="73" t="s">
        <v>259</v>
      </c>
      <c r="G16" s="73"/>
      <c r="H16" s="74"/>
      <c r="I16" s="74" t="s">
        <v>730</v>
      </c>
      <c r="J16" s="75">
        <f t="shared" si="0"/>
        <v>1</v>
      </c>
      <c r="K16" s="76" t="s">
        <v>211</v>
      </c>
      <c r="L16" s="73" t="s">
        <v>260</v>
      </c>
      <c r="M16" s="81">
        <v>0</v>
      </c>
      <c r="N16" s="78" t="s">
        <v>18</v>
      </c>
      <c r="R16" s="75">
        <f t="shared" si="8"/>
        <v>0</v>
      </c>
      <c r="S16" s="263"/>
      <c r="T16" s="263"/>
      <c r="U16" s="263"/>
      <c r="V16" s="263"/>
      <c r="W16" s="263"/>
      <c r="X16" s="263"/>
      <c r="Y16" s="575"/>
      <c r="Z16" s="575"/>
      <c r="AA16" s="576">
        <f t="shared" si="2"/>
        <v>0</v>
      </c>
      <c r="AB16" s="722"/>
    </row>
    <row r="17" spans="1:28" ht="15.75" customHeight="1" x14ac:dyDescent="0.35">
      <c r="A17" s="69" t="s">
        <v>261</v>
      </c>
      <c r="B17" s="70" t="s">
        <v>262</v>
      </c>
      <c r="C17" s="71">
        <v>43725</v>
      </c>
      <c r="D17" s="82">
        <v>43746</v>
      </c>
      <c r="E17" s="570"/>
      <c r="F17" s="73" t="s">
        <v>263</v>
      </c>
      <c r="G17" s="73"/>
      <c r="H17" s="74"/>
      <c r="I17" s="74" t="s">
        <v>1004</v>
      </c>
      <c r="J17" s="75">
        <f t="shared" si="0"/>
        <v>1</v>
      </c>
      <c r="K17" s="76" t="s">
        <v>211</v>
      </c>
      <c r="L17" s="97" t="s">
        <v>926</v>
      </c>
      <c r="M17" s="81">
        <v>0</v>
      </c>
      <c r="N17" s="78" t="s">
        <v>19</v>
      </c>
      <c r="R17" s="75">
        <f t="shared" si="8"/>
        <v>0</v>
      </c>
      <c r="S17" s="263"/>
      <c r="T17" s="263"/>
      <c r="U17" s="263"/>
      <c r="V17" s="263"/>
      <c r="W17" s="263"/>
      <c r="X17" s="263"/>
      <c r="Y17" s="575"/>
      <c r="Z17" s="575"/>
      <c r="AA17" s="576">
        <f t="shared" si="2"/>
        <v>0</v>
      </c>
      <c r="AB17" s="722"/>
    </row>
    <row r="18" spans="1:28" ht="15.75" customHeight="1" x14ac:dyDescent="0.35">
      <c r="A18" s="69" t="s">
        <v>264</v>
      </c>
      <c r="B18" s="70" t="s">
        <v>265</v>
      </c>
      <c r="C18" s="71">
        <v>43712</v>
      </c>
      <c r="D18" s="96">
        <v>43747</v>
      </c>
      <c r="E18" s="570"/>
      <c r="F18" s="73" t="s">
        <v>266</v>
      </c>
      <c r="G18" s="97" t="s">
        <v>162</v>
      </c>
      <c r="H18" s="74"/>
      <c r="I18" s="74"/>
      <c r="J18" s="75">
        <f t="shared" si="0"/>
        <v>1</v>
      </c>
      <c r="K18" s="76" t="s">
        <v>211</v>
      </c>
      <c r="L18" s="73" t="s">
        <v>267</v>
      </c>
      <c r="M18" s="77">
        <v>1</v>
      </c>
      <c r="N18" s="78" t="s">
        <v>17</v>
      </c>
      <c r="O18" s="114">
        <v>38995</v>
      </c>
      <c r="P18" s="114">
        <v>38995</v>
      </c>
      <c r="R18" s="75">
        <f t="shared" si="8"/>
        <v>0</v>
      </c>
      <c r="S18" s="263"/>
      <c r="T18" s="263"/>
      <c r="U18" s="263"/>
      <c r="V18" s="263"/>
      <c r="W18" s="263"/>
      <c r="X18" s="263"/>
      <c r="Y18" s="575"/>
      <c r="Z18" s="575"/>
      <c r="AA18" s="576">
        <f t="shared" si="2"/>
        <v>0</v>
      </c>
      <c r="AB18" s="722"/>
    </row>
    <row r="19" spans="1:28" ht="15.75" customHeight="1" x14ac:dyDescent="0.35">
      <c r="A19" s="69" t="s">
        <v>268</v>
      </c>
      <c r="B19" s="70" t="s">
        <v>269</v>
      </c>
      <c r="C19" s="71">
        <v>43712</v>
      </c>
      <c r="D19" s="71">
        <v>43747</v>
      </c>
      <c r="E19" s="570"/>
      <c r="F19" s="73" t="s">
        <v>270</v>
      </c>
      <c r="G19" s="73"/>
      <c r="H19" s="74"/>
      <c r="I19" s="74"/>
      <c r="J19" s="75">
        <f t="shared" si="0"/>
        <v>1</v>
      </c>
      <c r="K19" s="76" t="s">
        <v>211</v>
      </c>
      <c r="L19" s="73" t="s">
        <v>271</v>
      </c>
      <c r="M19" s="77">
        <v>1</v>
      </c>
      <c r="N19" s="78" t="s">
        <v>17</v>
      </c>
      <c r="O19" s="114">
        <v>73605</v>
      </c>
      <c r="P19" s="114">
        <v>73605</v>
      </c>
      <c r="R19" s="75">
        <f t="shared" si="8"/>
        <v>0</v>
      </c>
      <c r="S19" s="263"/>
      <c r="T19" s="263"/>
      <c r="U19" s="263"/>
      <c r="V19" s="263"/>
      <c r="W19" s="263"/>
      <c r="X19" s="263"/>
      <c r="Y19" s="575"/>
      <c r="Z19" s="575"/>
      <c r="AA19" s="576">
        <f t="shared" si="2"/>
        <v>0</v>
      </c>
      <c r="AB19" s="722"/>
    </row>
    <row r="20" spans="1:28" ht="15.75" customHeight="1" x14ac:dyDescent="0.35">
      <c r="A20" s="69" t="s">
        <v>272</v>
      </c>
      <c r="B20" s="70" t="s">
        <v>273</v>
      </c>
      <c r="C20" s="83">
        <v>43725</v>
      </c>
      <c r="D20" s="87">
        <v>43761</v>
      </c>
      <c r="E20" s="570"/>
      <c r="F20" s="88" t="s">
        <v>274</v>
      </c>
      <c r="G20" s="88" t="s">
        <v>162</v>
      </c>
      <c r="H20" s="81" t="s">
        <v>275</v>
      </c>
      <c r="I20" s="81" t="s">
        <v>649</v>
      </c>
      <c r="J20" s="75">
        <f t="shared" si="0"/>
        <v>1</v>
      </c>
      <c r="K20" s="76" t="s">
        <v>211</v>
      </c>
      <c r="L20" s="97" t="s">
        <v>1196</v>
      </c>
      <c r="M20" s="77">
        <v>1</v>
      </c>
      <c r="N20" s="78" t="s">
        <v>18</v>
      </c>
      <c r="R20" s="75">
        <f t="shared" si="8"/>
        <v>0</v>
      </c>
      <c r="S20" s="263"/>
      <c r="T20" s="263"/>
      <c r="U20" s="263"/>
      <c r="V20" s="263"/>
      <c r="W20" s="263"/>
      <c r="X20" s="263"/>
      <c r="Y20" s="575"/>
      <c r="Z20" s="575"/>
      <c r="AA20" s="576">
        <f t="shared" si="2"/>
        <v>0</v>
      </c>
      <c r="AB20" s="722"/>
    </row>
    <row r="21" spans="1:28" ht="15.75" customHeight="1" x14ac:dyDescent="0.35">
      <c r="A21" s="69" t="s">
        <v>276</v>
      </c>
      <c r="B21" s="70" t="s">
        <v>277</v>
      </c>
      <c r="C21" s="83">
        <v>43725</v>
      </c>
      <c r="D21" s="87">
        <v>43761</v>
      </c>
      <c r="E21" s="570"/>
      <c r="F21" s="88" t="s">
        <v>278</v>
      </c>
      <c r="G21" s="88" t="s">
        <v>174</v>
      </c>
      <c r="H21" s="81" t="s">
        <v>220</v>
      </c>
      <c r="I21" s="81" t="s">
        <v>648</v>
      </c>
      <c r="J21" s="75">
        <f t="shared" si="0"/>
        <v>1</v>
      </c>
      <c r="K21" s="76" t="s">
        <v>211</v>
      </c>
      <c r="L21" s="97" t="s">
        <v>1197</v>
      </c>
      <c r="M21" s="77">
        <v>1</v>
      </c>
      <c r="N21" s="78" t="s">
        <v>17</v>
      </c>
      <c r="O21" s="114">
        <v>54684</v>
      </c>
      <c r="R21" s="75">
        <f t="shared" si="8"/>
        <v>0</v>
      </c>
      <c r="S21" s="263"/>
      <c r="T21" s="263"/>
      <c r="U21" s="263"/>
      <c r="V21" s="263"/>
      <c r="W21" s="263"/>
      <c r="X21" s="263"/>
      <c r="Y21" s="575"/>
      <c r="Z21" s="575"/>
      <c r="AA21" s="576">
        <f t="shared" si="2"/>
        <v>0</v>
      </c>
      <c r="AB21" s="722"/>
    </row>
    <row r="22" spans="1:28" ht="15.75" customHeight="1" x14ac:dyDescent="0.35">
      <c r="A22" s="69" t="s">
        <v>279</v>
      </c>
      <c r="B22" s="70" t="s">
        <v>280</v>
      </c>
      <c r="C22" s="71">
        <v>43725</v>
      </c>
      <c r="D22" s="71">
        <v>43747</v>
      </c>
      <c r="E22" s="570"/>
      <c r="F22" s="73" t="s">
        <v>281</v>
      </c>
      <c r="G22" s="73"/>
      <c r="H22" s="74"/>
      <c r="I22" s="74"/>
      <c r="J22" s="75">
        <f t="shared" si="0"/>
        <v>1</v>
      </c>
      <c r="K22" s="76" t="s">
        <v>211</v>
      </c>
      <c r="L22" s="73" t="s">
        <v>282</v>
      </c>
      <c r="M22" s="81">
        <v>0</v>
      </c>
      <c r="N22" s="78" t="s">
        <v>17</v>
      </c>
      <c r="O22" s="114">
        <v>48286.79</v>
      </c>
      <c r="P22" s="114">
        <v>48286.79</v>
      </c>
      <c r="R22" s="75">
        <f t="shared" si="8"/>
        <v>0</v>
      </c>
      <c r="S22" s="263"/>
      <c r="T22" s="263"/>
      <c r="U22" s="263"/>
      <c r="V22" s="263"/>
      <c r="W22" s="263"/>
      <c r="X22" s="263"/>
      <c r="Y22" s="575"/>
      <c r="Z22" s="575"/>
      <c r="AA22" s="576">
        <f t="shared" si="2"/>
        <v>0</v>
      </c>
      <c r="AB22" s="722"/>
    </row>
    <row r="23" spans="1:28" ht="15.75" customHeight="1" x14ac:dyDescent="0.35">
      <c r="A23" s="69" t="s">
        <v>283</v>
      </c>
      <c r="B23" s="70" t="s">
        <v>284</v>
      </c>
      <c r="C23" s="71">
        <v>43712</v>
      </c>
      <c r="D23" s="96">
        <v>43748</v>
      </c>
      <c r="E23" s="570"/>
      <c r="F23" s="73" t="s">
        <v>285</v>
      </c>
      <c r="G23" s="73"/>
      <c r="H23" s="74"/>
      <c r="I23" s="74"/>
      <c r="J23" s="75">
        <f t="shared" si="0"/>
        <v>1</v>
      </c>
      <c r="K23" s="76" t="s">
        <v>211</v>
      </c>
      <c r="L23" s="73" t="s">
        <v>286</v>
      </c>
      <c r="M23" s="77">
        <v>1</v>
      </c>
      <c r="N23" s="78" t="s">
        <v>18</v>
      </c>
      <c r="R23" s="75">
        <f t="shared" si="8"/>
        <v>0</v>
      </c>
      <c r="S23" s="263"/>
      <c r="T23" s="263"/>
      <c r="U23" s="263"/>
      <c r="V23" s="263"/>
      <c r="W23" s="263"/>
      <c r="X23" s="263"/>
      <c r="Y23" s="575"/>
      <c r="Z23" s="575"/>
      <c r="AA23" s="576">
        <f t="shared" si="2"/>
        <v>0</v>
      </c>
      <c r="AB23" s="722"/>
    </row>
    <row r="24" spans="1:28" ht="15.75" customHeight="1" x14ac:dyDescent="0.35">
      <c r="A24" s="69" t="s">
        <v>287</v>
      </c>
      <c r="B24" s="70" t="s">
        <v>288</v>
      </c>
      <c r="C24" s="83">
        <v>43712</v>
      </c>
      <c r="D24" s="112">
        <v>43762</v>
      </c>
      <c r="E24" s="570"/>
      <c r="F24" s="88" t="s">
        <v>289</v>
      </c>
      <c r="G24" s="88" t="s">
        <v>181</v>
      </c>
      <c r="H24" s="81" t="s">
        <v>220</v>
      </c>
      <c r="I24" s="81" t="s">
        <v>649</v>
      </c>
      <c r="J24" s="75">
        <f t="shared" si="0"/>
        <v>1</v>
      </c>
      <c r="K24" s="76" t="s">
        <v>211</v>
      </c>
      <c r="L24" s="73" t="s">
        <v>692</v>
      </c>
      <c r="M24" s="77">
        <v>1</v>
      </c>
      <c r="N24" s="78" t="s">
        <v>18</v>
      </c>
      <c r="R24" s="75">
        <f t="shared" si="8"/>
        <v>0</v>
      </c>
      <c r="S24" s="263"/>
      <c r="T24" s="263"/>
      <c r="U24" s="263"/>
      <c r="V24" s="263"/>
      <c r="W24" s="263"/>
      <c r="X24" s="263"/>
      <c r="Y24" s="575"/>
      <c r="Z24" s="575"/>
      <c r="AA24" s="576">
        <f t="shared" si="2"/>
        <v>0</v>
      </c>
      <c r="AB24" s="722"/>
    </row>
    <row r="25" spans="1:28" ht="15.75" customHeight="1" x14ac:dyDescent="0.35">
      <c r="A25" s="69" t="s">
        <v>290</v>
      </c>
      <c r="B25" s="70" t="s">
        <v>291</v>
      </c>
      <c r="C25" s="71">
        <v>43712</v>
      </c>
      <c r="D25" s="71">
        <v>43748</v>
      </c>
      <c r="E25" s="570"/>
      <c r="F25" s="73" t="s">
        <v>292</v>
      </c>
      <c r="G25" s="73"/>
      <c r="H25" s="74"/>
      <c r="I25" s="74"/>
      <c r="J25" s="75">
        <f t="shared" si="0"/>
        <v>1</v>
      </c>
      <c r="K25" s="76" t="s">
        <v>211</v>
      </c>
      <c r="L25" s="73" t="s">
        <v>293</v>
      </c>
      <c r="M25" s="77">
        <v>1</v>
      </c>
      <c r="N25" s="78" t="s">
        <v>17</v>
      </c>
      <c r="O25" s="114">
        <v>9600</v>
      </c>
      <c r="P25" s="114">
        <v>9600</v>
      </c>
      <c r="R25" s="75">
        <f t="shared" si="8"/>
        <v>0</v>
      </c>
      <c r="S25" s="263"/>
      <c r="T25" s="263"/>
      <c r="U25" s="263"/>
      <c r="V25" s="263"/>
      <c r="W25" s="263"/>
      <c r="X25" s="263"/>
      <c r="Y25" s="575"/>
      <c r="Z25" s="575"/>
      <c r="AA25" s="576">
        <f t="shared" si="2"/>
        <v>0</v>
      </c>
      <c r="AB25" s="722"/>
    </row>
    <row r="26" spans="1:28" ht="15.75" customHeight="1" x14ac:dyDescent="0.35">
      <c r="A26" s="69" t="s">
        <v>294</v>
      </c>
      <c r="B26" s="70" t="s">
        <v>295</v>
      </c>
      <c r="C26" s="71">
        <v>43725</v>
      </c>
      <c r="D26" s="71">
        <v>43748</v>
      </c>
      <c r="E26" s="570"/>
      <c r="F26" s="73" t="s">
        <v>296</v>
      </c>
      <c r="G26" s="73"/>
      <c r="H26" s="74"/>
      <c r="I26" s="74"/>
      <c r="J26" s="75">
        <f t="shared" si="0"/>
        <v>1</v>
      </c>
      <c r="K26" s="76" t="s">
        <v>211</v>
      </c>
      <c r="L26" s="73" t="s">
        <v>297</v>
      </c>
      <c r="M26" s="81">
        <v>0</v>
      </c>
      <c r="N26" s="78" t="s">
        <v>17</v>
      </c>
      <c r="O26" s="114">
        <v>32550</v>
      </c>
      <c r="R26" s="75">
        <f t="shared" si="8"/>
        <v>0</v>
      </c>
      <c r="S26" s="263"/>
      <c r="T26" s="263"/>
      <c r="U26" s="263"/>
      <c r="V26" s="263"/>
      <c r="W26" s="263"/>
      <c r="X26" s="263"/>
      <c r="Y26" s="575"/>
      <c r="Z26" s="575"/>
      <c r="AA26" s="576">
        <f t="shared" si="2"/>
        <v>0</v>
      </c>
      <c r="AB26" s="722"/>
    </row>
    <row r="27" spans="1:28" ht="15.75" customHeight="1" x14ac:dyDescent="0.35">
      <c r="A27" s="69" t="s">
        <v>298</v>
      </c>
      <c r="B27" s="70" t="s">
        <v>299</v>
      </c>
      <c r="C27" s="83">
        <v>43726</v>
      </c>
      <c r="D27" s="112">
        <v>43777</v>
      </c>
      <c r="E27" s="570"/>
      <c r="F27" s="88" t="s">
        <v>300</v>
      </c>
      <c r="G27" s="88" t="s">
        <v>162</v>
      </c>
      <c r="H27" s="81" t="s">
        <v>220</v>
      </c>
      <c r="I27" s="98" t="s">
        <v>722</v>
      </c>
      <c r="J27" s="75">
        <f t="shared" si="0"/>
        <v>1</v>
      </c>
      <c r="K27" s="76" t="s">
        <v>211</v>
      </c>
      <c r="L27" s="97" t="s">
        <v>1215</v>
      </c>
      <c r="M27" s="77">
        <v>1</v>
      </c>
      <c r="N27" s="78" t="s">
        <v>17</v>
      </c>
      <c r="O27" s="114">
        <v>3990</v>
      </c>
      <c r="R27" s="75">
        <f t="shared" si="8"/>
        <v>0</v>
      </c>
      <c r="S27" s="263"/>
      <c r="T27" s="263"/>
      <c r="U27" s="263"/>
      <c r="V27" s="263"/>
      <c r="W27" s="263"/>
      <c r="X27" s="263"/>
      <c r="Y27" s="575"/>
      <c r="Z27" s="575"/>
      <c r="AA27" s="576">
        <f t="shared" si="2"/>
        <v>0</v>
      </c>
      <c r="AB27" s="722"/>
    </row>
    <row r="28" spans="1:28" ht="15.75" customHeight="1" x14ac:dyDescent="0.35">
      <c r="A28" s="69" t="s">
        <v>301</v>
      </c>
      <c r="B28" s="70" t="s">
        <v>302</v>
      </c>
      <c r="C28" s="83">
        <v>43726</v>
      </c>
      <c r="D28" s="112">
        <v>43762</v>
      </c>
      <c r="E28" s="570"/>
      <c r="F28" s="88" t="s">
        <v>303</v>
      </c>
      <c r="G28" s="88" t="s">
        <v>154</v>
      </c>
      <c r="H28" s="81" t="s">
        <v>220</v>
      </c>
      <c r="J28" s="75">
        <f t="shared" si="0"/>
        <v>1</v>
      </c>
      <c r="K28" s="76" t="s">
        <v>211</v>
      </c>
      <c r="L28" s="97" t="s">
        <v>1040</v>
      </c>
      <c r="M28" s="77">
        <v>1</v>
      </c>
      <c r="N28" s="78" t="s">
        <v>17</v>
      </c>
      <c r="O28" s="114">
        <v>6784</v>
      </c>
      <c r="R28" s="75">
        <f t="shared" si="8"/>
        <v>0</v>
      </c>
      <c r="S28" s="263"/>
      <c r="T28" s="263"/>
      <c r="U28" s="263"/>
      <c r="V28" s="263"/>
      <c r="W28" s="263"/>
      <c r="X28" s="263"/>
      <c r="Y28" s="575"/>
      <c r="Z28" s="575"/>
      <c r="AA28" s="576">
        <f t="shared" si="2"/>
        <v>0</v>
      </c>
      <c r="AB28" s="722"/>
    </row>
    <row r="29" spans="1:28" ht="15.75" customHeight="1" x14ac:dyDescent="0.35">
      <c r="A29" s="69" t="s">
        <v>304</v>
      </c>
      <c r="B29" s="70" t="s">
        <v>305</v>
      </c>
      <c r="C29" s="83">
        <v>43726</v>
      </c>
      <c r="D29" s="112">
        <v>43777</v>
      </c>
      <c r="E29" s="570"/>
      <c r="F29" s="88" t="s">
        <v>306</v>
      </c>
      <c r="G29" s="99" t="s">
        <v>179</v>
      </c>
      <c r="H29" s="81" t="s">
        <v>220</v>
      </c>
      <c r="I29" s="98" t="s">
        <v>722</v>
      </c>
      <c r="J29" s="75">
        <f t="shared" si="0"/>
        <v>1</v>
      </c>
      <c r="K29" s="76" t="s">
        <v>211</v>
      </c>
      <c r="L29" s="97" t="s">
        <v>1176</v>
      </c>
      <c r="M29" s="77">
        <v>1</v>
      </c>
      <c r="N29" s="78" t="s">
        <v>18</v>
      </c>
      <c r="R29" s="75">
        <f t="shared" si="8"/>
        <v>0</v>
      </c>
      <c r="S29" s="263"/>
      <c r="T29" s="263"/>
      <c r="U29" s="263"/>
      <c r="V29" s="263"/>
      <c r="W29" s="263"/>
      <c r="X29" s="263"/>
      <c r="Y29" s="575"/>
      <c r="Z29" s="575"/>
      <c r="AA29" s="576">
        <f t="shared" si="2"/>
        <v>0</v>
      </c>
      <c r="AB29" s="722"/>
    </row>
    <row r="30" spans="1:28" ht="15.75" customHeight="1" x14ac:dyDescent="0.35">
      <c r="A30" s="69" t="s">
        <v>307</v>
      </c>
      <c r="B30" s="70" t="s">
        <v>308</v>
      </c>
      <c r="C30" s="71">
        <v>43725</v>
      </c>
      <c r="D30" s="71">
        <v>43748</v>
      </c>
      <c r="E30" s="570"/>
      <c r="F30" s="73" t="s">
        <v>309</v>
      </c>
      <c r="G30" s="73"/>
      <c r="H30" s="74"/>
      <c r="I30" s="106" t="s">
        <v>1865</v>
      </c>
      <c r="J30" s="75">
        <f t="shared" si="0"/>
        <v>1</v>
      </c>
      <c r="K30" s="76" t="s">
        <v>211</v>
      </c>
      <c r="L30" s="73" t="s">
        <v>310</v>
      </c>
      <c r="M30" s="81">
        <v>0</v>
      </c>
      <c r="N30" s="78" t="s">
        <v>19</v>
      </c>
      <c r="R30" s="75">
        <f t="shared" si="8"/>
        <v>0</v>
      </c>
      <c r="S30" s="263"/>
      <c r="T30" s="263"/>
      <c r="U30" s="263"/>
      <c r="V30" s="263"/>
      <c r="W30" s="263"/>
      <c r="X30" s="263"/>
      <c r="Y30" s="575"/>
      <c r="Z30" s="575"/>
      <c r="AA30" s="576">
        <f t="shared" si="2"/>
        <v>0</v>
      </c>
      <c r="AB30" s="722"/>
    </row>
    <row r="31" spans="1:28" ht="15.75" customHeight="1" x14ac:dyDescent="0.35">
      <c r="A31" s="69" t="s">
        <v>311</v>
      </c>
      <c r="B31" s="70" t="s">
        <v>312</v>
      </c>
      <c r="C31" s="71">
        <v>43713</v>
      </c>
      <c r="D31" s="71">
        <v>43749</v>
      </c>
      <c r="E31" s="570"/>
      <c r="F31" s="73" t="s">
        <v>313</v>
      </c>
      <c r="G31" s="73"/>
      <c r="H31" s="74"/>
      <c r="I31" s="74" t="s">
        <v>730</v>
      </c>
      <c r="J31" s="75">
        <f t="shared" si="0"/>
        <v>1</v>
      </c>
      <c r="K31" s="76" t="s">
        <v>211</v>
      </c>
      <c r="L31" s="73" t="s">
        <v>314</v>
      </c>
      <c r="M31" s="77">
        <v>1</v>
      </c>
      <c r="N31" s="78" t="s">
        <v>18</v>
      </c>
      <c r="R31" s="75">
        <f t="shared" si="8"/>
        <v>0</v>
      </c>
      <c r="S31" s="263"/>
      <c r="T31" s="263"/>
      <c r="U31" s="263"/>
      <c r="V31" s="263"/>
      <c r="W31" s="263"/>
      <c r="X31" s="263"/>
      <c r="Y31" s="575"/>
      <c r="Z31" s="575"/>
      <c r="AA31" s="576">
        <f t="shared" si="2"/>
        <v>0</v>
      </c>
      <c r="AB31" s="722"/>
    </row>
    <row r="32" spans="1:28" ht="15.75" customHeight="1" x14ac:dyDescent="0.35">
      <c r="A32" s="69" t="s">
        <v>315</v>
      </c>
      <c r="B32" s="70" t="s">
        <v>316</v>
      </c>
      <c r="C32" s="71">
        <v>43699</v>
      </c>
      <c r="D32" s="71">
        <v>43749</v>
      </c>
      <c r="E32" s="570"/>
      <c r="F32" s="73" t="s">
        <v>317</v>
      </c>
      <c r="G32" s="73"/>
      <c r="H32" s="74"/>
      <c r="I32" s="74"/>
      <c r="J32" s="75">
        <f t="shared" si="0"/>
        <v>1</v>
      </c>
      <c r="K32" s="76" t="s">
        <v>211</v>
      </c>
      <c r="L32" s="73" t="s">
        <v>318</v>
      </c>
      <c r="M32" s="77">
        <v>1</v>
      </c>
      <c r="N32" s="78" t="s">
        <v>18</v>
      </c>
      <c r="R32" s="75">
        <f t="shared" si="8"/>
        <v>0</v>
      </c>
      <c r="S32" s="263"/>
      <c r="T32" s="263"/>
      <c r="U32" s="263"/>
      <c r="V32" s="263"/>
      <c r="W32" s="263"/>
      <c r="X32" s="263"/>
      <c r="Y32" s="575"/>
      <c r="Z32" s="575"/>
      <c r="AA32" s="576">
        <f t="shared" si="2"/>
        <v>0</v>
      </c>
      <c r="AB32" s="722"/>
    </row>
    <row r="33" spans="1:28" ht="15.75" customHeight="1" x14ac:dyDescent="0.35">
      <c r="A33" s="69" t="s">
        <v>319</v>
      </c>
      <c r="B33" s="70" t="s">
        <v>320</v>
      </c>
      <c r="C33" s="83">
        <v>43728</v>
      </c>
      <c r="D33" s="112">
        <v>43780</v>
      </c>
      <c r="E33" s="570"/>
      <c r="F33" s="88" t="s">
        <v>321</v>
      </c>
      <c r="G33" s="99" t="s">
        <v>154</v>
      </c>
      <c r="H33" s="81" t="s">
        <v>220</v>
      </c>
      <c r="J33" s="75">
        <f t="shared" si="0"/>
        <v>1</v>
      </c>
      <c r="K33" s="76" t="s">
        <v>211</v>
      </c>
      <c r="L33" s="97" t="s">
        <v>1262</v>
      </c>
      <c r="M33" s="77">
        <v>1</v>
      </c>
      <c r="N33" s="78" t="s">
        <v>17</v>
      </c>
      <c r="O33" s="114">
        <v>7200</v>
      </c>
      <c r="R33" s="75">
        <f t="shared" si="8"/>
        <v>0</v>
      </c>
      <c r="S33" s="263"/>
      <c r="T33" s="263"/>
      <c r="U33" s="263"/>
      <c r="V33" s="263"/>
      <c r="W33" s="263"/>
      <c r="X33" s="263"/>
      <c r="Y33" s="575"/>
      <c r="Z33" s="575"/>
      <c r="AA33" s="576">
        <f t="shared" si="2"/>
        <v>0</v>
      </c>
      <c r="AB33" s="722"/>
    </row>
    <row r="34" spans="1:28" ht="15.75" customHeight="1" x14ac:dyDescent="0.35">
      <c r="A34" s="69" t="s">
        <v>322</v>
      </c>
      <c r="B34" s="70" t="s">
        <v>323</v>
      </c>
      <c r="C34" s="83">
        <v>43728</v>
      </c>
      <c r="D34" s="87">
        <v>43763</v>
      </c>
      <c r="E34" s="570"/>
      <c r="F34" s="88" t="s">
        <v>324</v>
      </c>
      <c r="G34" s="88" t="s">
        <v>160</v>
      </c>
      <c r="H34" s="81" t="s">
        <v>220</v>
      </c>
      <c r="J34" s="75">
        <f t="shared" si="0"/>
        <v>1</v>
      </c>
      <c r="K34" s="76" t="s">
        <v>211</v>
      </c>
      <c r="L34" s="97" t="s">
        <v>1041</v>
      </c>
      <c r="M34" s="77">
        <v>1</v>
      </c>
      <c r="N34" s="78" t="s">
        <v>18</v>
      </c>
      <c r="R34" s="75">
        <f t="shared" si="8"/>
        <v>0</v>
      </c>
      <c r="S34" s="263"/>
      <c r="T34" s="263"/>
      <c r="U34" s="263"/>
      <c r="V34" s="263"/>
      <c r="W34" s="263"/>
      <c r="X34" s="263"/>
      <c r="Y34" s="575"/>
      <c r="Z34" s="575"/>
      <c r="AA34" s="576">
        <f t="shared" si="2"/>
        <v>0</v>
      </c>
      <c r="AB34" s="722"/>
    </row>
    <row r="35" spans="1:28" ht="15.75" customHeight="1" x14ac:dyDescent="0.35">
      <c r="A35" s="69" t="s">
        <v>325</v>
      </c>
      <c r="B35" s="70" t="s">
        <v>326</v>
      </c>
      <c r="C35" s="71">
        <v>43728</v>
      </c>
      <c r="D35" s="71">
        <v>43749</v>
      </c>
      <c r="E35" s="570"/>
      <c r="F35" s="73" t="s">
        <v>327</v>
      </c>
      <c r="G35" s="73"/>
      <c r="H35" s="74" t="s">
        <v>275</v>
      </c>
      <c r="I35" s="74"/>
      <c r="J35" s="75">
        <f t="shared" si="0"/>
        <v>1</v>
      </c>
      <c r="K35" s="76" t="s">
        <v>211</v>
      </c>
      <c r="L35" s="73" t="s">
        <v>328</v>
      </c>
      <c r="M35" s="81">
        <v>0</v>
      </c>
      <c r="N35" s="78" t="s">
        <v>18</v>
      </c>
      <c r="R35" s="75">
        <f t="shared" si="8"/>
        <v>0</v>
      </c>
      <c r="S35" s="263"/>
      <c r="T35" s="263"/>
      <c r="U35" s="263"/>
      <c r="V35" s="263"/>
      <c r="W35" s="263"/>
      <c r="X35" s="263"/>
      <c r="Y35" s="575"/>
      <c r="Z35" s="575"/>
      <c r="AA35" s="576">
        <f t="shared" si="2"/>
        <v>0</v>
      </c>
      <c r="AB35" s="722"/>
    </row>
    <row r="36" spans="1:28" ht="15.75" customHeight="1" x14ac:dyDescent="0.35">
      <c r="A36" s="69" t="s">
        <v>329</v>
      </c>
      <c r="B36" s="70" t="s">
        <v>330</v>
      </c>
      <c r="C36" s="71">
        <v>43728</v>
      </c>
      <c r="D36" s="96">
        <v>43749</v>
      </c>
      <c r="E36" s="570"/>
      <c r="F36" s="73" t="s">
        <v>331</v>
      </c>
      <c r="G36" s="97" t="s">
        <v>186</v>
      </c>
      <c r="H36" s="74"/>
      <c r="I36" s="106" t="s">
        <v>1293</v>
      </c>
      <c r="J36" s="75">
        <f t="shared" si="0"/>
        <v>1</v>
      </c>
      <c r="K36" s="76" t="s">
        <v>211</v>
      </c>
      <c r="L36" s="73" t="s">
        <v>332</v>
      </c>
      <c r="M36" s="81">
        <v>0</v>
      </c>
      <c r="N36" s="78" t="s">
        <v>19</v>
      </c>
      <c r="R36" s="75">
        <f t="shared" si="8"/>
        <v>0</v>
      </c>
      <c r="S36" s="263"/>
      <c r="T36" s="263"/>
      <c r="U36" s="263"/>
      <c r="V36" s="263"/>
      <c r="W36" s="263"/>
      <c r="X36" s="263"/>
      <c r="Y36" s="575"/>
      <c r="Z36" s="575"/>
      <c r="AA36" s="576">
        <f t="shared" si="2"/>
        <v>0</v>
      </c>
      <c r="AB36" s="722"/>
    </row>
    <row r="37" spans="1:28" ht="15.75" customHeight="1" x14ac:dyDescent="0.35">
      <c r="A37" s="69" t="s">
        <v>333</v>
      </c>
      <c r="B37" s="70" t="s">
        <v>334</v>
      </c>
      <c r="C37" s="83">
        <v>43728</v>
      </c>
      <c r="D37" s="249">
        <v>43780</v>
      </c>
      <c r="E37" s="570"/>
      <c r="F37" s="88" t="s">
        <v>335</v>
      </c>
      <c r="G37" s="99" t="s">
        <v>149</v>
      </c>
      <c r="H37" s="81" t="s">
        <v>220</v>
      </c>
      <c r="J37" s="75">
        <f t="shared" si="0"/>
        <v>1</v>
      </c>
      <c r="K37" s="76" t="s">
        <v>211</v>
      </c>
      <c r="L37" s="97" t="s">
        <v>1270</v>
      </c>
      <c r="M37" s="77">
        <v>1</v>
      </c>
      <c r="N37" s="78" t="s">
        <v>17</v>
      </c>
      <c r="O37" s="114">
        <v>149500</v>
      </c>
      <c r="P37" s="114">
        <v>149500</v>
      </c>
      <c r="R37" s="75">
        <f t="shared" si="8"/>
        <v>0</v>
      </c>
      <c r="S37" s="263"/>
      <c r="T37" s="263"/>
      <c r="U37" s="263"/>
      <c r="V37" s="263"/>
      <c r="W37" s="263"/>
      <c r="X37" s="263"/>
      <c r="Y37" s="575"/>
      <c r="Z37" s="575"/>
      <c r="AA37" s="576">
        <f t="shared" si="2"/>
        <v>0</v>
      </c>
      <c r="AB37" s="722"/>
    </row>
    <row r="38" spans="1:28" ht="15.75" customHeight="1" x14ac:dyDescent="0.35">
      <c r="A38" s="69" t="s">
        <v>336</v>
      </c>
      <c r="B38" s="70" t="s">
        <v>337</v>
      </c>
      <c r="C38" s="83">
        <v>43728</v>
      </c>
      <c r="D38" s="87">
        <v>43766</v>
      </c>
      <c r="E38" s="570"/>
      <c r="F38" s="88" t="s">
        <v>338</v>
      </c>
      <c r="G38" s="88" t="s">
        <v>162</v>
      </c>
      <c r="H38" s="81" t="s">
        <v>220</v>
      </c>
      <c r="I38" s="98" t="s">
        <v>863</v>
      </c>
      <c r="J38" s="75">
        <f t="shared" si="0"/>
        <v>1</v>
      </c>
      <c r="K38" s="76" t="s">
        <v>211</v>
      </c>
      <c r="L38" s="97" t="s">
        <v>765</v>
      </c>
      <c r="M38" s="77">
        <v>1</v>
      </c>
      <c r="N38" s="78" t="s">
        <v>18</v>
      </c>
      <c r="R38" s="75">
        <f t="shared" si="8"/>
        <v>0</v>
      </c>
      <c r="S38" s="263"/>
      <c r="T38" s="263"/>
      <c r="U38" s="263"/>
      <c r="V38" s="263"/>
      <c r="W38" s="263"/>
      <c r="X38" s="263"/>
      <c r="Y38" s="575"/>
      <c r="Z38" s="575"/>
      <c r="AA38" s="576">
        <f t="shared" si="2"/>
        <v>0</v>
      </c>
      <c r="AB38" s="722"/>
    </row>
    <row r="39" spans="1:28" ht="15.75" customHeight="1" x14ac:dyDescent="0.35">
      <c r="A39" s="69" t="s">
        <v>339</v>
      </c>
      <c r="B39" s="70" t="s">
        <v>340</v>
      </c>
      <c r="C39" s="71">
        <v>43728</v>
      </c>
      <c r="D39" s="71">
        <v>43752</v>
      </c>
      <c r="E39" s="570"/>
      <c r="F39" s="73" t="s">
        <v>341</v>
      </c>
      <c r="G39" s="73"/>
      <c r="H39" s="74"/>
      <c r="I39" s="106" t="s">
        <v>629</v>
      </c>
      <c r="J39" s="75">
        <f t="shared" si="0"/>
        <v>1</v>
      </c>
      <c r="K39" s="76" t="s">
        <v>211</v>
      </c>
      <c r="L39" s="73" t="s">
        <v>342</v>
      </c>
      <c r="M39" s="81">
        <v>0</v>
      </c>
      <c r="N39" s="78" t="s">
        <v>19</v>
      </c>
      <c r="R39" s="75">
        <f t="shared" si="8"/>
        <v>0</v>
      </c>
      <c r="S39" s="263"/>
      <c r="T39" s="263"/>
      <c r="U39" s="263"/>
      <c r="V39" s="263"/>
      <c r="W39" s="263"/>
      <c r="X39" s="263"/>
      <c r="Y39" s="575"/>
      <c r="Z39" s="575"/>
      <c r="AA39" s="576">
        <f t="shared" si="2"/>
        <v>0</v>
      </c>
      <c r="AB39" s="722"/>
    </row>
    <row r="40" spans="1:28" ht="15.75" customHeight="1" x14ac:dyDescent="0.35">
      <c r="A40" s="69" t="s">
        <v>343</v>
      </c>
      <c r="B40" s="70" t="s">
        <v>344</v>
      </c>
      <c r="C40" s="71">
        <v>43728</v>
      </c>
      <c r="D40" s="87">
        <v>43766</v>
      </c>
      <c r="E40" s="570"/>
      <c r="F40" s="88" t="s">
        <v>345</v>
      </c>
      <c r="G40" s="88" t="s">
        <v>195</v>
      </c>
      <c r="H40" s="81" t="s">
        <v>220</v>
      </c>
      <c r="I40" s="98" t="s">
        <v>722</v>
      </c>
      <c r="J40" s="75">
        <f t="shared" si="0"/>
        <v>1</v>
      </c>
      <c r="K40" s="76" t="s">
        <v>211</v>
      </c>
      <c r="L40" s="97" t="s">
        <v>865</v>
      </c>
      <c r="M40" s="77">
        <v>1</v>
      </c>
      <c r="N40" s="78" t="s">
        <v>18</v>
      </c>
      <c r="R40" s="75">
        <f t="shared" si="8"/>
        <v>0</v>
      </c>
      <c r="S40" s="263"/>
      <c r="T40" s="263"/>
      <c r="U40" s="263"/>
      <c r="V40" s="263"/>
      <c r="W40" s="263"/>
      <c r="X40" s="263"/>
      <c r="Y40" s="575"/>
      <c r="Z40" s="575"/>
      <c r="AA40" s="576">
        <f t="shared" si="2"/>
        <v>0</v>
      </c>
      <c r="AB40" s="722"/>
    </row>
    <row r="41" spans="1:28" ht="15.75" customHeight="1" x14ac:dyDescent="0.35">
      <c r="A41" s="69" t="s">
        <v>346</v>
      </c>
      <c r="B41" s="70" t="s">
        <v>347</v>
      </c>
      <c r="C41" s="71">
        <v>43717</v>
      </c>
      <c r="D41" s="71">
        <v>43752</v>
      </c>
      <c r="E41" s="570"/>
      <c r="F41" s="73" t="s">
        <v>348</v>
      </c>
      <c r="G41" s="73"/>
      <c r="H41" s="74"/>
      <c r="I41" s="74"/>
      <c r="J41" s="75">
        <f t="shared" si="0"/>
        <v>1</v>
      </c>
      <c r="K41" s="76" t="s">
        <v>211</v>
      </c>
      <c r="L41" s="73" t="s">
        <v>349</v>
      </c>
      <c r="M41" s="77">
        <v>1</v>
      </c>
      <c r="N41" s="78" t="s">
        <v>17</v>
      </c>
      <c r="O41" s="114">
        <v>375900</v>
      </c>
      <c r="P41" s="114">
        <v>375900</v>
      </c>
      <c r="R41" s="75">
        <f t="shared" si="8"/>
        <v>0</v>
      </c>
      <c r="S41" s="263"/>
      <c r="T41" s="263"/>
      <c r="U41" s="263"/>
      <c r="V41" s="263"/>
      <c r="W41" s="263"/>
      <c r="X41" s="263"/>
      <c r="Y41" s="575"/>
      <c r="Z41" s="575"/>
      <c r="AA41" s="576">
        <f t="shared" si="2"/>
        <v>0</v>
      </c>
      <c r="AB41" s="722"/>
    </row>
    <row r="42" spans="1:28" ht="15.75" customHeight="1" x14ac:dyDescent="0.35">
      <c r="A42" s="69" t="s">
        <v>350</v>
      </c>
      <c r="B42" s="70" t="s">
        <v>351</v>
      </c>
      <c r="C42" s="71">
        <v>43717</v>
      </c>
      <c r="D42" s="96">
        <v>43752</v>
      </c>
      <c r="E42" s="570"/>
      <c r="F42" s="73" t="s">
        <v>352</v>
      </c>
      <c r="G42" s="73"/>
      <c r="H42" s="74"/>
      <c r="I42" s="74"/>
      <c r="J42" s="75">
        <f t="shared" si="0"/>
        <v>1</v>
      </c>
      <c r="K42" s="76" t="s">
        <v>211</v>
      </c>
      <c r="L42" s="73" t="s">
        <v>353</v>
      </c>
      <c r="M42" s="77">
        <v>1</v>
      </c>
      <c r="N42" s="78" t="s">
        <v>17</v>
      </c>
      <c r="O42" s="114">
        <v>15246</v>
      </c>
      <c r="P42" s="114">
        <v>15246</v>
      </c>
      <c r="R42" s="75">
        <f t="shared" si="8"/>
        <v>0</v>
      </c>
      <c r="S42" s="263"/>
      <c r="T42" s="263"/>
      <c r="U42" s="263"/>
      <c r="V42" s="263"/>
      <c r="W42" s="263"/>
      <c r="X42" s="263"/>
      <c r="Y42" s="575"/>
      <c r="Z42" s="575"/>
      <c r="AA42" s="576">
        <f t="shared" si="2"/>
        <v>0</v>
      </c>
      <c r="AB42" s="722"/>
    </row>
    <row r="43" spans="1:28" ht="15.75" customHeight="1" x14ac:dyDescent="0.35">
      <c r="A43" s="69" t="s">
        <v>354</v>
      </c>
      <c r="B43" s="70" t="s">
        <v>355</v>
      </c>
      <c r="C43" s="71">
        <v>43717</v>
      </c>
      <c r="D43" s="71">
        <v>43752</v>
      </c>
      <c r="E43" s="570"/>
      <c r="F43" s="73" t="s">
        <v>356</v>
      </c>
      <c r="G43" s="73"/>
      <c r="H43" s="74"/>
      <c r="I43" s="74"/>
      <c r="J43" s="75">
        <f t="shared" si="0"/>
        <v>1</v>
      </c>
      <c r="K43" s="76" t="s">
        <v>211</v>
      </c>
      <c r="L43" s="97" t="s">
        <v>1008</v>
      </c>
      <c r="M43" s="77">
        <v>1</v>
      </c>
      <c r="N43" s="78" t="s">
        <v>17</v>
      </c>
      <c r="O43" s="114">
        <v>10964.2</v>
      </c>
      <c r="P43" s="114">
        <v>10964.2</v>
      </c>
      <c r="R43" s="75">
        <f t="shared" si="8"/>
        <v>0</v>
      </c>
      <c r="S43" s="263"/>
      <c r="T43" s="263"/>
      <c r="U43" s="263"/>
      <c r="V43" s="263"/>
      <c r="W43" s="263"/>
      <c r="X43" s="263"/>
      <c r="Y43" s="575"/>
      <c r="Z43" s="575"/>
      <c r="AA43" s="576">
        <f t="shared" si="2"/>
        <v>0</v>
      </c>
      <c r="AB43" s="722"/>
    </row>
    <row r="44" spans="1:28" ht="15.75" customHeight="1" x14ac:dyDescent="0.35">
      <c r="A44" s="69" t="s">
        <v>357</v>
      </c>
      <c r="B44" s="70" t="s">
        <v>358</v>
      </c>
      <c r="C44" s="71">
        <v>43731</v>
      </c>
      <c r="D44" s="71">
        <v>43753</v>
      </c>
      <c r="E44" s="570"/>
      <c r="F44" s="73" t="s">
        <v>359</v>
      </c>
      <c r="G44" s="97" t="s">
        <v>154</v>
      </c>
      <c r="H44" s="74"/>
      <c r="I44" s="74"/>
      <c r="J44" s="75">
        <f t="shared" si="0"/>
        <v>1</v>
      </c>
      <c r="K44" s="76" t="s">
        <v>211</v>
      </c>
      <c r="L44" s="73" t="s">
        <v>360</v>
      </c>
      <c r="M44" s="81">
        <v>0</v>
      </c>
      <c r="N44" s="78" t="s">
        <v>17</v>
      </c>
      <c r="O44" s="114">
        <v>149784.07</v>
      </c>
      <c r="R44" s="75">
        <f t="shared" si="8"/>
        <v>0</v>
      </c>
      <c r="S44" s="263"/>
      <c r="T44" s="263"/>
      <c r="U44" s="263"/>
      <c r="V44" s="263"/>
      <c r="W44" s="263"/>
      <c r="X44" s="263"/>
      <c r="Y44" s="575"/>
      <c r="Z44" s="575"/>
      <c r="AA44" s="576">
        <f t="shared" si="2"/>
        <v>0</v>
      </c>
      <c r="AB44" s="722"/>
    </row>
    <row r="45" spans="1:28" ht="15.75" customHeight="1" x14ac:dyDescent="0.35">
      <c r="A45" s="69" t="s">
        <v>361</v>
      </c>
      <c r="B45" s="70" t="s">
        <v>362</v>
      </c>
      <c r="C45" s="71">
        <v>43731</v>
      </c>
      <c r="D45" s="82">
        <v>43753</v>
      </c>
      <c r="E45" s="570"/>
      <c r="F45" s="73" t="s">
        <v>363</v>
      </c>
      <c r="G45" s="73"/>
      <c r="H45" s="74"/>
      <c r="I45" s="74" t="s">
        <v>730</v>
      </c>
      <c r="J45" s="75">
        <f t="shared" si="0"/>
        <v>1</v>
      </c>
      <c r="K45" s="76" t="s">
        <v>211</v>
      </c>
      <c r="L45" s="73" t="s">
        <v>364</v>
      </c>
      <c r="M45" s="81">
        <v>0</v>
      </c>
      <c r="N45" s="78" t="s">
        <v>18</v>
      </c>
      <c r="R45" s="75">
        <f t="shared" si="8"/>
        <v>0</v>
      </c>
      <c r="S45" s="263"/>
      <c r="T45" s="263"/>
      <c r="U45" s="263"/>
      <c r="V45" s="263"/>
      <c r="W45" s="263"/>
      <c r="X45" s="263"/>
      <c r="Y45" s="575"/>
      <c r="Z45" s="575"/>
      <c r="AA45" s="576">
        <f t="shared" si="2"/>
        <v>0</v>
      </c>
      <c r="AB45" s="722"/>
    </row>
    <row r="46" spans="1:28" ht="15.75" customHeight="1" x14ac:dyDescent="0.35">
      <c r="A46" s="69" t="s">
        <v>365</v>
      </c>
      <c r="B46" s="70" t="s">
        <v>366</v>
      </c>
      <c r="C46" s="71">
        <v>43731</v>
      </c>
      <c r="D46" s="96">
        <v>43782</v>
      </c>
      <c r="E46" s="570"/>
      <c r="F46" s="73" t="s">
        <v>367</v>
      </c>
      <c r="G46" s="73" t="s">
        <v>198</v>
      </c>
      <c r="H46" s="74" t="s">
        <v>220</v>
      </c>
      <c r="I46" s="74"/>
      <c r="J46" s="75">
        <f t="shared" si="0"/>
        <v>1</v>
      </c>
      <c r="K46" s="76" t="s">
        <v>211</v>
      </c>
      <c r="L46" s="97" t="s">
        <v>1182</v>
      </c>
      <c r="M46" s="77">
        <v>1</v>
      </c>
      <c r="N46" s="78" t="s">
        <v>17</v>
      </c>
      <c r="O46" s="114">
        <v>7200</v>
      </c>
      <c r="P46" s="114">
        <v>7200</v>
      </c>
      <c r="R46" s="75">
        <f t="shared" si="8"/>
        <v>0</v>
      </c>
      <c r="S46" s="263"/>
      <c r="T46" s="263"/>
      <c r="U46" s="263"/>
      <c r="V46" s="263"/>
      <c r="W46" s="263"/>
      <c r="X46" s="263"/>
      <c r="Y46" s="575"/>
      <c r="Z46" s="575"/>
      <c r="AA46" s="576">
        <f t="shared" si="2"/>
        <v>0</v>
      </c>
      <c r="AB46" s="722"/>
    </row>
    <row r="47" spans="1:28" ht="15.75" customHeight="1" x14ac:dyDescent="0.35">
      <c r="A47" s="69" t="s">
        <v>368</v>
      </c>
      <c r="B47" s="70" t="s">
        <v>369</v>
      </c>
      <c r="C47" s="71">
        <v>43731</v>
      </c>
      <c r="D47" s="96">
        <v>43753</v>
      </c>
      <c r="E47" s="570"/>
      <c r="F47" s="97" t="s">
        <v>927</v>
      </c>
      <c r="G47" s="73"/>
      <c r="H47" s="74"/>
      <c r="I47" s="74"/>
      <c r="J47" s="75">
        <f t="shared" si="0"/>
        <v>1</v>
      </c>
      <c r="K47" s="76" t="s">
        <v>211</v>
      </c>
      <c r="L47" s="73" t="s">
        <v>370</v>
      </c>
      <c r="M47" s="81">
        <v>0</v>
      </c>
      <c r="N47" s="78" t="s">
        <v>17</v>
      </c>
      <c r="O47" s="114">
        <v>475000</v>
      </c>
      <c r="P47" s="114">
        <v>475000</v>
      </c>
      <c r="R47" s="75">
        <f t="shared" si="8"/>
        <v>0</v>
      </c>
      <c r="S47" s="263"/>
      <c r="T47" s="263"/>
      <c r="U47" s="263"/>
      <c r="V47" s="263"/>
      <c r="W47" s="263"/>
      <c r="X47" s="263"/>
      <c r="Y47" s="575"/>
      <c r="Z47" s="575"/>
      <c r="AA47" s="576">
        <f t="shared" si="2"/>
        <v>0</v>
      </c>
      <c r="AB47" s="722"/>
    </row>
    <row r="48" spans="1:28" ht="15.75" customHeight="1" x14ac:dyDescent="0.35">
      <c r="A48" s="69" t="s">
        <v>371</v>
      </c>
      <c r="B48" s="70" t="s">
        <v>372</v>
      </c>
      <c r="C48" s="71">
        <v>43731</v>
      </c>
      <c r="D48" s="96">
        <v>43767</v>
      </c>
      <c r="E48" s="570"/>
      <c r="F48" s="73" t="s">
        <v>373</v>
      </c>
      <c r="G48" s="73" t="s">
        <v>149</v>
      </c>
      <c r="H48" s="74" t="s">
        <v>220</v>
      </c>
      <c r="I48" s="106" t="s">
        <v>649</v>
      </c>
      <c r="J48" s="75">
        <f t="shared" si="0"/>
        <v>1</v>
      </c>
      <c r="K48" s="76" t="s">
        <v>211</v>
      </c>
      <c r="L48" s="97" t="s">
        <v>894</v>
      </c>
      <c r="M48" s="77">
        <v>1</v>
      </c>
      <c r="N48" s="78" t="s">
        <v>17</v>
      </c>
      <c r="O48" s="114">
        <v>122900</v>
      </c>
      <c r="P48" s="114">
        <v>122900</v>
      </c>
      <c r="R48" s="75">
        <f t="shared" si="8"/>
        <v>0</v>
      </c>
      <c r="S48" s="263"/>
      <c r="T48" s="263"/>
      <c r="U48" s="263"/>
      <c r="V48" s="263"/>
      <c r="W48" s="263"/>
      <c r="X48" s="263"/>
      <c r="Y48" s="575"/>
      <c r="Z48" s="575"/>
      <c r="AA48" s="576">
        <f t="shared" si="2"/>
        <v>0</v>
      </c>
      <c r="AB48" s="722"/>
    </row>
    <row r="49" spans="1:28" ht="15.75" customHeight="1" x14ac:dyDescent="0.35">
      <c r="A49" s="69" t="s">
        <v>374</v>
      </c>
      <c r="B49" s="70" t="s">
        <v>375</v>
      </c>
      <c r="C49" s="71">
        <v>43731</v>
      </c>
      <c r="D49" s="96">
        <v>43767</v>
      </c>
      <c r="E49" s="570"/>
      <c r="F49" s="73" t="s">
        <v>376</v>
      </c>
      <c r="G49" s="73" t="s">
        <v>162</v>
      </c>
      <c r="H49" s="74" t="s">
        <v>220</v>
      </c>
      <c r="I49" s="106" t="s">
        <v>648</v>
      </c>
      <c r="J49" s="75">
        <f t="shared" si="0"/>
        <v>1</v>
      </c>
      <c r="K49" s="76" t="s">
        <v>211</v>
      </c>
      <c r="L49" s="97" t="s">
        <v>762</v>
      </c>
      <c r="M49" s="77">
        <v>1</v>
      </c>
      <c r="N49" s="78" t="s">
        <v>17</v>
      </c>
      <c r="O49" s="114">
        <v>9971.61</v>
      </c>
      <c r="P49" s="114">
        <v>9971.61</v>
      </c>
      <c r="R49" s="75">
        <f t="shared" si="8"/>
        <v>0</v>
      </c>
      <c r="S49" s="263"/>
      <c r="T49" s="263"/>
      <c r="U49" s="263"/>
      <c r="V49" s="263"/>
      <c r="W49" s="263"/>
      <c r="X49" s="263"/>
      <c r="Y49" s="575"/>
      <c r="Z49" s="575"/>
      <c r="AA49" s="576">
        <f t="shared" si="2"/>
        <v>0</v>
      </c>
      <c r="AB49" s="722"/>
    </row>
    <row r="50" spans="1:28" ht="15.75" customHeight="1" x14ac:dyDescent="0.35">
      <c r="A50" s="123" t="s">
        <v>378</v>
      </c>
      <c r="B50" s="70" t="s">
        <v>379</v>
      </c>
      <c r="C50" s="71">
        <v>43731</v>
      </c>
      <c r="D50" s="96">
        <v>43767</v>
      </c>
      <c r="E50" s="570"/>
      <c r="F50" s="73" t="s">
        <v>380</v>
      </c>
      <c r="G50" s="73" t="s">
        <v>149</v>
      </c>
      <c r="H50" s="74" t="s">
        <v>220</v>
      </c>
      <c r="I50" s="106" t="s">
        <v>722</v>
      </c>
      <c r="J50" s="75">
        <f t="shared" si="0"/>
        <v>1</v>
      </c>
      <c r="K50" s="76" t="s">
        <v>211</v>
      </c>
      <c r="L50" s="97" t="s">
        <v>762</v>
      </c>
      <c r="M50" s="77">
        <v>1</v>
      </c>
      <c r="N50" s="78" t="s">
        <v>18</v>
      </c>
      <c r="R50" s="75">
        <f t="shared" si="8"/>
        <v>0</v>
      </c>
      <c r="S50" s="263"/>
      <c r="T50" s="263"/>
      <c r="U50" s="263"/>
      <c r="V50" s="263"/>
      <c r="W50" s="263"/>
      <c r="X50" s="263"/>
      <c r="Y50" s="575"/>
      <c r="Z50" s="575"/>
      <c r="AA50" s="576">
        <f t="shared" si="2"/>
        <v>0</v>
      </c>
      <c r="AB50" s="722"/>
    </row>
    <row r="51" spans="1:28" ht="15.75" customHeight="1" x14ac:dyDescent="0.35">
      <c r="A51" s="69" t="s">
        <v>381</v>
      </c>
      <c r="B51" s="70" t="s">
        <v>382</v>
      </c>
      <c r="C51" s="71">
        <v>43703</v>
      </c>
      <c r="D51" s="82">
        <v>43753</v>
      </c>
      <c r="E51" s="570"/>
      <c r="F51" s="73" t="s">
        <v>383</v>
      </c>
      <c r="G51" s="73"/>
      <c r="H51" s="74"/>
      <c r="I51" s="74"/>
      <c r="J51" s="75">
        <f t="shared" si="0"/>
        <v>1</v>
      </c>
      <c r="K51" s="76" t="s">
        <v>211</v>
      </c>
      <c r="L51" s="73" t="s">
        <v>384</v>
      </c>
      <c r="M51" s="77">
        <v>1</v>
      </c>
      <c r="N51" s="78" t="s">
        <v>18</v>
      </c>
      <c r="R51" s="75">
        <f t="shared" si="8"/>
        <v>0</v>
      </c>
      <c r="S51" s="263"/>
      <c r="T51" s="263"/>
      <c r="U51" s="263"/>
      <c r="V51" s="263"/>
      <c r="W51" s="263"/>
      <c r="X51" s="263"/>
      <c r="Y51" s="575"/>
      <c r="Z51" s="575"/>
      <c r="AA51" s="576">
        <f t="shared" si="2"/>
        <v>0</v>
      </c>
      <c r="AB51" s="722"/>
    </row>
    <row r="52" spans="1:28" ht="15.75" customHeight="1" x14ac:dyDescent="0.35">
      <c r="A52" s="69" t="s">
        <v>385</v>
      </c>
      <c r="B52" s="70" t="s">
        <v>386</v>
      </c>
      <c r="C52" s="71">
        <v>43732</v>
      </c>
      <c r="D52" s="96">
        <v>43754</v>
      </c>
      <c r="E52" s="570"/>
      <c r="F52" s="73" t="s">
        <v>387</v>
      </c>
      <c r="G52" s="73" t="s">
        <v>168</v>
      </c>
      <c r="H52" s="74" t="s">
        <v>220</v>
      </c>
      <c r="I52" s="74"/>
      <c r="J52" s="75">
        <f t="shared" si="0"/>
        <v>1</v>
      </c>
      <c r="K52" s="76" t="s">
        <v>211</v>
      </c>
      <c r="L52" s="73" t="s">
        <v>388</v>
      </c>
      <c r="M52" s="81">
        <v>0</v>
      </c>
      <c r="N52" s="78" t="s">
        <v>18</v>
      </c>
      <c r="R52" s="75">
        <f t="shared" si="8"/>
        <v>0</v>
      </c>
      <c r="S52" s="263"/>
      <c r="T52" s="263"/>
      <c r="U52" s="263"/>
      <c r="V52" s="263"/>
      <c r="W52" s="263"/>
      <c r="X52" s="263"/>
      <c r="Y52" s="575"/>
      <c r="Z52" s="575"/>
      <c r="AA52" s="576">
        <f t="shared" si="2"/>
        <v>0</v>
      </c>
      <c r="AB52" s="722"/>
    </row>
    <row r="53" spans="1:28" ht="15.75" customHeight="1" x14ac:dyDescent="0.35">
      <c r="A53" s="69" t="s">
        <v>389</v>
      </c>
      <c r="B53" s="70" t="s">
        <v>390</v>
      </c>
      <c r="C53" s="71">
        <v>43732</v>
      </c>
      <c r="D53" s="82">
        <v>43754</v>
      </c>
      <c r="E53" s="570"/>
      <c r="F53" s="73" t="s">
        <v>391</v>
      </c>
      <c r="G53" s="73" t="s">
        <v>160</v>
      </c>
      <c r="H53" s="74" t="s">
        <v>220</v>
      </c>
      <c r="I53" s="74"/>
      <c r="J53" s="75">
        <f t="shared" si="0"/>
        <v>1</v>
      </c>
      <c r="K53" s="76" t="s">
        <v>211</v>
      </c>
      <c r="L53" s="73" t="s">
        <v>392</v>
      </c>
      <c r="M53" s="81">
        <v>0</v>
      </c>
      <c r="N53" s="78" t="s">
        <v>17</v>
      </c>
      <c r="O53" s="114">
        <v>31696</v>
      </c>
      <c r="R53" s="75">
        <f t="shared" si="8"/>
        <v>0</v>
      </c>
      <c r="S53" s="263"/>
      <c r="T53" s="263"/>
      <c r="U53" s="263"/>
      <c r="V53" s="263"/>
      <c r="W53" s="263"/>
      <c r="X53" s="263"/>
      <c r="Y53" s="575"/>
      <c r="Z53" s="575"/>
      <c r="AA53" s="576">
        <f t="shared" si="2"/>
        <v>0</v>
      </c>
      <c r="AB53" s="722"/>
    </row>
    <row r="54" spans="1:28" ht="15.75" customHeight="1" x14ac:dyDescent="0.35">
      <c r="A54" s="69" t="s">
        <v>393</v>
      </c>
      <c r="B54" s="70" t="s">
        <v>394</v>
      </c>
      <c r="C54" s="71">
        <v>43732</v>
      </c>
      <c r="D54" s="82">
        <v>43754</v>
      </c>
      <c r="E54" s="570"/>
      <c r="F54" s="73" t="s">
        <v>395</v>
      </c>
      <c r="G54" s="73" t="s">
        <v>154</v>
      </c>
      <c r="H54" s="74" t="s">
        <v>220</v>
      </c>
      <c r="I54" s="106" t="s">
        <v>629</v>
      </c>
      <c r="J54" s="75">
        <f t="shared" si="0"/>
        <v>1</v>
      </c>
      <c r="K54" s="76" t="s">
        <v>211</v>
      </c>
      <c r="L54" s="73" t="s">
        <v>396</v>
      </c>
      <c r="M54" s="81">
        <v>0</v>
      </c>
      <c r="N54" s="78" t="s">
        <v>19</v>
      </c>
      <c r="R54" s="75">
        <f t="shared" si="8"/>
        <v>0</v>
      </c>
      <c r="S54" s="263"/>
      <c r="T54" s="263"/>
      <c r="U54" s="263"/>
      <c r="V54" s="263"/>
      <c r="W54" s="263"/>
      <c r="X54" s="263"/>
      <c r="Y54" s="575"/>
      <c r="Z54" s="575"/>
      <c r="AA54" s="576">
        <f t="shared" si="2"/>
        <v>0</v>
      </c>
      <c r="AB54" s="722"/>
    </row>
    <row r="55" spans="1:28" ht="15.75" customHeight="1" x14ac:dyDescent="0.35">
      <c r="A55" s="69" t="s">
        <v>397</v>
      </c>
      <c r="B55" s="70" t="s">
        <v>398</v>
      </c>
      <c r="C55" s="71">
        <v>43732</v>
      </c>
      <c r="D55" s="82">
        <v>43754</v>
      </c>
      <c r="E55" s="570"/>
      <c r="F55" s="73" t="s">
        <v>399</v>
      </c>
      <c r="G55" s="73"/>
      <c r="H55" s="74"/>
      <c r="I55" s="74"/>
      <c r="J55" s="75">
        <f t="shared" si="0"/>
        <v>1</v>
      </c>
      <c r="K55" s="76" t="s">
        <v>211</v>
      </c>
      <c r="L55" s="97" t="s">
        <v>1778</v>
      </c>
      <c r="M55" s="81">
        <v>0</v>
      </c>
      <c r="N55" s="78" t="s">
        <v>17</v>
      </c>
      <c r="O55" s="114">
        <v>400000</v>
      </c>
      <c r="R55" s="75">
        <f t="shared" si="8"/>
        <v>0</v>
      </c>
      <c r="S55" s="263"/>
      <c r="T55" s="263"/>
      <c r="U55" s="263"/>
      <c r="V55" s="263"/>
      <c r="W55" s="263"/>
      <c r="X55" s="263"/>
      <c r="Y55" s="575"/>
      <c r="Z55" s="575"/>
      <c r="AA55" s="576">
        <f t="shared" si="2"/>
        <v>0</v>
      </c>
      <c r="AB55" s="722"/>
    </row>
    <row r="56" spans="1:28" ht="15.75" customHeight="1" x14ac:dyDescent="0.35">
      <c r="A56" s="69" t="s">
        <v>401</v>
      </c>
      <c r="B56" s="70" t="s">
        <v>402</v>
      </c>
      <c r="C56" s="71">
        <v>43733</v>
      </c>
      <c r="D56" s="82">
        <v>43754</v>
      </c>
      <c r="E56" s="570"/>
      <c r="F56" s="73" t="s">
        <v>403</v>
      </c>
      <c r="G56" s="73"/>
      <c r="H56" s="74"/>
      <c r="I56" s="74"/>
      <c r="J56" s="75">
        <f t="shared" si="0"/>
        <v>1</v>
      </c>
      <c r="K56" s="76" t="s">
        <v>211</v>
      </c>
      <c r="L56" s="73" t="s">
        <v>400</v>
      </c>
      <c r="M56" s="81">
        <v>0</v>
      </c>
      <c r="N56" s="78" t="s">
        <v>17</v>
      </c>
      <c r="O56" s="114">
        <v>146578.97</v>
      </c>
      <c r="P56" s="114">
        <v>146578.97</v>
      </c>
      <c r="R56" s="75">
        <f t="shared" si="8"/>
        <v>0</v>
      </c>
      <c r="S56" s="263"/>
      <c r="T56" s="263"/>
      <c r="U56" s="263"/>
      <c r="V56" s="263"/>
      <c r="W56" s="263"/>
      <c r="X56" s="263"/>
      <c r="Y56" s="575"/>
      <c r="Z56" s="575"/>
      <c r="AA56" s="576">
        <f t="shared" si="2"/>
        <v>0</v>
      </c>
      <c r="AB56" s="722"/>
    </row>
    <row r="57" spans="1:28" ht="15.75" customHeight="1" x14ac:dyDescent="0.35">
      <c r="A57" s="125" t="s">
        <v>404</v>
      </c>
      <c r="B57" s="70" t="s">
        <v>405</v>
      </c>
      <c r="C57" s="71">
        <v>43719</v>
      </c>
      <c r="D57" s="96">
        <v>43768</v>
      </c>
      <c r="E57" s="570"/>
      <c r="F57" s="73" t="s">
        <v>406</v>
      </c>
      <c r="G57" s="73" t="s">
        <v>149</v>
      </c>
      <c r="H57" s="74" t="s">
        <v>220</v>
      </c>
      <c r="I57" s="106" t="s">
        <v>763</v>
      </c>
      <c r="J57" s="75">
        <f t="shared" si="0"/>
        <v>1</v>
      </c>
      <c r="K57" s="76" t="s">
        <v>211</v>
      </c>
      <c r="L57" s="97" t="s">
        <v>1042</v>
      </c>
      <c r="M57" s="77">
        <v>1</v>
      </c>
      <c r="N57" s="78" t="s">
        <v>18</v>
      </c>
      <c r="R57" s="75">
        <f t="shared" si="8"/>
        <v>0</v>
      </c>
      <c r="S57" s="263"/>
      <c r="T57" s="263"/>
      <c r="U57" s="263"/>
      <c r="V57" s="263"/>
      <c r="W57" s="263"/>
      <c r="X57" s="263"/>
      <c r="Y57" s="575"/>
      <c r="Z57" s="575"/>
      <c r="AA57" s="576">
        <f t="shared" si="2"/>
        <v>0</v>
      </c>
      <c r="AB57" s="722"/>
    </row>
    <row r="58" spans="1:28" ht="15.75" customHeight="1" x14ac:dyDescent="0.35">
      <c r="A58" s="69" t="s">
        <v>407</v>
      </c>
      <c r="B58" s="70" t="s">
        <v>408</v>
      </c>
      <c r="C58" s="71">
        <v>43705</v>
      </c>
      <c r="D58" s="82">
        <v>43754</v>
      </c>
      <c r="E58" s="570"/>
      <c r="F58" s="73" t="s">
        <v>409</v>
      </c>
      <c r="G58" s="73" t="s">
        <v>154</v>
      </c>
      <c r="H58" s="74" t="s">
        <v>220</v>
      </c>
      <c r="I58" s="106" t="s">
        <v>1291</v>
      </c>
      <c r="J58" s="75">
        <f t="shared" si="0"/>
        <v>1</v>
      </c>
      <c r="K58" s="76" t="s">
        <v>211</v>
      </c>
      <c r="L58" s="73" t="s">
        <v>410</v>
      </c>
      <c r="M58" s="81">
        <v>0</v>
      </c>
      <c r="N58" s="78" t="s">
        <v>19</v>
      </c>
      <c r="R58" s="75">
        <f t="shared" si="8"/>
        <v>0</v>
      </c>
      <c r="S58" s="263"/>
      <c r="T58" s="263"/>
      <c r="U58" s="263"/>
      <c r="V58" s="263"/>
      <c r="W58" s="263"/>
      <c r="X58" s="263"/>
      <c r="Y58" s="575"/>
      <c r="Z58" s="575"/>
      <c r="AA58" s="576">
        <f t="shared" si="2"/>
        <v>0</v>
      </c>
      <c r="AB58" s="722"/>
    </row>
    <row r="59" spans="1:28" ht="15.75" customHeight="1" x14ac:dyDescent="0.35">
      <c r="A59" s="69" t="s">
        <v>411</v>
      </c>
      <c r="B59" s="70" t="s">
        <v>412</v>
      </c>
      <c r="C59" s="71">
        <v>43705</v>
      </c>
      <c r="D59" s="82">
        <v>43754</v>
      </c>
      <c r="E59" s="570"/>
      <c r="F59" s="73" t="s">
        <v>413</v>
      </c>
      <c r="G59" s="73" t="s">
        <v>154</v>
      </c>
      <c r="H59" s="74" t="s">
        <v>220</v>
      </c>
      <c r="I59" s="106" t="s">
        <v>652</v>
      </c>
      <c r="J59" s="75">
        <f t="shared" si="0"/>
        <v>1</v>
      </c>
      <c r="K59" s="76" t="s">
        <v>211</v>
      </c>
      <c r="L59" s="97" t="s">
        <v>2043</v>
      </c>
      <c r="M59" s="77">
        <v>1</v>
      </c>
      <c r="N59" s="78" t="s">
        <v>17</v>
      </c>
      <c r="O59" s="114">
        <v>34222.31</v>
      </c>
      <c r="P59" s="114">
        <v>34222.31</v>
      </c>
      <c r="R59" s="75">
        <f t="shared" si="8"/>
        <v>0</v>
      </c>
      <c r="S59" s="263"/>
      <c r="T59" s="263"/>
      <c r="U59" s="263"/>
      <c r="V59" s="263"/>
      <c r="W59" s="263"/>
      <c r="X59" s="263"/>
      <c r="Y59" s="575"/>
      <c r="Z59" s="575"/>
      <c r="AA59" s="576">
        <f t="shared" si="2"/>
        <v>0</v>
      </c>
      <c r="AB59" s="722"/>
    </row>
    <row r="60" spans="1:28" ht="15.75" customHeight="1" x14ac:dyDescent="0.35">
      <c r="A60" s="69" t="s">
        <v>414</v>
      </c>
      <c r="B60" s="70" t="s">
        <v>415</v>
      </c>
      <c r="C60" s="71">
        <v>43733</v>
      </c>
      <c r="D60" s="96">
        <v>43769</v>
      </c>
      <c r="E60" s="570"/>
      <c r="F60" s="73" t="s">
        <v>416</v>
      </c>
      <c r="G60" s="73" t="s">
        <v>417</v>
      </c>
      <c r="H60" s="74" t="s">
        <v>220</v>
      </c>
      <c r="I60" s="106" t="s">
        <v>763</v>
      </c>
      <c r="J60" s="75">
        <f t="shared" si="0"/>
        <v>1</v>
      </c>
      <c r="K60" s="76" t="s">
        <v>211</v>
      </c>
      <c r="L60" s="73" t="s">
        <v>418</v>
      </c>
      <c r="M60" s="77">
        <v>1</v>
      </c>
      <c r="N60" s="78" t="s">
        <v>17</v>
      </c>
      <c r="O60" s="114">
        <v>1250</v>
      </c>
      <c r="R60" s="75">
        <f t="shared" si="8"/>
        <v>0</v>
      </c>
      <c r="S60" s="263"/>
      <c r="T60" s="263"/>
      <c r="U60" s="263"/>
      <c r="V60" s="263"/>
      <c r="W60" s="263"/>
      <c r="X60" s="263"/>
      <c r="Y60" s="575"/>
      <c r="Z60" s="575"/>
      <c r="AA60" s="576">
        <f t="shared" si="2"/>
        <v>0</v>
      </c>
      <c r="AB60" s="722"/>
    </row>
    <row r="61" spans="1:28" ht="15.75" customHeight="1" x14ac:dyDescent="0.35">
      <c r="A61" s="69" t="s">
        <v>419</v>
      </c>
      <c r="B61" s="70" t="s">
        <v>420</v>
      </c>
      <c r="C61" s="71">
        <v>43733</v>
      </c>
      <c r="D61" s="96">
        <v>43769</v>
      </c>
      <c r="E61" s="570"/>
      <c r="F61" s="73" t="s">
        <v>421</v>
      </c>
      <c r="G61" s="97" t="s">
        <v>417</v>
      </c>
      <c r="H61" s="74" t="s">
        <v>220</v>
      </c>
      <c r="I61" s="106" t="s">
        <v>649</v>
      </c>
      <c r="J61" s="75">
        <f t="shared" si="0"/>
        <v>1</v>
      </c>
      <c r="K61" s="76" t="s">
        <v>211</v>
      </c>
      <c r="L61" s="73" t="s">
        <v>422</v>
      </c>
      <c r="M61" s="77">
        <v>1</v>
      </c>
      <c r="N61" s="78" t="s">
        <v>18</v>
      </c>
      <c r="R61" s="75">
        <f t="shared" si="8"/>
        <v>0</v>
      </c>
      <c r="S61" s="263"/>
      <c r="T61" s="263"/>
      <c r="U61" s="263"/>
      <c r="V61" s="263"/>
      <c r="W61" s="263"/>
      <c r="X61" s="263"/>
      <c r="Y61" s="575"/>
      <c r="Z61" s="575"/>
      <c r="AA61" s="576">
        <f t="shared" si="2"/>
        <v>0</v>
      </c>
      <c r="AB61" s="722"/>
    </row>
    <row r="62" spans="1:28" ht="15.75" customHeight="1" x14ac:dyDescent="0.35">
      <c r="A62" s="69" t="s">
        <v>423</v>
      </c>
      <c r="B62" s="70" t="s">
        <v>424</v>
      </c>
      <c r="C62" s="71">
        <v>43734</v>
      </c>
      <c r="D62" s="96">
        <v>43784</v>
      </c>
      <c r="E62" s="570"/>
      <c r="F62" s="73" t="s">
        <v>425</v>
      </c>
      <c r="G62" s="73" t="s">
        <v>158</v>
      </c>
      <c r="H62" s="74" t="s">
        <v>220</v>
      </c>
      <c r="I62" s="74"/>
      <c r="J62" s="75">
        <f t="shared" si="0"/>
        <v>1</v>
      </c>
      <c r="K62" s="76" t="s">
        <v>211</v>
      </c>
      <c r="L62" s="97" t="s">
        <v>1355</v>
      </c>
      <c r="M62" s="77">
        <v>1</v>
      </c>
      <c r="N62" s="78" t="s">
        <v>17</v>
      </c>
      <c r="O62" s="114">
        <v>7100</v>
      </c>
      <c r="R62" s="75">
        <f t="shared" si="8"/>
        <v>0</v>
      </c>
      <c r="S62" s="263"/>
      <c r="T62" s="263"/>
      <c r="U62" s="263"/>
      <c r="V62" s="263"/>
      <c r="W62" s="263"/>
      <c r="X62" s="263"/>
      <c r="Y62" s="575"/>
      <c r="Z62" s="575"/>
      <c r="AA62" s="576">
        <f t="shared" si="2"/>
        <v>0</v>
      </c>
      <c r="AB62" s="722"/>
    </row>
    <row r="63" spans="1:28" ht="15.75" customHeight="1" x14ac:dyDescent="0.35">
      <c r="A63" s="69" t="s">
        <v>426</v>
      </c>
      <c r="B63" s="70" t="s">
        <v>427</v>
      </c>
      <c r="C63" s="71">
        <v>43733</v>
      </c>
      <c r="D63" s="82">
        <v>43755</v>
      </c>
      <c r="E63" s="570"/>
      <c r="F63" s="73" t="s">
        <v>428</v>
      </c>
      <c r="G63" s="73" t="s">
        <v>154</v>
      </c>
      <c r="H63" s="74" t="s">
        <v>220</v>
      </c>
      <c r="I63" s="74"/>
      <c r="J63" s="75">
        <f t="shared" si="0"/>
        <v>1</v>
      </c>
      <c r="K63" s="76" t="s">
        <v>211</v>
      </c>
      <c r="L63" s="73" t="s">
        <v>429</v>
      </c>
      <c r="M63" s="81">
        <v>0</v>
      </c>
      <c r="N63" s="78" t="s">
        <v>18</v>
      </c>
      <c r="R63" s="75">
        <f t="shared" si="8"/>
        <v>0</v>
      </c>
      <c r="S63" s="263"/>
      <c r="T63" s="263"/>
      <c r="U63" s="263"/>
      <c r="V63" s="263"/>
      <c r="W63" s="263"/>
      <c r="X63" s="263"/>
      <c r="Y63" s="575"/>
      <c r="Z63" s="575"/>
      <c r="AA63" s="576">
        <f t="shared" si="2"/>
        <v>0</v>
      </c>
      <c r="AB63" s="722"/>
    </row>
    <row r="64" spans="1:28" ht="15.75" customHeight="1" x14ac:dyDescent="0.35">
      <c r="A64" s="69" t="s">
        <v>430</v>
      </c>
      <c r="B64" s="70" t="s">
        <v>431</v>
      </c>
      <c r="C64" s="71">
        <v>43733</v>
      </c>
      <c r="D64" s="82">
        <v>43755</v>
      </c>
      <c r="E64" s="570"/>
      <c r="F64" s="73" t="s">
        <v>432</v>
      </c>
      <c r="G64" s="73" t="s">
        <v>149</v>
      </c>
      <c r="H64" s="74" t="s">
        <v>220</v>
      </c>
      <c r="I64" s="106" t="s">
        <v>1645</v>
      </c>
      <c r="J64" s="75">
        <f t="shared" si="0"/>
        <v>1</v>
      </c>
      <c r="K64" s="76" t="s">
        <v>211</v>
      </c>
      <c r="L64" s="73" t="s">
        <v>433</v>
      </c>
      <c r="M64" s="81">
        <v>0</v>
      </c>
      <c r="N64" s="78" t="s">
        <v>18</v>
      </c>
      <c r="R64" s="75">
        <f t="shared" si="8"/>
        <v>0</v>
      </c>
      <c r="S64" s="263"/>
      <c r="T64" s="263"/>
      <c r="U64" s="263"/>
      <c r="V64" s="263"/>
      <c r="W64" s="263"/>
      <c r="X64" s="263"/>
      <c r="Y64" s="575"/>
      <c r="Z64" s="575"/>
      <c r="AA64" s="576">
        <f t="shared" si="2"/>
        <v>0</v>
      </c>
      <c r="AB64" s="722"/>
    </row>
    <row r="65" spans="1:28" ht="15.75" customHeight="1" x14ac:dyDescent="0.35">
      <c r="A65" s="69" t="s">
        <v>434</v>
      </c>
      <c r="B65" s="70" t="s">
        <v>435</v>
      </c>
      <c r="C65" s="71">
        <v>43719</v>
      </c>
      <c r="D65" s="82">
        <v>43755</v>
      </c>
      <c r="E65" s="570"/>
      <c r="F65" s="73" t="s">
        <v>436</v>
      </c>
      <c r="G65" s="73" t="s">
        <v>152</v>
      </c>
      <c r="H65" s="74" t="s">
        <v>220</v>
      </c>
      <c r="I65" s="74"/>
      <c r="J65" s="75">
        <f t="shared" si="0"/>
        <v>1</v>
      </c>
      <c r="K65" s="76" t="s">
        <v>211</v>
      </c>
      <c r="L65" s="73" t="s">
        <v>437</v>
      </c>
      <c r="M65" s="77">
        <v>1</v>
      </c>
      <c r="N65" s="78" t="s">
        <v>17</v>
      </c>
      <c r="O65" s="114">
        <v>192570.47</v>
      </c>
      <c r="P65" s="114">
        <v>192570.47</v>
      </c>
      <c r="R65" s="75">
        <f t="shared" si="8"/>
        <v>0</v>
      </c>
      <c r="S65" s="263"/>
      <c r="T65" s="263"/>
      <c r="U65" s="263"/>
      <c r="V65" s="263"/>
      <c r="W65" s="263"/>
      <c r="X65" s="263"/>
      <c r="Y65" s="575"/>
      <c r="Z65" s="575"/>
      <c r="AA65" s="576">
        <f t="shared" si="2"/>
        <v>0</v>
      </c>
      <c r="AB65" s="722"/>
    </row>
    <row r="66" spans="1:28" ht="15.75" customHeight="1" x14ac:dyDescent="0.35">
      <c r="A66" s="69" t="s">
        <v>438</v>
      </c>
      <c r="B66" s="70" t="s">
        <v>439</v>
      </c>
      <c r="C66" s="71">
        <v>43720</v>
      </c>
      <c r="D66" s="96">
        <v>43769</v>
      </c>
      <c r="E66" s="570"/>
      <c r="F66" s="73" t="s">
        <v>440</v>
      </c>
      <c r="G66" s="97" t="s">
        <v>149</v>
      </c>
      <c r="H66" s="74" t="s">
        <v>220</v>
      </c>
      <c r="I66" s="106" t="s">
        <v>649</v>
      </c>
      <c r="J66" s="75">
        <f t="shared" si="0"/>
        <v>1</v>
      </c>
      <c r="K66" s="76" t="s">
        <v>211</v>
      </c>
      <c r="L66" s="73" t="s">
        <v>441</v>
      </c>
      <c r="M66" s="77">
        <v>1</v>
      </c>
      <c r="N66" s="78" t="s">
        <v>18</v>
      </c>
      <c r="R66" s="75">
        <f t="shared" si="8"/>
        <v>0</v>
      </c>
      <c r="S66" s="263"/>
      <c r="T66" s="263"/>
      <c r="U66" s="263"/>
      <c r="V66" s="263"/>
      <c r="W66" s="263"/>
      <c r="X66" s="263"/>
      <c r="Y66" s="575"/>
      <c r="Z66" s="575"/>
      <c r="AA66" s="576">
        <f t="shared" si="2"/>
        <v>0</v>
      </c>
      <c r="AB66" s="722"/>
    </row>
    <row r="67" spans="1:28" ht="15.75" customHeight="1" x14ac:dyDescent="0.35">
      <c r="A67" s="69" t="s">
        <v>442</v>
      </c>
      <c r="B67" s="70" t="s">
        <v>443</v>
      </c>
      <c r="C67" s="71">
        <v>43706</v>
      </c>
      <c r="D67" s="82">
        <v>43755</v>
      </c>
      <c r="E67" s="570"/>
      <c r="F67" s="73" t="s">
        <v>444</v>
      </c>
      <c r="G67" s="73" t="s">
        <v>149</v>
      </c>
      <c r="H67" s="74" t="s">
        <v>220</v>
      </c>
      <c r="I67" s="74"/>
      <c r="J67" s="75">
        <f t="shared" ref="J67:J130" si="9">IF(OR(K67="Документы готовы",K67="Запрос в ФО",K67="ЭЗ",K67="РЕШ",K67="РЕШ шаблон"),0.1,IF(OR(K67="ЭЗ согласование",K67="РЕШ согласование"),0.3,IF(OR(K67="ЭЗ согласовано",K67="РЕШ согласовано",K67="РЕШ подписано"),0.6,IF(OR(K67="ЭЗ ПР согласование",K67="РЕШ УВ согласование"),0.9,IF(OR(K67="ЭЗ ПР DONE",K67="РЕШ УВ DONE"),1,0)))))</f>
        <v>1</v>
      </c>
      <c r="K67" s="76" t="s">
        <v>211</v>
      </c>
      <c r="L67" s="73" t="s">
        <v>445</v>
      </c>
      <c r="M67" s="77">
        <v>1</v>
      </c>
      <c r="N67" s="78" t="s">
        <v>17</v>
      </c>
      <c r="O67" s="114">
        <v>19382.599999999999</v>
      </c>
      <c r="P67" s="114">
        <v>19382</v>
      </c>
      <c r="R67" s="75">
        <f t="shared" si="8"/>
        <v>0</v>
      </c>
      <c r="S67" s="263"/>
      <c r="T67" s="263"/>
      <c r="U67" s="263"/>
      <c r="V67" s="263"/>
      <c r="W67" s="263"/>
      <c r="X67" s="263"/>
      <c r="Y67" s="575"/>
      <c r="Z67" s="575"/>
      <c r="AA67" s="576">
        <f t="shared" ref="AA67:AA130" si="10">Z67-Y67</f>
        <v>0</v>
      </c>
      <c r="AB67" s="722"/>
    </row>
    <row r="68" spans="1:28" ht="15.75" customHeight="1" x14ac:dyDescent="0.35">
      <c r="A68" s="69" t="s">
        <v>446</v>
      </c>
      <c r="B68" s="70" t="s">
        <v>447</v>
      </c>
      <c r="C68" s="71">
        <v>43734</v>
      </c>
      <c r="D68" s="96">
        <v>43770</v>
      </c>
      <c r="E68" s="570"/>
      <c r="F68" s="73" t="s">
        <v>448</v>
      </c>
      <c r="G68" s="73" t="s">
        <v>152</v>
      </c>
      <c r="H68" s="74" t="s">
        <v>220</v>
      </c>
      <c r="I68" s="74"/>
      <c r="J68" s="75">
        <f t="shared" si="9"/>
        <v>1</v>
      </c>
      <c r="K68" s="76" t="s">
        <v>211</v>
      </c>
      <c r="L68" s="97" t="s">
        <v>1089</v>
      </c>
      <c r="M68" s="77">
        <v>1</v>
      </c>
      <c r="N68" s="78" t="s">
        <v>18</v>
      </c>
      <c r="R68" s="75">
        <f t="shared" si="8"/>
        <v>0</v>
      </c>
      <c r="S68" s="263"/>
      <c r="T68" s="263"/>
      <c r="U68" s="263"/>
      <c r="V68" s="263"/>
      <c r="W68" s="263"/>
      <c r="X68" s="263"/>
      <c r="Y68" s="575"/>
      <c r="Z68" s="575"/>
      <c r="AA68" s="576">
        <f t="shared" si="10"/>
        <v>0</v>
      </c>
      <c r="AB68" s="722"/>
    </row>
    <row r="69" spans="1:28" ht="15.75" customHeight="1" x14ac:dyDescent="0.35">
      <c r="A69" s="69" t="s">
        <v>449</v>
      </c>
      <c r="B69" s="70" t="s">
        <v>450</v>
      </c>
      <c r="C69" s="71">
        <v>43721</v>
      </c>
      <c r="D69" s="96">
        <v>43770</v>
      </c>
      <c r="E69" s="570"/>
      <c r="F69" s="73" t="s">
        <v>451</v>
      </c>
      <c r="G69" s="73" t="s">
        <v>152</v>
      </c>
      <c r="H69" s="74" t="s">
        <v>220</v>
      </c>
      <c r="I69" s="74"/>
      <c r="J69" s="75">
        <f t="shared" si="9"/>
        <v>1</v>
      </c>
      <c r="K69" s="76" t="s">
        <v>211</v>
      </c>
      <c r="L69" s="97" t="s">
        <v>1090</v>
      </c>
      <c r="M69" s="77">
        <v>1</v>
      </c>
      <c r="N69" s="78" t="s">
        <v>17</v>
      </c>
      <c r="O69" s="114">
        <v>23800</v>
      </c>
      <c r="P69" s="114">
        <v>23800</v>
      </c>
      <c r="R69" s="75">
        <f t="shared" si="8"/>
        <v>0</v>
      </c>
      <c r="S69" s="263"/>
      <c r="T69" s="263"/>
      <c r="U69" s="263"/>
      <c r="V69" s="263"/>
      <c r="W69" s="263"/>
      <c r="X69" s="263"/>
      <c r="Y69" s="575"/>
      <c r="Z69" s="575"/>
      <c r="AA69" s="576">
        <f t="shared" si="10"/>
        <v>0</v>
      </c>
      <c r="AB69" s="722"/>
    </row>
    <row r="70" spans="1:28" ht="15.75" customHeight="1" x14ac:dyDescent="0.35">
      <c r="A70" s="69" t="s">
        <v>452</v>
      </c>
      <c r="B70" s="70" t="s">
        <v>453</v>
      </c>
      <c r="C70" s="71">
        <v>43721</v>
      </c>
      <c r="D70" s="82">
        <v>43756</v>
      </c>
      <c r="E70" s="570"/>
      <c r="F70" s="73" t="s">
        <v>454</v>
      </c>
      <c r="G70" s="73" t="s">
        <v>154</v>
      </c>
      <c r="H70" s="74" t="s">
        <v>220</v>
      </c>
      <c r="I70" s="106" t="s">
        <v>722</v>
      </c>
      <c r="J70" s="75">
        <f t="shared" si="9"/>
        <v>1</v>
      </c>
      <c r="K70" s="76" t="s">
        <v>211</v>
      </c>
      <c r="L70" s="73" t="s">
        <v>455</v>
      </c>
      <c r="M70" s="77">
        <v>1</v>
      </c>
      <c r="N70" s="78" t="s">
        <v>18</v>
      </c>
      <c r="R70" s="75">
        <f t="shared" si="8"/>
        <v>0</v>
      </c>
      <c r="S70" s="263"/>
      <c r="T70" s="263"/>
      <c r="U70" s="263"/>
      <c r="V70" s="263"/>
      <c r="W70" s="263"/>
      <c r="X70" s="263"/>
      <c r="Y70" s="575"/>
      <c r="Z70" s="575"/>
      <c r="AA70" s="576">
        <f t="shared" si="10"/>
        <v>0</v>
      </c>
      <c r="AB70" s="722"/>
    </row>
    <row r="71" spans="1:28" ht="15.75" customHeight="1" x14ac:dyDescent="0.35">
      <c r="A71" s="69" t="s">
        <v>456</v>
      </c>
      <c r="B71" s="70" t="s">
        <v>457</v>
      </c>
      <c r="C71" s="71">
        <v>43734</v>
      </c>
      <c r="D71" s="96">
        <v>43756</v>
      </c>
      <c r="E71" s="570"/>
      <c r="F71" s="73" t="s">
        <v>458</v>
      </c>
      <c r="G71" s="73" t="s">
        <v>176</v>
      </c>
      <c r="H71" s="74" t="s">
        <v>220</v>
      </c>
      <c r="I71" s="106" t="s">
        <v>722</v>
      </c>
      <c r="J71" s="75">
        <f t="shared" si="9"/>
        <v>1</v>
      </c>
      <c r="K71" s="76" t="s">
        <v>211</v>
      </c>
      <c r="L71" s="73" t="s">
        <v>459</v>
      </c>
      <c r="M71" s="81">
        <v>0</v>
      </c>
      <c r="N71" s="78" t="s">
        <v>17</v>
      </c>
      <c r="O71" s="114">
        <v>25745</v>
      </c>
      <c r="P71" s="114">
        <v>25745</v>
      </c>
      <c r="R71" s="75">
        <f t="shared" si="8"/>
        <v>0</v>
      </c>
      <c r="S71" s="263"/>
      <c r="T71" s="263"/>
      <c r="U71" s="263"/>
      <c r="V71" s="263"/>
      <c r="W71" s="263"/>
      <c r="X71" s="263"/>
      <c r="Y71" s="575"/>
      <c r="Z71" s="575"/>
      <c r="AA71" s="576">
        <f t="shared" si="10"/>
        <v>0</v>
      </c>
      <c r="AB71" s="722"/>
    </row>
    <row r="72" spans="1:28" ht="15.75" customHeight="1" x14ac:dyDescent="0.35">
      <c r="A72" s="69" t="s">
        <v>460</v>
      </c>
      <c r="B72" s="70" t="s">
        <v>461</v>
      </c>
      <c r="C72" s="71">
        <v>43734</v>
      </c>
      <c r="D72" s="82">
        <v>43756</v>
      </c>
      <c r="E72" s="570"/>
      <c r="F72" s="73" t="s">
        <v>462</v>
      </c>
      <c r="G72" s="73" t="s">
        <v>149</v>
      </c>
      <c r="H72" s="74" t="s">
        <v>220</v>
      </c>
      <c r="I72" s="98" t="s">
        <v>656</v>
      </c>
      <c r="J72" s="75">
        <f t="shared" si="9"/>
        <v>1</v>
      </c>
      <c r="K72" s="76" t="s">
        <v>211</v>
      </c>
      <c r="L72" s="73" t="s">
        <v>463</v>
      </c>
      <c r="M72" s="81">
        <v>0</v>
      </c>
      <c r="N72" s="78" t="s">
        <v>17</v>
      </c>
      <c r="O72" s="114">
        <v>148384.06</v>
      </c>
      <c r="P72" s="114">
        <v>148384.06</v>
      </c>
      <c r="R72" s="75">
        <f t="shared" si="8"/>
        <v>0</v>
      </c>
      <c r="S72" s="263"/>
      <c r="T72" s="263"/>
      <c r="U72" s="263"/>
      <c r="V72" s="263"/>
      <c r="W72" s="263"/>
      <c r="X72" s="263"/>
      <c r="Y72" s="575"/>
      <c r="Z72" s="575"/>
      <c r="AA72" s="576">
        <f t="shared" si="10"/>
        <v>0</v>
      </c>
      <c r="AB72" s="722"/>
    </row>
    <row r="73" spans="1:28" ht="15.75" customHeight="1" x14ac:dyDescent="0.35">
      <c r="A73" s="69" t="s">
        <v>464</v>
      </c>
      <c r="B73" s="70" t="s">
        <v>465</v>
      </c>
      <c r="C73" s="71">
        <v>43734</v>
      </c>
      <c r="D73" s="96">
        <v>43770</v>
      </c>
      <c r="E73" s="570"/>
      <c r="F73" s="97" t="s">
        <v>466</v>
      </c>
      <c r="G73" s="73" t="s">
        <v>186</v>
      </c>
      <c r="H73" s="74" t="s">
        <v>220</v>
      </c>
      <c r="I73" s="106" t="s">
        <v>1113</v>
      </c>
      <c r="J73" s="75">
        <f t="shared" si="9"/>
        <v>1</v>
      </c>
      <c r="K73" s="76" t="s">
        <v>211</v>
      </c>
      <c r="L73" s="97" t="s">
        <v>1114</v>
      </c>
      <c r="M73" s="129">
        <v>1</v>
      </c>
      <c r="N73" s="78" t="s">
        <v>19</v>
      </c>
      <c r="R73" s="75">
        <f t="shared" ref="R73:R136" si="11">IF(S73="В работе",0.3,IF(S73="Отписано",0.6,IF(S73="На доработку",0.9,IF(S73="Согласовано",1,0))))</f>
        <v>0</v>
      </c>
      <c r="S73" s="263"/>
      <c r="T73" s="263"/>
      <c r="U73" s="263"/>
      <c r="V73" s="263"/>
      <c r="W73" s="263"/>
      <c r="X73" s="263"/>
      <c r="Y73" s="575"/>
      <c r="Z73" s="575"/>
      <c r="AA73" s="576">
        <f t="shared" si="10"/>
        <v>0</v>
      </c>
      <c r="AB73" s="722"/>
    </row>
    <row r="74" spans="1:28" ht="15.75" customHeight="1" x14ac:dyDescent="0.35">
      <c r="A74" s="69" t="s">
        <v>467</v>
      </c>
      <c r="B74" s="70" t="s">
        <v>468</v>
      </c>
      <c r="C74" s="71">
        <v>43734</v>
      </c>
      <c r="D74" s="96">
        <v>43770</v>
      </c>
      <c r="E74" s="570"/>
      <c r="F74" s="73" t="s">
        <v>469</v>
      </c>
      <c r="G74" s="97" t="s">
        <v>162</v>
      </c>
      <c r="H74" s="74" t="s">
        <v>220</v>
      </c>
      <c r="I74" s="106" t="s">
        <v>649</v>
      </c>
      <c r="J74" s="75">
        <f t="shared" si="9"/>
        <v>1</v>
      </c>
      <c r="K74" s="76" t="s">
        <v>211</v>
      </c>
      <c r="L74" s="97" t="s">
        <v>1091</v>
      </c>
      <c r="M74" s="77">
        <v>1</v>
      </c>
      <c r="N74" s="78" t="s">
        <v>18</v>
      </c>
      <c r="R74" s="75">
        <f t="shared" si="11"/>
        <v>0</v>
      </c>
      <c r="S74" s="263"/>
      <c r="T74" s="263"/>
      <c r="U74" s="263"/>
      <c r="V74" s="263"/>
      <c r="W74" s="263"/>
      <c r="X74" s="263"/>
      <c r="Y74" s="575"/>
      <c r="Z74" s="575"/>
      <c r="AA74" s="576">
        <f t="shared" si="10"/>
        <v>0</v>
      </c>
      <c r="AB74" s="722"/>
    </row>
    <row r="75" spans="1:28" ht="15.75" customHeight="1" x14ac:dyDescent="0.35">
      <c r="A75" s="69" t="s">
        <v>470</v>
      </c>
      <c r="B75" s="79" t="s">
        <v>471</v>
      </c>
      <c r="C75" s="71">
        <v>43734</v>
      </c>
      <c r="D75" s="82">
        <v>43756</v>
      </c>
      <c r="E75" s="570"/>
      <c r="F75" s="73" t="s">
        <v>472</v>
      </c>
      <c r="G75" s="73" t="s">
        <v>162</v>
      </c>
      <c r="H75" s="74" t="s">
        <v>220</v>
      </c>
      <c r="I75" s="74"/>
      <c r="J75" s="75">
        <f t="shared" si="9"/>
        <v>1</v>
      </c>
      <c r="K75" s="76" t="s">
        <v>211</v>
      </c>
      <c r="L75" s="73" t="s">
        <v>474</v>
      </c>
      <c r="M75" s="81">
        <v>0</v>
      </c>
      <c r="N75" s="78" t="s">
        <v>18</v>
      </c>
      <c r="R75" s="75">
        <f t="shared" si="11"/>
        <v>0</v>
      </c>
      <c r="S75" s="263"/>
      <c r="T75" s="263"/>
      <c r="U75" s="263"/>
      <c r="V75" s="263"/>
      <c r="W75" s="263"/>
      <c r="X75" s="263"/>
      <c r="Y75" s="575"/>
      <c r="Z75" s="575"/>
      <c r="AA75" s="576">
        <f t="shared" si="10"/>
        <v>0</v>
      </c>
      <c r="AB75" s="722"/>
    </row>
    <row r="76" spans="1:28" ht="15.75" customHeight="1" x14ac:dyDescent="0.35">
      <c r="A76" s="69" t="s">
        <v>475</v>
      </c>
      <c r="B76" s="79" t="s">
        <v>476</v>
      </c>
      <c r="C76" s="71">
        <v>43721</v>
      </c>
      <c r="D76" s="82">
        <v>43756</v>
      </c>
      <c r="E76" s="570"/>
      <c r="F76" s="73" t="s">
        <v>477</v>
      </c>
      <c r="G76" s="73" t="s">
        <v>152</v>
      </c>
      <c r="H76" s="74" t="s">
        <v>220</v>
      </c>
      <c r="I76" s="106" t="s">
        <v>648</v>
      </c>
      <c r="J76" s="75">
        <f t="shared" si="9"/>
        <v>1</v>
      </c>
      <c r="K76" s="76" t="s">
        <v>211</v>
      </c>
      <c r="L76" s="73" t="s">
        <v>478</v>
      </c>
      <c r="M76" s="77">
        <v>1</v>
      </c>
      <c r="N76" s="78" t="s">
        <v>18</v>
      </c>
      <c r="R76" s="75">
        <f t="shared" si="11"/>
        <v>0</v>
      </c>
      <c r="S76" s="263"/>
      <c r="T76" s="263"/>
      <c r="U76" s="263"/>
      <c r="V76" s="263"/>
      <c r="W76" s="263"/>
      <c r="X76" s="263"/>
      <c r="Y76" s="575"/>
      <c r="Z76" s="575"/>
      <c r="AA76" s="576">
        <f t="shared" si="10"/>
        <v>0</v>
      </c>
      <c r="AB76" s="722"/>
    </row>
    <row r="77" spans="1:28" ht="15.75" customHeight="1" x14ac:dyDescent="0.35">
      <c r="A77" s="69" t="s">
        <v>479</v>
      </c>
      <c r="B77" s="79" t="s">
        <v>480</v>
      </c>
      <c r="C77" s="71">
        <v>43734</v>
      </c>
      <c r="D77" s="82">
        <v>43756</v>
      </c>
      <c r="E77" s="570"/>
      <c r="F77" s="73" t="s">
        <v>481</v>
      </c>
      <c r="G77" s="73" t="s">
        <v>154</v>
      </c>
      <c r="H77" s="74" t="s">
        <v>220</v>
      </c>
      <c r="I77" s="106" t="s">
        <v>981</v>
      </c>
      <c r="J77" s="75">
        <f t="shared" si="9"/>
        <v>1</v>
      </c>
      <c r="K77" s="76" t="s">
        <v>211</v>
      </c>
      <c r="L77" s="73" t="s">
        <v>482</v>
      </c>
      <c r="M77" s="81">
        <v>0</v>
      </c>
      <c r="N77" s="78" t="s">
        <v>17</v>
      </c>
      <c r="O77" s="114">
        <v>316666.65999999997</v>
      </c>
      <c r="R77" s="75">
        <f t="shared" si="11"/>
        <v>0</v>
      </c>
      <c r="S77" s="263"/>
      <c r="T77" s="263"/>
      <c r="U77" s="263"/>
      <c r="V77" s="263"/>
      <c r="W77" s="263"/>
      <c r="X77" s="263"/>
      <c r="Y77" s="575"/>
      <c r="Z77" s="575"/>
      <c r="AA77" s="576">
        <f t="shared" si="10"/>
        <v>0</v>
      </c>
      <c r="AB77" s="722"/>
    </row>
    <row r="78" spans="1:28" ht="15.75" customHeight="1" x14ac:dyDescent="0.35">
      <c r="A78" s="89" t="s">
        <v>483</v>
      </c>
      <c r="B78" s="70" t="s">
        <v>484</v>
      </c>
      <c r="C78" s="71">
        <v>43738</v>
      </c>
      <c r="D78" s="82">
        <v>43759</v>
      </c>
      <c r="E78" s="570"/>
      <c r="F78" s="73" t="s">
        <v>485</v>
      </c>
      <c r="G78" s="73" t="s">
        <v>154</v>
      </c>
      <c r="H78" s="74" t="s">
        <v>220</v>
      </c>
      <c r="I78" s="74" t="s">
        <v>629</v>
      </c>
      <c r="J78" s="75">
        <f t="shared" si="9"/>
        <v>1</v>
      </c>
      <c r="K78" s="76" t="s">
        <v>211</v>
      </c>
      <c r="L78" s="73" t="s">
        <v>647</v>
      </c>
      <c r="M78" s="81">
        <v>0</v>
      </c>
      <c r="N78" s="78" t="s">
        <v>19</v>
      </c>
      <c r="R78" s="75">
        <f t="shared" si="11"/>
        <v>0</v>
      </c>
      <c r="S78" s="263"/>
      <c r="T78" s="263"/>
      <c r="U78" s="263"/>
      <c r="V78" s="263"/>
      <c r="W78" s="263"/>
      <c r="X78" s="263"/>
      <c r="Y78" s="575"/>
      <c r="Z78" s="575"/>
      <c r="AA78" s="576">
        <f t="shared" si="10"/>
        <v>0</v>
      </c>
      <c r="AB78" s="722"/>
    </row>
    <row r="79" spans="1:28" ht="15.75" customHeight="1" x14ac:dyDescent="0.35">
      <c r="A79" s="150" t="s">
        <v>20</v>
      </c>
      <c r="B79" s="70" t="s">
        <v>486</v>
      </c>
      <c r="C79" s="71">
        <v>43738</v>
      </c>
      <c r="D79" s="96">
        <v>43774</v>
      </c>
      <c r="E79" s="570"/>
      <c r="F79" s="73" t="s">
        <v>21</v>
      </c>
      <c r="G79" s="73" t="s">
        <v>152</v>
      </c>
      <c r="H79" s="74" t="s">
        <v>220</v>
      </c>
      <c r="I79" s="74" t="s">
        <v>648</v>
      </c>
      <c r="J79" s="75">
        <f t="shared" si="9"/>
        <v>1</v>
      </c>
      <c r="K79" s="76" t="s">
        <v>211</v>
      </c>
      <c r="L79" s="97" t="s">
        <v>1104</v>
      </c>
      <c r="M79" s="77">
        <v>1</v>
      </c>
      <c r="N79" s="78" t="s">
        <v>17</v>
      </c>
      <c r="O79" s="114">
        <v>69942</v>
      </c>
      <c r="R79" s="75">
        <f t="shared" si="11"/>
        <v>0</v>
      </c>
      <c r="S79" s="263"/>
      <c r="T79" s="263"/>
      <c r="U79" s="263"/>
      <c r="V79" s="263"/>
      <c r="W79" s="263"/>
      <c r="X79" s="263"/>
      <c r="Y79" s="575"/>
      <c r="Z79" s="575"/>
      <c r="AA79" s="576">
        <f t="shared" si="10"/>
        <v>0</v>
      </c>
      <c r="AB79" s="722"/>
    </row>
    <row r="80" spans="1:28" ht="15.75" customHeight="1" x14ac:dyDescent="0.35">
      <c r="A80" s="150" t="s">
        <v>488</v>
      </c>
      <c r="B80" s="70" t="s">
        <v>489</v>
      </c>
      <c r="C80" s="71">
        <v>43738</v>
      </c>
      <c r="D80" s="96">
        <v>43774</v>
      </c>
      <c r="E80" s="570"/>
      <c r="F80" s="73" t="s">
        <v>490</v>
      </c>
      <c r="G80" s="97" t="s">
        <v>149</v>
      </c>
      <c r="H80" s="74" t="s">
        <v>220</v>
      </c>
      <c r="I80" s="74" t="s">
        <v>649</v>
      </c>
      <c r="J80" s="75">
        <f t="shared" si="9"/>
        <v>1</v>
      </c>
      <c r="K80" s="76" t="s">
        <v>211</v>
      </c>
      <c r="L80" s="97" t="s">
        <v>1105</v>
      </c>
      <c r="M80" s="77">
        <v>1</v>
      </c>
      <c r="N80" s="78" t="s">
        <v>17</v>
      </c>
      <c r="O80" s="114">
        <v>221100</v>
      </c>
      <c r="P80" s="114">
        <v>221100</v>
      </c>
      <c r="R80" s="75">
        <f t="shared" si="11"/>
        <v>0</v>
      </c>
      <c r="S80" s="263"/>
      <c r="T80" s="263"/>
      <c r="U80" s="263"/>
      <c r="V80" s="263"/>
      <c r="W80" s="263"/>
      <c r="X80" s="263"/>
      <c r="Y80" s="575"/>
      <c r="Z80" s="575"/>
      <c r="AA80" s="576">
        <f t="shared" si="10"/>
        <v>0</v>
      </c>
      <c r="AB80" s="722"/>
    </row>
    <row r="81" spans="1:28" ht="15.75" customHeight="1" x14ac:dyDescent="0.35">
      <c r="A81" s="89" t="s">
        <v>491</v>
      </c>
      <c r="B81" s="70" t="s">
        <v>492</v>
      </c>
      <c r="C81" s="71">
        <v>43738</v>
      </c>
      <c r="D81" s="82">
        <v>43759</v>
      </c>
      <c r="E81" s="570"/>
      <c r="F81" s="73" t="s">
        <v>493</v>
      </c>
      <c r="G81" s="73" t="s">
        <v>156</v>
      </c>
      <c r="H81" s="74" t="s">
        <v>220</v>
      </c>
      <c r="I81" s="74" t="s">
        <v>650</v>
      </c>
      <c r="J81" s="75">
        <f t="shared" si="9"/>
        <v>1</v>
      </c>
      <c r="K81" s="76" t="s">
        <v>211</v>
      </c>
      <c r="L81" s="73" t="s">
        <v>651</v>
      </c>
      <c r="M81" s="81">
        <v>0</v>
      </c>
      <c r="N81" s="78" t="s">
        <v>18</v>
      </c>
      <c r="R81" s="75">
        <f t="shared" si="11"/>
        <v>0</v>
      </c>
      <c r="S81" s="263"/>
      <c r="T81" s="263"/>
      <c r="U81" s="263"/>
      <c r="V81" s="263"/>
      <c r="W81" s="263"/>
      <c r="X81" s="263"/>
      <c r="Y81" s="575"/>
      <c r="Z81" s="575"/>
      <c r="AA81" s="576">
        <f t="shared" si="10"/>
        <v>0</v>
      </c>
      <c r="AB81" s="722"/>
    </row>
    <row r="82" spans="1:28" ht="15.75" customHeight="1" x14ac:dyDescent="0.35">
      <c r="A82" s="125" t="s">
        <v>494</v>
      </c>
      <c r="B82" s="90" t="s">
        <v>495</v>
      </c>
      <c r="C82" s="83">
        <v>43739</v>
      </c>
      <c r="D82" s="112">
        <v>43775</v>
      </c>
      <c r="E82" s="570"/>
      <c r="F82" s="88" t="s">
        <v>496</v>
      </c>
      <c r="G82" s="99" t="s">
        <v>152</v>
      </c>
      <c r="H82" s="81" t="s">
        <v>220</v>
      </c>
      <c r="I82" s="98" t="s">
        <v>648</v>
      </c>
      <c r="J82" s="75">
        <f t="shared" si="9"/>
        <v>1</v>
      </c>
      <c r="K82" s="76" t="s">
        <v>211</v>
      </c>
      <c r="L82" s="97" t="s">
        <v>1167</v>
      </c>
      <c r="M82" s="77">
        <v>1</v>
      </c>
      <c r="N82" s="78" t="s">
        <v>18</v>
      </c>
      <c r="O82" s="157"/>
      <c r="R82" s="75">
        <f t="shared" si="11"/>
        <v>0</v>
      </c>
      <c r="S82" s="263"/>
      <c r="T82" s="263"/>
      <c r="U82" s="263"/>
      <c r="V82" s="263"/>
      <c r="W82" s="263"/>
      <c r="X82" s="263"/>
      <c r="Y82" s="575"/>
      <c r="Z82" s="575"/>
      <c r="AA82" s="576">
        <f t="shared" si="10"/>
        <v>0</v>
      </c>
      <c r="AB82" s="722"/>
    </row>
    <row r="83" spans="1:28" ht="15.75" customHeight="1" x14ac:dyDescent="0.35">
      <c r="A83" s="91" t="s">
        <v>497</v>
      </c>
      <c r="B83" s="90" t="s">
        <v>498</v>
      </c>
      <c r="C83" s="83">
        <v>43739</v>
      </c>
      <c r="D83" s="112">
        <v>43760</v>
      </c>
      <c r="E83" s="570"/>
      <c r="F83" s="88" t="s">
        <v>499</v>
      </c>
      <c r="G83" s="88" t="s">
        <v>156</v>
      </c>
      <c r="H83" s="81" t="s">
        <v>220</v>
      </c>
      <c r="I83" s="81" t="s">
        <v>665</v>
      </c>
      <c r="J83" s="75">
        <f t="shared" si="9"/>
        <v>1</v>
      </c>
      <c r="K83" s="76" t="s">
        <v>211</v>
      </c>
      <c r="L83" s="73" t="s">
        <v>655</v>
      </c>
      <c r="M83" s="81">
        <v>0</v>
      </c>
      <c r="N83" s="78" t="s">
        <v>18</v>
      </c>
      <c r="R83" s="75">
        <f t="shared" si="11"/>
        <v>0</v>
      </c>
      <c r="S83" s="263"/>
      <c r="T83" s="263"/>
      <c r="U83" s="263"/>
      <c r="V83" s="263"/>
      <c r="W83" s="263"/>
      <c r="X83" s="263"/>
      <c r="Y83" s="575"/>
      <c r="Z83" s="575"/>
      <c r="AA83" s="576">
        <f t="shared" si="10"/>
        <v>0</v>
      </c>
      <c r="AB83" s="722"/>
    </row>
    <row r="84" spans="1:28" ht="15.75" customHeight="1" x14ac:dyDescent="0.35">
      <c r="A84" s="91" t="s">
        <v>500</v>
      </c>
      <c r="B84" s="79" t="s">
        <v>501</v>
      </c>
      <c r="C84" s="83">
        <v>43739</v>
      </c>
      <c r="D84" s="87">
        <v>43760</v>
      </c>
      <c r="E84" s="570"/>
      <c r="F84" s="88" t="s">
        <v>502</v>
      </c>
      <c r="G84" s="88" t="s">
        <v>162</v>
      </c>
      <c r="H84" s="81" t="s">
        <v>220</v>
      </c>
      <c r="I84" s="98" t="s">
        <v>1004</v>
      </c>
      <c r="J84" s="75">
        <f t="shared" si="9"/>
        <v>1</v>
      </c>
      <c r="K84" s="76" t="s">
        <v>211</v>
      </c>
      <c r="L84" s="88" t="s">
        <v>661</v>
      </c>
      <c r="M84" s="81">
        <v>0</v>
      </c>
      <c r="N84" s="78" t="s">
        <v>19</v>
      </c>
      <c r="R84" s="75">
        <f t="shared" si="11"/>
        <v>0</v>
      </c>
      <c r="S84" s="263"/>
      <c r="T84" s="263"/>
      <c r="U84" s="263"/>
      <c r="V84" s="263"/>
      <c r="W84" s="263"/>
      <c r="X84" s="263"/>
      <c r="Y84" s="575"/>
      <c r="Z84" s="575"/>
      <c r="AA84" s="576">
        <f t="shared" si="10"/>
        <v>0</v>
      </c>
      <c r="AB84" s="722"/>
    </row>
    <row r="85" spans="1:28" ht="15.75" customHeight="1" x14ac:dyDescent="0.35">
      <c r="A85" s="91" t="s">
        <v>503</v>
      </c>
      <c r="B85" s="90" t="s">
        <v>504</v>
      </c>
      <c r="C85" s="83">
        <v>43739</v>
      </c>
      <c r="D85" s="87">
        <v>43760</v>
      </c>
      <c r="E85" s="570"/>
      <c r="F85" s="88" t="s">
        <v>505</v>
      </c>
      <c r="G85" s="88" t="s">
        <v>162</v>
      </c>
      <c r="H85" s="81" t="s">
        <v>220</v>
      </c>
      <c r="I85" s="98" t="s">
        <v>1294</v>
      </c>
      <c r="J85" s="75">
        <f t="shared" si="9"/>
        <v>1</v>
      </c>
      <c r="K85" s="76" t="s">
        <v>211</v>
      </c>
      <c r="L85" s="88" t="s">
        <v>658</v>
      </c>
      <c r="M85" s="81">
        <v>0</v>
      </c>
      <c r="N85" s="78" t="s">
        <v>19</v>
      </c>
      <c r="R85" s="75">
        <f t="shared" si="11"/>
        <v>0</v>
      </c>
      <c r="S85" s="263"/>
      <c r="T85" s="263"/>
      <c r="U85" s="263"/>
      <c r="V85" s="263"/>
      <c r="W85" s="263"/>
      <c r="X85" s="263"/>
      <c r="Y85" s="575"/>
      <c r="Z85" s="575"/>
      <c r="AA85" s="576">
        <f t="shared" si="10"/>
        <v>0</v>
      </c>
      <c r="AB85" s="722"/>
    </row>
    <row r="86" spans="1:28" ht="15.75" customHeight="1" x14ac:dyDescent="0.35">
      <c r="A86" s="91" t="s">
        <v>506</v>
      </c>
      <c r="B86" s="90" t="s">
        <v>507</v>
      </c>
      <c r="C86" s="83">
        <v>43739</v>
      </c>
      <c r="D86" s="87">
        <v>43760</v>
      </c>
      <c r="E86" s="570"/>
      <c r="F86" s="88" t="s">
        <v>508</v>
      </c>
      <c r="G86" s="88" t="s">
        <v>149</v>
      </c>
      <c r="H86" s="81" t="s">
        <v>220</v>
      </c>
      <c r="I86" s="98" t="s">
        <v>1865</v>
      </c>
      <c r="J86" s="75">
        <f t="shared" si="9"/>
        <v>1</v>
      </c>
      <c r="K86" s="76" t="s">
        <v>211</v>
      </c>
      <c r="L86" s="88" t="s">
        <v>662</v>
      </c>
      <c r="M86" s="81">
        <v>0</v>
      </c>
      <c r="N86" s="78" t="s">
        <v>19</v>
      </c>
      <c r="R86" s="75">
        <f t="shared" si="11"/>
        <v>0</v>
      </c>
      <c r="S86" s="263"/>
      <c r="T86" s="263"/>
      <c r="U86" s="263"/>
      <c r="V86" s="263"/>
      <c r="W86" s="263"/>
      <c r="X86" s="263"/>
      <c r="Y86" s="575"/>
      <c r="Z86" s="575"/>
      <c r="AA86" s="576">
        <f t="shared" si="10"/>
        <v>0</v>
      </c>
      <c r="AB86" s="722"/>
    </row>
    <row r="87" spans="1:28" ht="15.75" customHeight="1" x14ac:dyDescent="0.35">
      <c r="A87" s="81" t="s">
        <v>509</v>
      </c>
      <c r="B87" s="90" t="s">
        <v>510</v>
      </c>
      <c r="C87" s="83">
        <v>43739</v>
      </c>
      <c r="D87" s="87">
        <v>43761</v>
      </c>
      <c r="E87" s="570"/>
      <c r="F87" s="88" t="s">
        <v>511</v>
      </c>
      <c r="G87" s="88" t="s">
        <v>174</v>
      </c>
      <c r="H87" s="81" t="s">
        <v>220</v>
      </c>
      <c r="I87" s="81" t="s">
        <v>690</v>
      </c>
      <c r="J87" s="75">
        <f t="shared" si="9"/>
        <v>1</v>
      </c>
      <c r="K87" s="76" t="s">
        <v>211</v>
      </c>
      <c r="L87" s="88" t="s">
        <v>688</v>
      </c>
      <c r="M87" s="81">
        <v>0</v>
      </c>
      <c r="N87" s="78" t="s">
        <v>19</v>
      </c>
      <c r="R87" s="75">
        <f t="shared" si="11"/>
        <v>0</v>
      </c>
      <c r="S87" s="263"/>
      <c r="T87" s="263"/>
      <c r="U87" s="263"/>
      <c r="V87" s="263"/>
      <c r="W87" s="263"/>
      <c r="X87" s="263"/>
      <c r="Y87" s="575"/>
      <c r="Z87" s="575"/>
      <c r="AA87" s="576">
        <f t="shared" si="10"/>
        <v>0</v>
      </c>
      <c r="AB87" s="722"/>
    </row>
    <row r="88" spans="1:28" ht="15.75" customHeight="1" x14ac:dyDescent="0.35">
      <c r="A88" s="81" t="s">
        <v>512</v>
      </c>
      <c r="B88" s="90" t="s">
        <v>513</v>
      </c>
      <c r="C88" s="83">
        <v>43739</v>
      </c>
      <c r="D88" s="112">
        <v>43761</v>
      </c>
      <c r="E88" s="570"/>
      <c r="F88" s="88" t="s">
        <v>514</v>
      </c>
      <c r="G88" s="88" t="s">
        <v>158</v>
      </c>
      <c r="H88" s="81" t="s">
        <v>220</v>
      </c>
      <c r="I88" s="81" t="s">
        <v>691</v>
      </c>
      <c r="J88" s="75">
        <f t="shared" si="9"/>
        <v>1</v>
      </c>
      <c r="K88" s="76" t="s">
        <v>211</v>
      </c>
      <c r="L88" s="88" t="s">
        <v>689</v>
      </c>
      <c r="M88" s="81">
        <v>0</v>
      </c>
      <c r="N88" s="78" t="s">
        <v>18</v>
      </c>
      <c r="R88" s="75">
        <f t="shared" si="11"/>
        <v>0</v>
      </c>
      <c r="S88" s="263"/>
      <c r="T88" s="263"/>
      <c r="U88" s="263"/>
      <c r="V88" s="263"/>
      <c r="W88" s="263"/>
      <c r="X88" s="263"/>
      <c r="Y88" s="575"/>
      <c r="Z88" s="575"/>
      <c r="AA88" s="576">
        <f t="shared" si="10"/>
        <v>0</v>
      </c>
      <c r="AB88" s="722"/>
    </row>
    <row r="89" spans="1:28" ht="15.75" customHeight="1" x14ac:dyDescent="0.35">
      <c r="A89" s="94" t="s">
        <v>515</v>
      </c>
      <c r="B89" s="90" t="s">
        <v>516</v>
      </c>
      <c r="C89" s="83">
        <v>43739</v>
      </c>
      <c r="D89" s="112">
        <v>43776</v>
      </c>
      <c r="E89" s="570"/>
      <c r="F89" s="88" t="s">
        <v>517</v>
      </c>
      <c r="G89" s="99" t="s">
        <v>152</v>
      </c>
      <c r="H89" s="81" t="s">
        <v>220</v>
      </c>
      <c r="I89" s="81" t="s">
        <v>649</v>
      </c>
      <c r="J89" s="75">
        <f t="shared" si="9"/>
        <v>1</v>
      </c>
      <c r="K89" s="76" t="s">
        <v>211</v>
      </c>
      <c r="L89" s="99" t="s">
        <v>1173</v>
      </c>
      <c r="M89" s="77">
        <v>1</v>
      </c>
      <c r="N89" s="78" t="s">
        <v>18</v>
      </c>
      <c r="R89" s="75">
        <f t="shared" si="11"/>
        <v>0</v>
      </c>
      <c r="S89" s="263"/>
      <c r="T89" s="263"/>
      <c r="U89" s="263"/>
      <c r="V89" s="263"/>
      <c r="W89" s="263"/>
      <c r="X89" s="263"/>
      <c r="Y89" s="575"/>
      <c r="Z89" s="575"/>
      <c r="AA89" s="576">
        <f t="shared" si="10"/>
        <v>0</v>
      </c>
      <c r="AB89" s="722"/>
    </row>
    <row r="90" spans="1:28" ht="15.75" customHeight="1" x14ac:dyDescent="0.35">
      <c r="A90" s="68" t="s">
        <v>716</v>
      </c>
      <c r="B90" s="23" t="s">
        <v>1039</v>
      </c>
      <c r="C90" s="83">
        <v>43725</v>
      </c>
      <c r="D90" s="83">
        <v>43761</v>
      </c>
      <c r="E90" s="570"/>
      <c r="F90" s="88" t="s">
        <v>717</v>
      </c>
      <c r="G90" s="88" t="s">
        <v>152</v>
      </c>
      <c r="H90" s="81" t="s">
        <v>220</v>
      </c>
      <c r="I90" s="81" t="s">
        <v>718</v>
      </c>
      <c r="J90" s="75">
        <f t="shared" si="9"/>
        <v>1</v>
      </c>
      <c r="K90" s="76" t="s">
        <v>211</v>
      </c>
      <c r="L90" s="88" t="s">
        <v>719</v>
      </c>
      <c r="M90" s="77">
        <v>1</v>
      </c>
      <c r="N90" s="78" t="s">
        <v>17</v>
      </c>
      <c r="O90" s="114">
        <v>65100</v>
      </c>
      <c r="R90" s="75">
        <f t="shared" si="11"/>
        <v>0</v>
      </c>
      <c r="S90" s="263"/>
      <c r="T90" s="263"/>
      <c r="U90" s="263"/>
      <c r="V90" s="263"/>
      <c r="W90" s="263"/>
      <c r="X90" s="263"/>
      <c r="Y90" s="575"/>
      <c r="Z90" s="575"/>
      <c r="AA90" s="576">
        <f t="shared" si="10"/>
        <v>0</v>
      </c>
      <c r="AB90" s="722"/>
    </row>
    <row r="91" spans="1:28" ht="15.75" customHeight="1" x14ac:dyDescent="0.35">
      <c r="A91" s="81" t="s">
        <v>518</v>
      </c>
      <c r="B91" s="90" t="s">
        <v>519</v>
      </c>
      <c r="C91" s="83">
        <v>43739</v>
      </c>
      <c r="D91" s="112">
        <v>43776</v>
      </c>
      <c r="E91" s="570"/>
      <c r="F91" s="88" t="s">
        <v>520</v>
      </c>
      <c r="G91" s="99" t="s">
        <v>154</v>
      </c>
      <c r="H91" s="81" t="s">
        <v>220</v>
      </c>
      <c r="J91" s="75">
        <f t="shared" si="9"/>
        <v>1</v>
      </c>
      <c r="K91" s="76" t="s">
        <v>211</v>
      </c>
      <c r="L91" s="99" t="s">
        <v>1175</v>
      </c>
      <c r="M91" s="77">
        <v>1</v>
      </c>
      <c r="N91" s="78" t="s">
        <v>17</v>
      </c>
      <c r="O91" s="114">
        <v>32620</v>
      </c>
      <c r="R91" s="75">
        <f t="shared" si="11"/>
        <v>0</v>
      </c>
      <c r="S91" s="263"/>
      <c r="T91" s="263"/>
      <c r="U91" s="263"/>
      <c r="V91" s="263"/>
      <c r="W91" s="263"/>
      <c r="X91" s="263"/>
      <c r="Y91" s="575"/>
      <c r="Z91" s="575"/>
      <c r="AA91" s="576">
        <f t="shared" si="10"/>
        <v>0</v>
      </c>
      <c r="AB91" s="722"/>
    </row>
    <row r="92" spans="1:28" ht="15.75" customHeight="1" x14ac:dyDescent="0.35">
      <c r="A92" s="81" t="s">
        <v>521</v>
      </c>
      <c r="B92" s="90" t="s">
        <v>522</v>
      </c>
      <c r="C92" s="83">
        <v>43739</v>
      </c>
      <c r="D92" s="112">
        <v>43776</v>
      </c>
      <c r="E92" s="570"/>
      <c r="F92" s="88" t="s">
        <v>523</v>
      </c>
      <c r="G92" s="99" t="s">
        <v>195</v>
      </c>
      <c r="H92" s="81" t="s">
        <v>220</v>
      </c>
      <c r="J92" s="75">
        <f t="shared" si="9"/>
        <v>1</v>
      </c>
      <c r="K92" s="76" t="s">
        <v>211</v>
      </c>
      <c r="L92" s="99" t="s">
        <v>1172</v>
      </c>
      <c r="M92" s="77">
        <v>1</v>
      </c>
      <c r="N92" s="78" t="s">
        <v>18</v>
      </c>
      <c r="R92" s="75">
        <f t="shared" si="11"/>
        <v>0</v>
      </c>
      <c r="S92" s="263"/>
      <c r="T92" s="263"/>
      <c r="U92" s="263"/>
      <c r="V92" s="263"/>
      <c r="W92" s="263"/>
      <c r="X92" s="263"/>
      <c r="Y92" s="575"/>
      <c r="Z92" s="575"/>
      <c r="AA92" s="576">
        <f t="shared" si="10"/>
        <v>0</v>
      </c>
      <c r="AB92" s="722"/>
    </row>
    <row r="93" spans="1:28" ht="15.75" customHeight="1" x14ac:dyDescent="0.35">
      <c r="A93" s="81" t="s">
        <v>524</v>
      </c>
      <c r="B93" s="90" t="s">
        <v>525</v>
      </c>
      <c r="C93" s="83">
        <v>43740</v>
      </c>
      <c r="D93" s="87">
        <v>43762</v>
      </c>
      <c r="E93" s="570"/>
      <c r="F93" s="88" t="s">
        <v>526</v>
      </c>
      <c r="G93" s="88" t="s">
        <v>162</v>
      </c>
      <c r="H93" s="81" t="s">
        <v>220</v>
      </c>
      <c r="I93" s="81" t="s">
        <v>698</v>
      </c>
      <c r="J93" s="75">
        <f t="shared" si="9"/>
        <v>1</v>
      </c>
      <c r="K93" s="76" t="s">
        <v>211</v>
      </c>
      <c r="L93" s="88" t="s">
        <v>693</v>
      </c>
      <c r="M93" s="81">
        <v>0</v>
      </c>
      <c r="N93" s="78" t="s">
        <v>19</v>
      </c>
      <c r="R93" s="75">
        <f t="shared" si="11"/>
        <v>0</v>
      </c>
      <c r="S93" s="263"/>
      <c r="T93" s="263"/>
      <c r="U93" s="263"/>
      <c r="V93" s="263"/>
      <c r="W93" s="263"/>
      <c r="X93" s="263"/>
      <c r="Y93" s="575"/>
      <c r="Z93" s="575"/>
      <c r="AA93" s="576">
        <f t="shared" si="10"/>
        <v>0</v>
      </c>
      <c r="AB93" s="722"/>
    </row>
    <row r="94" spans="1:28" ht="15.75" customHeight="1" x14ac:dyDescent="0.35">
      <c r="A94" s="92" t="s">
        <v>527</v>
      </c>
      <c r="B94" s="90" t="s">
        <v>528</v>
      </c>
      <c r="C94" s="83">
        <v>43740</v>
      </c>
      <c r="D94" s="87">
        <v>43762</v>
      </c>
      <c r="E94" s="570"/>
      <c r="F94" s="88" t="s">
        <v>529</v>
      </c>
      <c r="G94" s="88" t="s">
        <v>154</v>
      </c>
      <c r="H94" s="81" t="s">
        <v>220</v>
      </c>
      <c r="I94" s="98" t="s">
        <v>2901</v>
      </c>
      <c r="J94" s="75">
        <f t="shared" si="9"/>
        <v>1</v>
      </c>
      <c r="K94" s="76" t="s">
        <v>211</v>
      </c>
      <c r="L94" s="88" t="s">
        <v>694</v>
      </c>
      <c r="M94" s="81">
        <v>0</v>
      </c>
      <c r="N94" s="78" t="s">
        <v>17</v>
      </c>
      <c r="O94" s="114">
        <v>277813.59999999998</v>
      </c>
      <c r="R94" s="75">
        <f t="shared" si="11"/>
        <v>0</v>
      </c>
      <c r="S94" s="263"/>
      <c r="T94" s="263"/>
      <c r="U94" s="263"/>
      <c r="V94" s="263"/>
      <c r="W94" s="263"/>
      <c r="X94" s="263"/>
      <c r="Y94" s="575"/>
      <c r="Z94" s="575"/>
      <c r="AA94" s="576">
        <f t="shared" si="10"/>
        <v>0</v>
      </c>
      <c r="AB94" s="722"/>
    </row>
    <row r="95" spans="1:28" ht="15.75" customHeight="1" x14ac:dyDescent="0.35">
      <c r="A95" s="91" t="s">
        <v>530</v>
      </c>
      <c r="B95" s="90" t="s">
        <v>531</v>
      </c>
      <c r="C95" s="83">
        <v>43740</v>
      </c>
      <c r="D95" s="112">
        <v>43777</v>
      </c>
      <c r="E95" s="570"/>
      <c r="F95" s="88" t="s">
        <v>532</v>
      </c>
      <c r="G95" s="99" t="s">
        <v>162</v>
      </c>
      <c r="H95" s="81" t="s">
        <v>220</v>
      </c>
      <c r="I95" s="81" t="s">
        <v>695</v>
      </c>
      <c r="J95" s="75">
        <f t="shared" si="9"/>
        <v>1</v>
      </c>
      <c r="K95" s="76" t="s">
        <v>211</v>
      </c>
      <c r="L95" s="99" t="s">
        <v>1177</v>
      </c>
      <c r="M95" s="77">
        <v>1</v>
      </c>
      <c r="N95" s="78" t="s">
        <v>17</v>
      </c>
      <c r="O95" s="114">
        <v>21200</v>
      </c>
      <c r="P95" s="114">
        <v>21200</v>
      </c>
      <c r="R95" s="75">
        <f t="shared" si="11"/>
        <v>0</v>
      </c>
      <c r="S95" s="263"/>
      <c r="T95" s="263"/>
      <c r="U95" s="263"/>
      <c r="V95" s="263"/>
      <c r="W95" s="263"/>
      <c r="X95" s="263"/>
      <c r="Y95" s="575"/>
      <c r="Z95" s="575"/>
      <c r="AA95" s="576">
        <f t="shared" si="10"/>
        <v>0</v>
      </c>
      <c r="AB95" s="722"/>
    </row>
    <row r="96" spans="1:28" ht="15.75" customHeight="1" x14ac:dyDescent="0.35">
      <c r="A96" s="81" t="s">
        <v>533</v>
      </c>
      <c r="B96" s="90" t="s">
        <v>534</v>
      </c>
      <c r="C96" s="83">
        <v>43740</v>
      </c>
      <c r="D96" s="112">
        <v>43762</v>
      </c>
      <c r="E96" s="570"/>
      <c r="F96" s="88" t="s">
        <v>535</v>
      </c>
      <c r="G96" s="88" t="s">
        <v>154</v>
      </c>
      <c r="H96" s="81" t="s">
        <v>220</v>
      </c>
      <c r="I96" s="98" t="s">
        <v>656</v>
      </c>
      <c r="J96" s="75">
        <f t="shared" si="9"/>
        <v>1</v>
      </c>
      <c r="K96" s="76" t="s">
        <v>211</v>
      </c>
      <c r="M96" s="81">
        <v>0</v>
      </c>
      <c r="N96" s="78" t="s">
        <v>17</v>
      </c>
      <c r="O96" s="114">
        <v>228000</v>
      </c>
      <c r="R96" s="75">
        <f t="shared" si="11"/>
        <v>0</v>
      </c>
      <c r="S96" s="263"/>
      <c r="T96" s="263"/>
      <c r="U96" s="263"/>
      <c r="V96" s="263"/>
      <c r="W96" s="263"/>
      <c r="X96" s="263"/>
      <c r="Y96" s="575"/>
      <c r="Z96" s="575"/>
      <c r="AA96" s="576">
        <f t="shared" si="10"/>
        <v>0</v>
      </c>
      <c r="AB96" s="722"/>
    </row>
    <row r="97" spans="1:28" ht="15.75" customHeight="1" x14ac:dyDescent="0.35">
      <c r="A97" s="81" t="s">
        <v>536</v>
      </c>
      <c r="B97" s="90" t="s">
        <v>537</v>
      </c>
      <c r="C97" s="83">
        <v>43740</v>
      </c>
      <c r="D97" s="112">
        <v>43762</v>
      </c>
      <c r="E97" s="570"/>
      <c r="F97" s="88" t="s">
        <v>538</v>
      </c>
      <c r="G97" s="88" t="s">
        <v>154</v>
      </c>
      <c r="H97" s="81" t="s">
        <v>275</v>
      </c>
      <c r="I97" s="81" t="s">
        <v>696</v>
      </c>
      <c r="J97" s="75">
        <f t="shared" si="9"/>
        <v>1</v>
      </c>
      <c r="K97" s="76" t="s">
        <v>211</v>
      </c>
      <c r="L97" s="88" t="s">
        <v>697</v>
      </c>
      <c r="M97" s="81">
        <v>0</v>
      </c>
      <c r="N97" s="78" t="s">
        <v>18</v>
      </c>
      <c r="R97" s="75">
        <f t="shared" si="11"/>
        <v>0</v>
      </c>
      <c r="S97" s="263"/>
      <c r="T97" s="263"/>
      <c r="U97" s="263"/>
      <c r="V97" s="263"/>
      <c r="W97" s="263"/>
      <c r="X97" s="263"/>
      <c r="Y97" s="575"/>
      <c r="Z97" s="575"/>
      <c r="AA97" s="576">
        <f t="shared" si="10"/>
        <v>0</v>
      </c>
      <c r="AB97" s="722"/>
    </row>
    <row r="98" spans="1:28" ht="15.75" customHeight="1" x14ac:dyDescent="0.35">
      <c r="A98" s="81" t="s">
        <v>539</v>
      </c>
      <c r="B98" s="90" t="s">
        <v>540</v>
      </c>
      <c r="C98" s="83">
        <v>43741</v>
      </c>
      <c r="D98" s="87">
        <v>43763</v>
      </c>
      <c r="E98" s="570"/>
      <c r="F98" s="88" t="s">
        <v>541</v>
      </c>
      <c r="G98" s="88" t="s">
        <v>154</v>
      </c>
      <c r="H98" s="81" t="s">
        <v>220</v>
      </c>
      <c r="I98" s="98" t="s">
        <v>656</v>
      </c>
      <c r="J98" s="75">
        <f t="shared" si="9"/>
        <v>1</v>
      </c>
      <c r="K98" s="76" t="s">
        <v>211</v>
      </c>
      <c r="L98" s="88" t="s">
        <v>702</v>
      </c>
      <c r="M98" s="81">
        <v>0</v>
      </c>
      <c r="N98" s="78" t="s">
        <v>17</v>
      </c>
      <c r="O98" s="114">
        <v>19116.48</v>
      </c>
      <c r="R98" s="75">
        <f t="shared" si="11"/>
        <v>0</v>
      </c>
      <c r="S98" s="263"/>
      <c r="T98" s="263"/>
      <c r="U98" s="263"/>
      <c r="V98" s="263"/>
      <c r="W98" s="263"/>
      <c r="X98" s="263"/>
      <c r="Y98" s="575"/>
      <c r="Z98" s="575"/>
      <c r="AA98" s="576">
        <f t="shared" si="10"/>
        <v>0</v>
      </c>
      <c r="AB98" s="722"/>
    </row>
    <row r="99" spans="1:28" ht="15.75" customHeight="1" x14ac:dyDescent="0.35">
      <c r="A99" s="81" t="s">
        <v>542</v>
      </c>
      <c r="B99" s="90" t="s">
        <v>543</v>
      </c>
      <c r="C99" s="83">
        <v>43741</v>
      </c>
      <c r="D99" s="87">
        <v>43763</v>
      </c>
      <c r="E99" s="570"/>
      <c r="F99" s="88" t="s">
        <v>544</v>
      </c>
      <c r="G99" s="88" t="s">
        <v>545</v>
      </c>
      <c r="H99" s="81" t="s">
        <v>220</v>
      </c>
      <c r="I99" s="81" t="s">
        <v>1004</v>
      </c>
      <c r="J99" s="75">
        <f t="shared" si="9"/>
        <v>1</v>
      </c>
      <c r="K99" s="76" t="s">
        <v>211</v>
      </c>
      <c r="L99" s="88" t="s">
        <v>703</v>
      </c>
      <c r="M99" s="81">
        <v>0</v>
      </c>
      <c r="N99" s="78" t="s">
        <v>19</v>
      </c>
      <c r="R99" s="75">
        <f t="shared" si="11"/>
        <v>0</v>
      </c>
      <c r="S99" s="263"/>
      <c r="T99" s="263"/>
      <c r="U99" s="263"/>
      <c r="V99" s="263"/>
      <c r="W99" s="263"/>
      <c r="X99" s="263"/>
      <c r="Y99" s="575"/>
      <c r="Z99" s="575"/>
      <c r="AA99" s="576">
        <f t="shared" si="10"/>
        <v>0</v>
      </c>
      <c r="AB99" s="722"/>
    </row>
    <row r="100" spans="1:28" ht="15.75" customHeight="1" x14ac:dyDescent="0.35">
      <c r="A100" s="125" t="s">
        <v>546</v>
      </c>
      <c r="B100" s="90" t="s">
        <v>547</v>
      </c>
      <c r="C100" s="83">
        <v>43741</v>
      </c>
      <c r="D100" s="249">
        <v>43780</v>
      </c>
      <c r="E100" s="570"/>
      <c r="F100" s="88" t="s">
        <v>548</v>
      </c>
      <c r="G100" s="88" t="s">
        <v>158</v>
      </c>
      <c r="H100" s="81" t="s">
        <v>220</v>
      </c>
      <c r="I100" s="81" t="s">
        <v>722</v>
      </c>
      <c r="J100" s="75">
        <f t="shared" si="9"/>
        <v>1</v>
      </c>
      <c r="K100" s="76" t="s">
        <v>211</v>
      </c>
      <c r="L100" s="99" t="s">
        <v>1180</v>
      </c>
      <c r="M100" s="77">
        <v>1</v>
      </c>
      <c r="N100" s="78" t="s">
        <v>18</v>
      </c>
      <c r="R100" s="75">
        <f t="shared" si="11"/>
        <v>0</v>
      </c>
      <c r="S100" s="263"/>
      <c r="T100" s="263"/>
      <c r="U100" s="263"/>
      <c r="V100" s="263"/>
      <c r="W100" s="263"/>
      <c r="X100" s="263"/>
      <c r="Y100" s="575"/>
      <c r="Z100" s="575"/>
      <c r="AA100" s="576">
        <f t="shared" si="10"/>
        <v>0</v>
      </c>
      <c r="AB100" s="722"/>
    </row>
    <row r="101" spans="1:28" ht="15.75" customHeight="1" x14ac:dyDescent="0.35">
      <c r="A101" s="125" t="s">
        <v>549</v>
      </c>
      <c r="B101" s="90" t="s">
        <v>550</v>
      </c>
      <c r="C101" s="83">
        <v>43741</v>
      </c>
      <c r="D101" s="112">
        <v>43780</v>
      </c>
      <c r="E101" s="570"/>
      <c r="F101" s="88" t="s">
        <v>551</v>
      </c>
      <c r="G101" s="99" t="s">
        <v>417</v>
      </c>
      <c r="H101" s="81" t="s">
        <v>220</v>
      </c>
      <c r="J101" s="75">
        <f t="shared" si="9"/>
        <v>1</v>
      </c>
      <c r="K101" s="76" t="s">
        <v>211</v>
      </c>
      <c r="L101" s="99" t="s">
        <v>1269</v>
      </c>
      <c r="M101" s="77">
        <v>1</v>
      </c>
      <c r="N101" s="78" t="s">
        <v>17</v>
      </c>
      <c r="O101" s="114">
        <v>27700</v>
      </c>
      <c r="R101" s="75">
        <f t="shared" si="11"/>
        <v>0</v>
      </c>
      <c r="S101" s="263"/>
      <c r="T101" s="263"/>
      <c r="U101" s="263"/>
      <c r="V101" s="263"/>
      <c r="W101" s="263"/>
      <c r="X101" s="263"/>
      <c r="Y101" s="575"/>
      <c r="Z101" s="575"/>
      <c r="AA101" s="576">
        <f t="shared" si="10"/>
        <v>0</v>
      </c>
      <c r="AB101" s="722"/>
    </row>
    <row r="102" spans="1:28" ht="15.75" customHeight="1" x14ac:dyDescent="0.35">
      <c r="A102" s="81" t="s">
        <v>552</v>
      </c>
      <c r="B102" s="90" t="s">
        <v>553</v>
      </c>
      <c r="C102" s="83">
        <v>43741</v>
      </c>
      <c r="D102" s="87">
        <v>43763</v>
      </c>
      <c r="E102" s="570"/>
      <c r="F102" s="88" t="s">
        <v>554</v>
      </c>
      <c r="G102" s="88" t="s">
        <v>149</v>
      </c>
      <c r="H102" s="81" t="s">
        <v>275</v>
      </c>
      <c r="I102" s="98" t="s">
        <v>2842</v>
      </c>
      <c r="J102" s="75">
        <f t="shared" si="9"/>
        <v>1</v>
      </c>
      <c r="K102" s="76" t="s">
        <v>211</v>
      </c>
      <c r="L102" s="88" t="s">
        <v>704</v>
      </c>
      <c r="M102" s="81">
        <v>0</v>
      </c>
      <c r="N102" s="78" t="s">
        <v>18</v>
      </c>
      <c r="R102" s="75">
        <f t="shared" si="11"/>
        <v>0</v>
      </c>
      <c r="S102" s="263"/>
      <c r="T102" s="263"/>
      <c r="U102" s="263"/>
      <c r="V102" s="263"/>
      <c r="W102" s="263"/>
      <c r="X102" s="263"/>
      <c r="Y102" s="575"/>
      <c r="Z102" s="575"/>
      <c r="AA102" s="576">
        <f t="shared" si="10"/>
        <v>0</v>
      </c>
      <c r="AB102" s="722"/>
    </row>
    <row r="103" spans="1:28" ht="15.75" customHeight="1" x14ac:dyDescent="0.35">
      <c r="A103" s="125" t="s">
        <v>555</v>
      </c>
      <c r="B103" s="90" t="s">
        <v>556</v>
      </c>
      <c r="C103" s="83">
        <v>43741</v>
      </c>
      <c r="D103" s="112">
        <v>43780</v>
      </c>
      <c r="E103" s="570"/>
      <c r="F103" s="88" t="s">
        <v>557</v>
      </c>
      <c r="G103" s="88" t="s">
        <v>154</v>
      </c>
      <c r="H103" s="81" t="s">
        <v>220</v>
      </c>
      <c r="I103" s="81" t="s">
        <v>649</v>
      </c>
      <c r="J103" s="75">
        <f t="shared" si="9"/>
        <v>1</v>
      </c>
      <c r="K103" s="76" t="s">
        <v>211</v>
      </c>
      <c r="L103" s="99" t="s">
        <v>1198</v>
      </c>
      <c r="M103" s="77">
        <v>1</v>
      </c>
      <c r="N103" s="78" t="s">
        <v>17</v>
      </c>
      <c r="O103" s="114">
        <v>163607</v>
      </c>
      <c r="R103" s="75">
        <f t="shared" si="11"/>
        <v>0</v>
      </c>
      <c r="S103" s="263"/>
      <c r="T103" s="263"/>
      <c r="U103" s="263"/>
      <c r="V103" s="263"/>
      <c r="W103" s="263"/>
      <c r="X103" s="263"/>
      <c r="Y103" s="575"/>
      <c r="Z103" s="575"/>
      <c r="AA103" s="576">
        <f t="shared" si="10"/>
        <v>0</v>
      </c>
      <c r="AB103" s="722"/>
    </row>
    <row r="104" spans="1:28" ht="15.75" customHeight="1" x14ac:dyDescent="0.35">
      <c r="A104" s="81" t="s">
        <v>729</v>
      </c>
      <c r="B104" s="90" t="s">
        <v>735</v>
      </c>
      <c r="C104" s="83">
        <v>43742</v>
      </c>
      <c r="D104" s="87">
        <v>43763</v>
      </c>
      <c r="E104" s="570"/>
      <c r="F104" s="88" t="s">
        <v>728</v>
      </c>
      <c r="G104" s="88" t="s">
        <v>417</v>
      </c>
      <c r="H104" s="81" t="s">
        <v>220</v>
      </c>
      <c r="I104" s="81" t="s">
        <v>730</v>
      </c>
      <c r="J104" s="75">
        <f t="shared" si="9"/>
        <v>1</v>
      </c>
      <c r="K104" s="76" t="s">
        <v>211</v>
      </c>
      <c r="L104" s="99" t="s">
        <v>731</v>
      </c>
      <c r="M104" s="81">
        <v>0</v>
      </c>
      <c r="N104" s="78" t="s">
        <v>18</v>
      </c>
      <c r="R104" s="75">
        <f t="shared" si="11"/>
        <v>0</v>
      </c>
      <c r="S104" s="263"/>
      <c r="T104" s="263"/>
      <c r="U104" s="263"/>
      <c r="V104" s="263"/>
      <c r="W104" s="263"/>
      <c r="X104" s="263"/>
      <c r="Y104" s="575"/>
      <c r="Z104" s="575"/>
      <c r="AA104" s="576">
        <f t="shared" si="10"/>
        <v>0</v>
      </c>
      <c r="AB104" s="722"/>
    </row>
    <row r="105" spans="1:28" ht="15.75" customHeight="1" x14ac:dyDescent="0.35">
      <c r="A105" s="124" t="s">
        <v>732</v>
      </c>
      <c r="B105" s="90" t="s">
        <v>733</v>
      </c>
      <c r="C105" s="83">
        <v>43728</v>
      </c>
      <c r="D105" s="87">
        <v>43763</v>
      </c>
      <c r="E105" s="570"/>
      <c r="F105" s="88" t="s">
        <v>734</v>
      </c>
      <c r="G105" s="88" t="s">
        <v>149</v>
      </c>
      <c r="H105" s="81" t="s">
        <v>220</v>
      </c>
      <c r="I105" s="98" t="s">
        <v>1292</v>
      </c>
      <c r="J105" s="75">
        <f t="shared" si="9"/>
        <v>1</v>
      </c>
      <c r="K105" s="76" t="s">
        <v>211</v>
      </c>
      <c r="L105" s="99" t="s">
        <v>893</v>
      </c>
      <c r="M105" s="77">
        <v>1</v>
      </c>
      <c r="N105" s="78" t="s">
        <v>19</v>
      </c>
      <c r="R105" s="75">
        <f t="shared" si="11"/>
        <v>0</v>
      </c>
      <c r="S105" s="263"/>
      <c r="T105" s="263"/>
      <c r="U105" s="263"/>
      <c r="V105" s="263"/>
      <c r="W105" s="263"/>
      <c r="X105" s="263"/>
      <c r="Y105" s="575"/>
      <c r="Z105" s="575"/>
      <c r="AA105" s="576">
        <f t="shared" si="10"/>
        <v>0</v>
      </c>
      <c r="AB105" s="722"/>
    </row>
    <row r="106" spans="1:28" ht="15.75" customHeight="1" x14ac:dyDescent="0.35">
      <c r="A106" s="124" t="s">
        <v>736</v>
      </c>
      <c r="B106" s="90" t="s">
        <v>743</v>
      </c>
      <c r="C106" s="83">
        <v>43742</v>
      </c>
      <c r="D106" s="112">
        <v>43781</v>
      </c>
      <c r="E106" s="570"/>
      <c r="F106" s="88" t="s">
        <v>739</v>
      </c>
      <c r="G106" s="88" t="s">
        <v>152</v>
      </c>
      <c r="H106" s="81" t="s">
        <v>220</v>
      </c>
      <c r="I106" s="98" t="s">
        <v>722</v>
      </c>
      <c r="J106" s="75">
        <f t="shared" si="9"/>
        <v>1</v>
      </c>
      <c r="K106" s="76" t="s">
        <v>211</v>
      </c>
      <c r="L106" s="99" t="s">
        <v>1199</v>
      </c>
      <c r="M106" s="77">
        <v>1</v>
      </c>
      <c r="N106" s="78" t="s">
        <v>17</v>
      </c>
      <c r="O106" s="114">
        <v>45700</v>
      </c>
      <c r="R106" s="75">
        <f t="shared" si="11"/>
        <v>0</v>
      </c>
      <c r="S106" s="263"/>
      <c r="T106" s="263"/>
      <c r="U106" s="263"/>
      <c r="V106" s="263"/>
      <c r="W106" s="263"/>
      <c r="X106" s="263"/>
      <c r="Y106" s="575"/>
      <c r="Z106" s="575"/>
      <c r="AA106" s="576">
        <f t="shared" si="10"/>
        <v>0</v>
      </c>
      <c r="AB106" s="722"/>
    </row>
    <row r="107" spans="1:28" ht="15.75" customHeight="1" x14ac:dyDescent="0.35">
      <c r="A107" s="124" t="s">
        <v>737</v>
      </c>
      <c r="B107" s="90" t="s">
        <v>744</v>
      </c>
      <c r="C107" s="83">
        <v>43742</v>
      </c>
      <c r="D107" s="112">
        <v>43781</v>
      </c>
      <c r="E107" s="570"/>
      <c r="F107" s="88" t="s">
        <v>740</v>
      </c>
      <c r="G107" s="88" t="s">
        <v>741</v>
      </c>
      <c r="H107" s="81" t="s">
        <v>220</v>
      </c>
      <c r="I107" s="98" t="s">
        <v>1291</v>
      </c>
      <c r="J107" s="75">
        <f t="shared" si="9"/>
        <v>1</v>
      </c>
      <c r="K107" s="76" t="s">
        <v>211</v>
      </c>
      <c r="L107" s="99" t="s">
        <v>1181</v>
      </c>
      <c r="M107" s="81">
        <v>0</v>
      </c>
      <c r="N107" s="78" t="s">
        <v>19</v>
      </c>
      <c r="R107" s="75">
        <f t="shared" si="11"/>
        <v>0</v>
      </c>
      <c r="S107" s="263"/>
      <c r="T107" s="263"/>
      <c r="U107" s="263"/>
      <c r="V107" s="263"/>
      <c r="W107" s="263"/>
      <c r="X107" s="263"/>
      <c r="Y107" s="575"/>
      <c r="Z107" s="575"/>
      <c r="AA107" s="576">
        <f t="shared" si="10"/>
        <v>0</v>
      </c>
      <c r="AB107" s="722"/>
    </row>
    <row r="108" spans="1:28" ht="15.75" customHeight="1" x14ac:dyDescent="0.35">
      <c r="A108" s="68" t="s">
        <v>738</v>
      </c>
      <c r="B108" s="251" t="s">
        <v>745</v>
      </c>
      <c r="C108" s="83">
        <v>43742</v>
      </c>
      <c r="D108" s="112">
        <v>43781</v>
      </c>
      <c r="E108" s="570"/>
      <c r="F108" s="88" t="s">
        <v>742</v>
      </c>
      <c r="G108" s="99" t="s">
        <v>162</v>
      </c>
      <c r="H108" s="81" t="s">
        <v>220</v>
      </c>
      <c r="I108" s="98" t="s">
        <v>722</v>
      </c>
      <c r="J108" s="75">
        <f t="shared" si="9"/>
        <v>1</v>
      </c>
      <c r="K108" s="76" t="s">
        <v>211</v>
      </c>
      <c r="L108" s="99" t="s">
        <v>1290</v>
      </c>
      <c r="M108" s="77">
        <v>1</v>
      </c>
      <c r="N108" s="78" t="s">
        <v>18</v>
      </c>
      <c r="R108" s="75">
        <f t="shared" si="11"/>
        <v>0</v>
      </c>
      <c r="S108" s="263"/>
      <c r="T108" s="263"/>
      <c r="U108" s="263"/>
      <c r="V108" s="263"/>
      <c r="W108" s="263"/>
      <c r="X108" s="263"/>
      <c r="Y108" s="575"/>
      <c r="Z108" s="575"/>
      <c r="AA108" s="576">
        <f t="shared" si="10"/>
        <v>0</v>
      </c>
      <c r="AB108" s="722"/>
    </row>
    <row r="109" spans="1:28" ht="15.75" customHeight="1" x14ac:dyDescent="0.35">
      <c r="A109" s="120" t="s">
        <v>746</v>
      </c>
      <c r="B109" s="23" t="s">
        <v>756</v>
      </c>
      <c r="C109" s="83">
        <v>43745</v>
      </c>
      <c r="D109" s="96">
        <v>43796</v>
      </c>
      <c r="E109" s="570"/>
      <c r="F109" s="99" t="s">
        <v>751</v>
      </c>
      <c r="G109" s="99" t="s">
        <v>154</v>
      </c>
      <c r="H109" s="81" t="s">
        <v>220</v>
      </c>
      <c r="I109" s="98" t="s">
        <v>1920</v>
      </c>
      <c r="J109" s="75">
        <f t="shared" si="9"/>
        <v>1</v>
      </c>
      <c r="K109" s="76" t="s">
        <v>211</v>
      </c>
      <c r="L109" s="99" t="s">
        <v>1921</v>
      </c>
      <c r="M109" s="129">
        <v>1</v>
      </c>
      <c r="N109" s="78" t="s">
        <v>19</v>
      </c>
      <c r="Q109" s="304" t="s">
        <v>1992</v>
      </c>
      <c r="R109" s="75">
        <f t="shared" si="11"/>
        <v>1</v>
      </c>
      <c r="S109" s="263" t="s">
        <v>1991</v>
      </c>
      <c r="T109" s="263"/>
      <c r="U109" s="263"/>
      <c r="V109" s="263"/>
      <c r="W109" s="263"/>
      <c r="X109" s="263"/>
      <c r="Y109" s="575"/>
      <c r="Z109" s="575"/>
      <c r="AA109" s="576">
        <f t="shared" si="10"/>
        <v>0</v>
      </c>
      <c r="AB109" s="722"/>
    </row>
    <row r="110" spans="1:28" ht="15.75" customHeight="1" x14ac:dyDescent="0.35">
      <c r="A110" s="120" t="s">
        <v>747</v>
      </c>
      <c r="B110" s="23" t="s">
        <v>757</v>
      </c>
      <c r="C110" s="83">
        <v>43745</v>
      </c>
      <c r="D110" s="96">
        <v>43796</v>
      </c>
      <c r="E110" s="570"/>
      <c r="F110" s="88" t="s">
        <v>752</v>
      </c>
      <c r="G110" s="99" t="s">
        <v>160</v>
      </c>
      <c r="H110" s="81" t="s">
        <v>220</v>
      </c>
      <c r="I110" s="98" t="s">
        <v>649</v>
      </c>
      <c r="J110" s="75">
        <f t="shared" si="9"/>
        <v>1</v>
      </c>
      <c r="K110" s="76" t="s">
        <v>211</v>
      </c>
      <c r="L110" s="97" t="s">
        <v>1919</v>
      </c>
      <c r="M110" s="77">
        <v>1</v>
      </c>
      <c r="N110" s="78" t="s">
        <v>17</v>
      </c>
      <c r="O110" s="114">
        <v>52400</v>
      </c>
      <c r="Q110" s="304" t="s">
        <v>1985</v>
      </c>
      <c r="R110" s="75">
        <f t="shared" si="11"/>
        <v>1</v>
      </c>
      <c r="S110" s="263" t="s">
        <v>1991</v>
      </c>
      <c r="T110" s="263"/>
      <c r="U110" s="263"/>
      <c r="V110" s="263"/>
      <c r="W110" s="263"/>
      <c r="X110" s="263"/>
      <c r="Y110" s="575"/>
      <c r="Z110" s="575"/>
      <c r="AA110" s="576">
        <f t="shared" si="10"/>
        <v>0</v>
      </c>
      <c r="AB110" s="722"/>
    </row>
    <row r="111" spans="1:28" ht="15.75" customHeight="1" x14ac:dyDescent="0.35">
      <c r="A111" s="120" t="s">
        <v>748</v>
      </c>
      <c r="B111" s="23" t="s">
        <v>758</v>
      </c>
      <c r="C111" s="83">
        <v>43745</v>
      </c>
      <c r="D111" s="96">
        <v>43782</v>
      </c>
      <c r="E111" s="570"/>
      <c r="F111" s="88" t="s">
        <v>753</v>
      </c>
      <c r="G111" s="88" t="s">
        <v>152</v>
      </c>
      <c r="H111" s="81" t="s">
        <v>220</v>
      </c>
      <c r="I111" s="98" t="s">
        <v>1308</v>
      </c>
      <c r="J111" s="75">
        <f t="shared" si="9"/>
        <v>1</v>
      </c>
      <c r="K111" s="76" t="s">
        <v>211</v>
      </c>
      <c r="L111" s="99" t="s">
        <v>1298</v>
      </c>
      <c r="M111" s="77">
        <v>1</v>
      </c>
      <c r="N111" s="78" t="s">
        <v>17</v>
      </c>
      <c r="O111" s="114">
        <v>119725.72</v>
      </c>
      <c r="R111" s="75">
        <f t="shared" si="11"/>
        <v>0</v>
      </c>
      <c r="S111" s="263"/>
      <c r="T111" s="263"/>
      <c r="U111" s="263"/>
      <c r="V111" s="263"/>
      <c r="W111" s="263"/>
      <c r="X111" s="263"/>
      <c r="Y111" s="575"/>
      <c r="Z111" s="575"/>
      <c r="AA111" s="576">
        <f t="shared" si="10"/>
        <v>0</v>
      </c>
      <c r="AB111" s="722"/>
    </row>
    <row r="112" spans="1:28" ht="15.75" customHeight="1" x14ac:dyDescent="0.35">
      <c r="A112" s="120" t="s">
        <v>749</v>
      </c>
      <c r="B112" s="23" t="s">
        <v>759</v>
      </c>
      <c r="C112" s="83">
        <v>43745</v>
      </c>
      <c r="D112" s="96">
        <v>43782</v>
      </c>
      <c r="E112" s="570"/>
      <c r="F112" s="88" t="s">
        <v>754</v>
      </c>
      <c r="G112" s="99" t="s">
        <v>162</v>
      </c>
      <c r="H112" s="81" t="s">
        <v>220</v>
      </c>
      <c r="I112" s="98" t="s">
        <v>763</v>
      </c>
      <c r="J112" s="75">
        <f t="shared" si="9"/>
        <v>1</v>
      </c>
      <c r="K112" s="76" t="s">
        <v>211</v>
      </c>
      <c r="L112" s="100" t="s">
        <v>1183</v>
      </c>
      <c r="M112" s="77">
        <v>1</v>
      </c>
      <c r="N112" s="78" t="s">
        <v>18</v>
      </c>
      <c r="R112" s="75">
        <f t="shared" si="11"/>
        <v>0</v>
      </c>
      <c r="S112" s="263"/>
      <c r="T112" s="263"/>
      <c r="U112" s="263"/>
      <c r="V112" s="263"/>
      <c r="W112" s="263"/>
      <c r="X112" s="263"/>
      <c r="Y112" s="575"/>
      <c r="Z112" s="575"/>
      <c r="AA112" s="576">
        <f t="shared" si="10"/>
        <v>0</v>
      </c>
      <c r="AB112" s="722"/>
    </row>
    <row r="113" spans="1:28" ht="15.75" customHeight="1" x14ac:dyDescent="0.35">
      <c r="A113" s="120" t="s">
        <v>750</v>
      </c>
      <c r="B113" s="23" t="s">
        <v>760</v>
      </c>
      <c r="C113" s="83">
        <v>43745</v>
      </c>
      <c r="D113" s="96">
        <v>43782</v>
      </c>
      <c r="E113" s="570"/>
      <c r="F113" s="88" t="s">
        <v>755</v>
      </c>
      <c r="G113" s="88" t="s">
        <v>179</v>
      </c>
      <c r="H113" s="81" t="s">
        <v>220</v>
      </c>
      <c r="I113" s="98" t="s">
        <v>764</v>
      </c>
      <c r="J113" s="75">
        <f t="shared" si="9"/>
        <v>1</v>
      </c>
      <c r="K113" s="76" t="s">
        <v>211</v>
      </c>
      <c r="L113" s="99" t="s">
        <v>1670</v>
      </c>
      <c r="M113" s="77">
        <v>1</v>
      </c>
      <c r="N113" s="78" t="s">
        <v>18</v>
      </c>
      <c r="R113" s="75">
        <f t="shared" si="11"/>
        <v>0</v>
      </c>
      <c r="S113" s="263"/>
      <c r="T113" s="263"/>
      <c r="U113" s="263"/>
      <c r="V113" s="263"/>
      <c r="W113" s="263"/>
      <c r="X113" s="263"/>
      <c r="Y113" s="575"/>
      <c r="Z113" s="575"/>
      <c r="AA113" s="576">
        <f t="shared" si="10"/>
        <v>0</v>
      </c>
      <c r="AB113" s="722"/>
    </row>
    <row r="114" spans="1:28" ht="15.75" customHeight="1" x14ac:dyDescent="0.35">
      <c r="A114" s="124" t="s">
        <v>887</v>
      </c>
      <c r="B114" s="23" t="s">
        <v>889</v>
      </c>
      <c r="C114" s="83">
        <v>43731</v>
      </c>
      <c r="D114" s="112">
        <v>43767</v>
      </c>
      <c r="E114" s="570"/>
      <c r="F114" s="99" t="s">
        <v>888</v>
      </c>
      <c r="G114" s="88" t="s">
        <v>152</v>
      </c>
      <c r="H114" s="81" t="s">
        <v>220</v>
      </c>
      <c r="J114" s="75">
        <f t="shared" si="9"/>
        <v>1</v>
      </c>
      <c r="K114" s="76" t="s">
        <v>211</v>
      </c>
      <c r="M114" s="77">
        <v>1</v>
      </c>
      <c r="N114" s="78" t="s">
        <v>18</v>
      </c>
      <c r="R114" s="75">
        <f t="shared" si="11"/>
        <v>0</v>
      </c>
      <c r="S114" s="263"/>
      <c r="T114" s="263"/>
      <c r="U114" s="263"/>
      <c r="V114" s="263"/>
      <c r="W114" s="263"/>
      <c r="X114" s="263"/>
      <c r="Y114" s="575"/>
      <c r="Z114" s="575"/>
      <c r="AA114" s="576">
        <f t="shared" si="10"/>
        <v>0</v>
      </c>
      <c r="AB114" s="722"/>
    </row>
    <row r="115" spans="1:28" ht="15.75" customHeight="1" x14ac:dyDescent="0.35">
      <c r="A115" s="124" t="s">
        <v>890</v>
      </c>
      <c r="B115" s="23" t="s">
        <v>891</v>
      </c>
      <c r="C115" s="83">
        <v>43746</v>
      </c>
      <c r="D115" s="112">
        <v>43782</v>
      </c>
      <c r="E115" s="570"/>
      <c r="F115" s="99" t="s">
        <v>892</v>
      </c>
      <c r="G115" s="99" t="s">
        <v>172</v>
      </c>
      <c r="H115" s="81" t="s">
        <v>220</v>
      </c>
      <c r="J115" s="75">
        <f t="shared" si="9"/>
        <v>1</v>
      </c>
      <c r="K115" s="76" t="s">
        <v>211</v>
      </c>
      <c r="L115" s="99" t="s">
        <v>1184</v>
      </c>
      <c r="M115" s="77">
        <v>1</v>
      </c>
      <c r="N115" s="78" t="s">
        <v>17</v>
      </c>
      <c r="O115" s="114">
        <v>43859</v>
      </c>
      <c r="R115" s="75">
        <f t="shared" si="11"/>
        <v>0</v>
      </c>
      <c r="S115" s="263"/>
      <c r="T115" s="263"/>
      <c r="U115" s="263"/>
      <c r="V115" s="263"/>
      <c r="W115" s="263"/>
      <c r="X115" s="263"/>
      <c r="Y115" s="575"/>
      <c r="Z115" s="575"/>
      <c r="AA115" s="576">
        <f t="shared" si="10"/>
        <v>0</v>
      </c>
      <c r="AB115" s="722"/>
    </row>
    <row r="116" spans="1:28" ht="15.75" customHeight="1" x14ac:dyDescent="0.35">
      <c r="A116" s="120" t="s">
        <v>935</v>
      </c>
      <c r="B116" s="23" t="s">
        <v>975</v>
      </c>
      <c r="C116" s="118">
        <v>43746</v>
      </c>
      <c r="D116" s="112">
        <v>43768</v>
      </c>
      <c r="E116" s="570"/>
      <c r="F116" s="88" t="s">
        <v>941</v>
      </c>
      <c r="G116" s="88" t="s">
        <v>158</v>
      </c>
      <c r="H116" s="81" t="s">
        <v>220</v>
      </c>
      <c r="I116" s="98" t="s">
        <v>691</v>
      </c>
      <c r="J116" s="75">
        <f t="shared" si="9"/>
        <v>1</v>
      </c>
      <c r="K116" s="76" t="s">
        <v>211</v>
      </c>
      <c r="L116" s="99" t="s">
        <v>997</v>
      </c>
      <c r="M116" s="81">
        <v>0</v>
      </c>
      <c r="N116" s="78" t="s">
        <v>18</v>
      </c>
      <c r="R116" s="75">
        <f t="shared" si="11"/>
        <v>0</v>
      </c>
      <c r="S116" s="263"/>
      <c r="T116" s="263"/>
      <c r="U116" s="263"/>
      <c r="V116" s="263"/>
      <c r="W116" s="263"/>
      <c r="X116" s="263"/>
      <c r="Y116" s="575"/>
      <c r="Z116" s="575"/>
      <c r="AA116" s="576">
        <f t="shared" si="10"/>
        <v>0</v>
      </c>
      <c r="AB116" s="722"/>
    </row>
    <row r="117" spans="1:28" ht="15.75" customHeight="1" x14ac:dyDescent="0.35">
      <c r="A117" s="120" t="s">
        <v>936</v>
      </c>
      <c r="B117" s="23" t="s">
        <v>976</v>
      </c>
      <c r="C117" s="118">
        <v>43746</v>
      </c>
      <c r="D117" s="112">
        <v>43768</v>
      </c>
      <c r="E117" s="570"/>
      <c r="F117" s="88" t="s">
        <v>942</v>
      </c>
      <c r="G117" s="88" t="s">
        <v>176</v>
      </c>
      <c r="H117" s="81" t="s">
        <v>220</v>
      </c>
      <c r="I117" s="98" t="s">
        <v>665</v>
      </c>
      <c r="J117" s="75">
        <f t="shared" si="9"/>
        <v>1</v>
      </c>
      <c r="K117" s="76" t="s">
        <v>211</v>
      </c>
      <c r="L117" s="99" t="s">
        <v>1001</v>
      </c>
      <c r="M117" s="81">
        <v>0</v>
      </c>
      <c r="N117" s="78" t="s">
        <v>18</v>
      </c>
      <c r="R117" s="75">
        <f t="shared" si="11"/>
        <v>0</v>
      </c>
      <c r="S117" s="263"/>
      <c r="T117" s="263"/>
      <c r="U117" s="263"/>
      <c r="V117" s="263"/>
      <c r="W117" s="263"/>
      <c r="X117" s="263"/>
      <c r="Y117" s="575"/>
      <c r="Z117" s="575"/>
      <c r="AA117" s="576">
        <f t="shared" si="10"/>
        <v>0</v>
      </c>
      <c r="AB117" s="722"/>
    </row>
    <row r="118" spans="1:28" ht="15.75" customHeight="1" x14ac:dyDescent="0.35">
      <c r="A118" s="120" t="s">
        <v>937</v>
      </c>
      <c r="B118" s="23" t="s">
        <v>977</v>
      </c>
      <c r="C118" s="118">
        <v>43746</v>
      </c>
      <c r="D118" s="112">
        <v>43783</v>
      </c>
      <c r="E118" s="570"/>
      <c r="F118" s="88" t="s">
        <v>943</v>
      </c>
      <c r="G118" s="88" t="s">
        <v>944</v>
      </c>
      <c r="H118" s="81" t="s">
        <v>220</v>
      </c>
      <c r="J118" s="75">
        <f t="shared" si="9"/>
        <v>1</v>
      </c>
      <c r="K118" s="76" t="s">
        <v>211</v>
      </c>
      <c r="L118" s="99" t="s">
        <v>1350</v>
      </c>
      <c r="M118" s="77">
        <v>1</v>
      </c>
      <c r="N118" s="78" t="s">
        <v>17</v>
      </c>
      <c r="O118" s="114">
        <v>1600</v>
      </c>
      <c r="P118" s="114">
        <v>1600</v>
      </c>
      <c r="R118" s="75">
        <f t="shared" si="11"/>
        <v>0</v>
      </c>
      <c r="S118" s="263"/>
      <c r="T118" s="263"/>
      <c r="U118" s="263"/>
      <c r="V118" s="263"/>
      <c r="W118" s="263"/>
      <c r="X118" s="263"/>
      <c r="Y118" s="575"/>
      <c r="Z118" s="575"/>
      <c r="AA118" s="576">
        <f t="shared" si="10"/>
        <v>0</v>
      </c>
      <c r="AB118" s="722"/>
    </row>
    <row r="119" spans="1:28" ht="15.75" customHeight="1" x14ac:dyDescent="0.35">
      <c r="A119" s="120" t="s">
        <v>938</v>
      </c>
      <c r="B119" s="23" t="s">
        <v>978</v>
      </c>
      <c r="C119" s="118">
        <v>43746</v>
      </c>
      <c r="D119" s="112">
        <v>43797</v>
      </c>
      <c r="E119" s="570"/>
      <c r="F119" s="88" t="s">
        <v>945</v>
      </c>
      <c r="G119" s="88" t="s">
        <v>158</v>
      </c>
      <c r="H119" s="81" t="s">
        <v>220</v>
      </c>
      <c r="I119" s="98" t="s">
        <v>649</v>
      </c>
      <c r="J119" s="75">
        <f t="shared" si="9"/>
        <v>1</v>
      </c>
      <c r="K119" s="76" t="s">
        <v>211</v>
      </c>
      <c r="L119" s="99" t="s">
        <v>2012</v>
      </c>
      <c r="M119" s="77">
        <v>1</v>
      </c>
      <c r="N119" s="78" t="s">
        <v>18</v>
      </c>
      <c r="Q119" s="304" t="s">
        <v>1986</v>
      </c>
      <c r="R119" s="75">
        <f t="shared" si="11"/>
        <v>1</v>
      </c>
      <c r="S119" s="263" t="s">
        <v>1991</v>
      </c>
      <c r="T119" s="263"/>
      <c r="U119" s="263"/>
      <c r="V119" s="263"/>
      <c r="W119" s="263"/>
      <c r="X119" s="263"/>
      <c r="Y119" s="575"/>
      <c r="Z119" s="575"/>
      <c r="AA119" s="576">
        <f t="shared" si="10"/>
        <v>0</v>
      </c>
      <c r="AB119" s="722"/>
    </row>
    <row r="120" spans="1:28" ht="15.75" customHeight="1" x14ac:dyDescent="0.35">
      <c r="A120" s="120" t="s">
        <v>939</v>
      </c>
      <c r="B120" s="23" t="s">
        <v>979</v>
      </c>
      <c r="C120" s="118">
        <v>43746</v>
      </c>
      <c r="D120" s="112">
        <v>43768</v>
      </c>
      <c r="E120" s="570"/>
      <c r="F120" s="88" t="s">
        <v>946</v>
      </c>
      <c r="G120" s="88" t="s">
        <v>158</v>
      </c>
      <c r="H120" s="81" t="s">
        <v>220</v>
      </c>
      <c r="I120" s="98" t="s">
        <v>1004</v>
      </c>
      <c r="J120" s="75">
        <f t="shared" si="9"/>
        <v>1</v>
      </c>
      <c r="K120" s="76" t="s">
        <v>211</v>
      </c>
      <c r="L120" s="88" t="s">
        <v>1003</v>
      </c>
      <c r="M120" s="81">
        <v>0</v>
      </c>
      <c r="N120" s="78" t="s">
        <v>19</v>
      </c>
      <c r="R120" s="75">
        <f t="shared" si="11"/>
        <v>0</v>
      </c>
      <c r="S120" s="263"/>
      <c r="T120" s="263"/>
      <c r="U120" s="263"/>
      <c r="V120" s="263"/>
      <c r="W120" s="263"/>
      <c r="X120" s="263"/>
      <c r="Y120" s="575"/>
      <c r="Z120" s="575"/>
      <c r="AA120" s="576">
        <f t="shared" si="10"/>
        <v>0</v>
      </c>
      <c r="AB120" s="722"/>
    </row>
    <row r="121" spans="1:28" ht="15.75" customHeight="1" x14ac:dyDescent="0.35">
      <c r="A121" s="120" t="s">
        <v>940</v>
      </c>
      <c r="B121" s="23" t="s">
        <v>980</v>
      </c>
      <c r="C121" s="118">
        <v>43746</v>
      </c>
      <c r="D121" s="112">
        <v>43783</v>
      </c>
      <c r="E121" s="570"/>
      <c r="F121" s="88" t="s">
        <v>947</v>
      </c>
      <c r="G121" s="99" t="s">
        <v>176</v>
      </c>
      <c r="H121" s="81" t="s">
        <v>220</v>
      </c>
      <c r="I121" s="98" t="s">
        <v>863</v>
      </c>
      <c r="J121" s="75">
        <f t="shared" si="9"/>
        <v>1</v>
      </c>
      <c r="K121" s="76" t="s">
        <v>211</v>
      </c>
      <c r="L121" s="99" t="s">
        <v>1351</v>
      </c>
      <c r="M121" s="77">
        <v>1</v>
      </c>
      <c r="N121" s="78" t="s">
        <v>17</v>
      </c>
      <c r="O121" s="114">
        <v>24200</v>
      </c>
      <c r="P121" s="114">
        <v>24200</v>
      </c>
      <c r="R121" s="75">
        <f t="shared" si="11"/>
        <v>0</v>
      </c>
      <c r="S121" s="263"/>
      <c r="T121" s="263"/>
      <c r="U121" s="263"/>
      <c r="V121" s="263"/>
      <c r="W121" s="263"/>
      <c r="X121" s="263"/>
      <c r="Y121" s="575"/>
      <c r="Z121" s="575"/>
      <c r="AA121" s="576">
        <f t="shared" si="10"/>
        <v>0</v>
      </c>
      <c r="AB121" s="722"/>
    </row>
    <row r="122" spans="1:28" ht="15.75" customHeight="1" x14ac:dyDescent="0.35">
      <c r="A122" s="120" t="s">
        <v>948</v>
      </c>
      <c r="B122" s="23" t="s">
        <v>1015</v>
      </c>
      <c r="C122" s="83">
        <v>43747</v>
      </c>
      <c r="D122" s="112">
        <v>43784</v>
      </c>
      <c r="E122" s="570"/>
      <c r="F122" s="99" t="s">
        <v>1014</v>
      </c>
      <c r="G122" s="99" t="s">
        <v>152</v>
      </c>
      <c r="H122" s="74" t="s">
        <v>220</v>
      </c>
      <c r="I122" s="98" t="s">
        <v>1380</v>
      </c>
      <c r="J122" s="75">
        <f t="shared" si="9"/>
        <v>1</v>
      </c>
      <c r="K122" s="76" t="s">
        <v>211</v>
      </c>
      <c r="L122" s="99" t="s">
        <v>1381</v>
      </c>
      <c r="M122" s="129">
        <v>1</v>
      </c>
      <c r="N122" s="78" t="s">
        <v>19</v>
      </c>
      <c r="R122" s="75">
        <f t="shared" si="11"/>
        <v>0</v>
      </c>
      <c r="S122" s="263"/>
      <c r="T122" s="263"/>
      <c r="U122" s="263"/>
      <c r="V122" s="263"/>
      <c r="W122" s="263"/>
      <c r="X122" s="263"/>
      <c r="Y122" s="575"/>
      <c r="Z122" s="575"/>
      <c r="AA122" s="576">
        <f t="shared" si="10"/>
        <v>0</v>
      </c>
      <c r="AB122" s="722"/>
    </row>
    <row r="123" spans="1:28" ht="15.75" customHeight="1" x14ac:dyDescent="0.35">
      <c r="A123" s="120" t="s">
        <v>949</v>
      </c>
      <c r="B123" s="23" t="s">
        <v>1019</v>
      </c>
      <c r="C123" s="83">
        <v>43748</v>
      </c>
      <c r="D123" s="112">
        <v>43784</v>
      </c>
      <c r="E123" s="570"/>
      <c r="F123" s="99" t="s">
        <v>1018</v>
      </c>
      <c r="G123" s="99" t="s">
        <v>162</v>
      </c>
      <c r="H123" s="74" t="s">
        <v>220</v>
      </c>
      <c r="I123" s="98" t="s">
        <v>649</v>
      </c>
      <c r="J123" s="75">
        <f t="shared" si="9"/>
        <v>1</v>
      </c>
      <c r="K123" s="76" t="s">
        <v>211</v>
      </c>
      <c r="L123" s="99" t="s">
        <v>1356</v>
      </c>
      <c r="M123" s="77">
        <v>1</v>
      </c>
      <c r="N123" s="78" t="s">
        <v>18</v>
      </c>
      <c r="R123" s="75">
        <f t="shared" si="11"/>
        <v>0</v>
      </c>
      <c r="S123" s="263"/>
      <c r="T123" s="263"/>
      <c r="U123" s="263"/>
      <c r="V123" s="263"/>
      <c r="W123" s="263"/>
      <c r="X123" s="263"/>
      <c r="Y123" s="575"/>
      <c r="Z123" s="575"/>
      <c r="AA123" s="576">
        <f t="shared" si="10"/>
        <v>0</v>
      </c>
      <c r="AB123" s="722"/>
    </row>
    <row r="124" spans="1:28" ht="15.75" customHeight="1" x14ac:dyDescent="0.35">
      <c r="A124" s="120" t="s">
        <v>950</v>
      </c>
      <c r="B124" s="23" t="s">
        <v>1021</v>
      </c>
      <c r="C124" s="83">
        <v>43748</v>
      </c>
      <c r="D124" s="112">
        <v>43784</v>
      </c>
      <c r="E124" s="570"/>
      <c r="F124" s="99" t="s">
        <v>1020</v>
      </c>
      <c r="G124" s="73" t="s">
        <v>149</v>
      </c>
      <c r="H124" s="74" t="s">
        <v>220</v>
      </c>
      <c r="J124" s="75">
        <f t="shared" si="9"/>
        <v>1</v>
      </c>
      <c r="K124" s="76" t="s">
        <v>211</v>
      </c>
      <c r="L124" s="99" t="s">
        <v>1379</v>
      </c>
      <c r="M124" s="77">
        <v>1</v>
      </c>
      <c r="N124" s="78" t="s">
        <v>18</v>
      </c>
      <c r="R124" s="75">
        <f t="shared" si="11"/>
        <v>0</v>
      </c>
      <c r="S124" s="263"/>
      <c r="T124" s="263"/>
      <c r="U124" s="263"/>
      <c r="V124" s="263"/>
      <c r="W124" s="263"/>
      <c r="X124" s="263"/>
      <c r="Y124" s="575"/>
      <c r="Z124" s="575"/>
      <c r="AA124" s="576">
        <f t="shared" si="10"/>
        <v>0</v>
      </c>
      <c r="AB124" s="722"/>
    </row>
    <row r="125" spans="1:28" ht="15.75" customHeight="1" x14ac:dyDescent="0.35">
      <c r="A125" s="120" t="s">
        <v>951</v>
      </c>
      <c r="B125" s="23" t="s">
        <v>1023</v>
      </c>
      <c r="C125" s="83">
        <v>43748</v>
      </c>
      <c r="D125" s="112">
        <v>43784</v>
      </c>
      <c r="E125" s="570"/>
      <c r="F125" s="99" t="s">
        <v>1022</v>
      </c>
      <c r="G125" s="99" t="s">
        <v>158</v>
      </c>
      <c r="H125" s="74" t="s">
        <v>220</v>
      </c>
      <c r="I125" s="98" t="s">
        <v>649</v>
      </c>
      <c r="J125" s="75">
        <f t="shared" si="9"/>
        <v>1</v>
      </c>
      <c r="K125" s="76" t="s">
        <v>211</v>
      </c>
      <c r="L125" s="99" t="s">
        <v>1356</v>
      </c>
      <c r="M125" s="77">
        <v>1</v>
      </c>
      <c r="N125" s="78" t="s">
        <v>17</v>
      </c>
      <c r="O125" s="114">
        <v>141600</v>
      </c>
      <c r="R125" s="75">
        <f t="shared" si="11"/>
        <v>0</v>
      </c>
      <c r="S125" s="263"/>
      <c r="T125" s="263"/>
      <c r="U125" s="263"/>
      <c r="V125" s="263"/>
      <c r="W125" s="263"/>
      <c r="X125" s="263"/>
      <c r="Y125" s="575"/>
      <c r="Z125" s="575"/>
      <c r="AA125" s="576">
        <f t="shared" si="10"/>
        <v>0</v>
      </c>
      <c r="AB125" s="722"/>
    </row>
    <row r="126" spans="1:28" ht="15.75" customHeight="1" x14ac:dyDescent="0.35">
      <c r="A126" s="120" t="s">
        <v>952</v>
      </c>
      <c r="B126" s="23" t="s">
        <v>1065</v>
      </c>
      <c r="C126" s="118">
        <v>43748</v>
      </c>
      <c r="D126" s="112">
        <v>43787</v>
      </c>
      <c r="E126" s="570"/>
      <c r="F126" s="88" t="s">
        <v>1043</v>
      </c>
      <c r="G126" s="88" t="s">
        <v>162</v>
      </c>
      <c r="H126" s="99" t="s">
        <v>1044</v>
      </c>
      <c r="J126" s="75">
        <f t="shared" si="9"/>
        <v>1</v>
      </c>
      <c r="K126" s="76" t="s">
        <v>211</v>
      </c>
      <c r="L126" s="127" t="s">
        <v>1421</v>
      </c>
      <c r="M126" s="77">
        <v>1</v>
      </c>
      <c r="N126" s="78" t="s">
        <v>17</v>
      </c>
      <c r="O126" s="114">
        <v>83714.179999999993</v>
      </c>
      <c r="R126" s="75">
        <f t="shared" si="11"/>
        <v>0</v>
      </c>
      <c r="S126" s="263"/>
      <c r="T126" s="263"/>
      <c r="U126" s="263"/>
      <c r="V126" s="263"/>
      <c r="W126" s="263"/>
      <c r="X126" s="263"/>
      <c r="Y126" s="575"/>
      <c r="Z126" s="575"/>
      <c r="AA126" s="576">
        <f t="shared" si="10"/>
        <v>0</v>
      </c>
      <c r="AB126" s="722"/>
    </row>
    <row r="127" spans="1:28" ht="15.75" customHeight="1" x14ac:dyDescent="0.35">
      <c r="A127" s="120" t="s">
        <v>953</v>
      </c>
      <c r="B127" s="23" t="s">
        <v>1066</v>
      </c>
      <c r="C127" s="118">
        <v>43748</v>
      </c>
      <c r="D127" s="112">
        <v>43770</v>
      </c>
      <c r="E127" s="570"/>
      <c r="F127" s="88" t="s">
        <v>1045</v>
      </c>
      <c r="G127" s="88" t="s">
        <v>158</v>
      </c>
      <c r="H127" s="81" t="s">
        <v>220</v>
      </c>
      <c r="I127" s="98" t="s">
        <v>691</v>
      </c>
      <c r="J127" s="75">
        <f t="shared" si="9"/>
        <v>1</v>
      </c>
      <c r="K127" s="76" t="s">
        <v>211</v>
      </c>
      <c r="L127" s="99" t="s">
        <v>1092</v>
      </c>
      <c r="M127" s="81">
        <v>0</v>
      </c>
      <c r="N127" s="78" t="s">
        <v>17</v>
      </c>
      <c r="O127" s="114">
        <v>248000</v>
      </c>
      <c r="R127" s="75">
        <f t="shared" si="11"/>
        <v>0</v>
      </c>
      <c r="S127" s="263"/>
      <c r="T127" s="263"/>
      <c r="U127" s="263"/>
      <c r="V127" s="263"/>
      <c r="W127" s="263"/>
      <c r="X127" s="263"/>
      <c r="Y127" s="575"/>
      <c r="Z127" s="575"/>
      <c r="AA127" s="576">
        <f t="shared" si="10"/>
        <v>0</v>
      </c>
      <c r="AB127" s="722"/>
    </row>
    <row r="128" spans="1:28" ht="15.75" customHeight="1" x14ac:dyDescent="0.35">
      <c r="A128" s="120" t="s">
        <v>954</v>
      </c>
      <c r="B128" s="23" t="s">
        <v>1067</v>
      </c>
      <c r="C128" s="118">
        <v>43748</v>
      </c>
      <c r="D128" s="112">
        <v>43787</v>
      </c>
      <c r="E128" s="570"/>
      <c r="F128" s="88" t="s">
        <v>1046</v>
      </c>
      <c r="G128" s="88" t="s">
        <v>152</v>
      </c>
      <c r="H128" s="81" t="s">
        <v>220</v>
      </c>
      <c r="I128" s="98" t="s">
        <v>722</v>
      </c>
      <c r="J128" s="75">
        <f t="shared" si="9"/>
        <v>1</v>
      </c>
      <c r="K128" s="76" t="s">
        <v>211</v>
      </c>
      <c r="L128" s="99" t="s">
        <v>1426</v>
      </c>
      <c r="M128" s="77">
        <v>1</v>
      </c>
      <c r="N128" s="78" t="s">
        <v>17</v>
      </c>
      <c r="O128" s="114">
        <v>28300</v>
      </c>
      <c r="R128" s="75">
        <f t="shared" si="11"/>
        <v>0</v>
      </c>
      <c r="S128" s="263"/>
      <c r="T128" s="263"/>
      <c r="U128" s="263"/>
      <c r="V128" s="263"/>
      <c r="W128" s="263"/>
      <c r="X128" s="263"/>
      <c r="Y128" s="575"/>
      <c r="Z128" s="575"/>
      <c r="AA128" s="576">
        <f t="shared" si="10"/>
        <v>0</v>
      </c>
      <c r="AB128" s="722"/>
    </row>
    <row r="129" spans="1:28" ht="15.75" customHeight="1" x14ac:dyDescent="0.35">
      <c r="A129" s="120" t="s">
        <v>955</v>
      </c>
      <c r="B129" s="126" t="s">
        <v>1068</v>
      </c>
      <c r="C129" s="118">
        <v>43748</v>
      </c>
      <c r="D129" s="112">
        <v>43787</v>
      </c>
      <c r="E129" s="570"/>
      <c r="F129" s="88" t="s">
        <v>1047</v>
      </c>
      <c r="G129" s="88" t="s">
        <v>152</v>
      </c>
      <c r="H129" s="81" t="s">
        <v>220</v>
      </c>
      <c r="I129" s="98" t="s">
        <v>649</v>
      </c>
      <c r="J129" s="75">
        <f t="shared" si="9"/>
        <v>1</v>
      </c>
      <c r="K129" s="76" t="s">
        <v>211</v>
      </c>
      <c r="L129" s="99" t="s">
        <v>1422</v>
      </c>
      <c r="M129" s="77">
        <v>1</v>
      </c>
      <c r="N129" s="78" t="s">
        <v>17</v>
      </c>
      <c r="O129" s="114">
        <v>159516</v>
      </c>
      <c r="R129" s="75">
        <f t="shared" si="11"/>
        <v>0</v>
      </c>
      <c r="S129" s="263"/>
      <c r="T129" s="263"/>
      <c r="U129" s="263"/>
      <c r="V129" s="263"/>
      <c r="W129" s="263"/>
      <c r="X129" s="263"/>
      <c r="Y129" s="575"/>
      <c r="Z129" s="575"/>
      <c r="AA129" s="576">
        <f t="shared" si="10"/>
        <v>0</v>
      </c>
      <c r="AB129" s="722"/>
    </row>
    <row r="130" spans="1:28" ht="15.75" customHeight="1" x14ac:dyDescent="0.35">
      <c r="A130" s="120" t="s">
        <v>956</v>
      </c>
      <c r="B130" s="126" t="s">
        <v>1069</v>
      </c>
      <c r="C130" s="118">
        <v>43748</v>
      </c>
      <c r="D130" s="112">
        <v>43787</v>
      </c>
      <c r="E130" s="570"/>
      <c r="F130" s="88" t="s">
        <v>1048</v>
      </c>
      <c r="G130" s="88" t="s">
        <v>156</v>
      </c>
      <c r="H130" s="81" t="s">
        <v>220</v>
      </c>
      <c r="I130" s="98" t="s">
        <v>722</v>
      </c>
      <c r="J130" s="75">
        <f t="shared" si="9"/>
        <v>1</v>
      </c>
      <c r="K130" s="76" t="s">
        <v>211</v>
      </c>
      <c r="L130" s="99" t="s">
        <v>762</v>
      </c>
      <c r="M130" s="77">
        <v>1</v>
      </c>
      <c r="N130" s="78" t="s">
        <v>17</v>
      </c>
      <c r="O130" s="114">
        <v>14800</v>
      </c>
      <c r="R130" s="75">
        <f t="shared" si="11"/>
        <v>0</v>
      </c>
      <c r="S130" s="263"/>
      <c r="T130" s="263"/>
      <c r="U130" s="263"/>
      <c r="V130" s="263"/>
      <c r="W130" s="263"/>
      <c r="X130" s="263"/>
      <c r="Y130" s="575"/>
      <c r="Z130" s="575"/>
      <c r="AA130" s="576">
        <f t="shared" si="10"/>
        <v>0</v>
      </c>
      <c r="AB130" s="722"/>
    </row>
    <row r="131" spans="1:28" ht="15.75" customHeight="1" x14ac:dyDescent="0.35">
      <c r="A131" s="120" t="s">
        <v>957</v>
      </c>
      <c r="B131" s="126" t="s">
        <v>1070</v>
      </c>
      <c r="C131" s="118">
        <v>43752</v>
      </c>
      <c r="D131" s="112">
        <v>43774</v>
      </c>
      <c r="E131" s="570"/>
      <c r="F131" s="88" t="s">
        <v>1049</v>
      </c>
      <c r="G131" s="88" t="s">
        <v>168</v>
      </c>
      <c r="H131" s="81" t="s">
        <v>220</v>
      </c>
      <c r="I131" s="98" t="s">
        <v>1113</v>
      </c>
      <c r="J131" s="75">
        <f t="shared" ref="J131:J179" si="12">IF(OR(K131="Документы готовы",K131="Запрос в ФО",K131="ЭЗ",K131="РЕШ",K131="РЕШ шаблон"),0.1,IF(OR(K131="ЭЗ согласование",K131="РЕШ согласование"),0.3,IF(OR(K131="ЭЗ согласовано",K131="РЕШ согласовано",K131="РЕШ подписано"),0.6,IF(OR(K131="ЭЗ ПР согласование",K131="РЕШ УВ согласование"),0.9,IF(OR(K131="ЭЗ ПР DONE",K131="РЕШ УВ DONE"),1,0)))))</f>
        <v>1</v>
      </c>
      <c r="K131" s="76" t="s">
        <v>211</v>
      </c>
      <c r="L131" s="99" t="s">
        <v>1112</v>
      </c>
      <c r="M131" s="81">
        <v>0</v>
      </c>
      <c r="N131" s="78" t="s">
        <v>19</v>
      </c>
      <c r="R131" s="75">
        <f t="shared" si="11"/>
        <v>0</v>
      </c>
      <c r="S131" s="263"/>
      <c r="T131" s="263"/>
      <c r="U131" s="263"/>
      <c r="V131" s="263"/>
      <c r="W131" s="263"/>
      <c r="X131" s="263"/>
      <c r="Y131" s="575"/>
      <c r="Z131" s="575"/>
      <c r="AA131" s="576">
        <f t="shared" ref="AA131:AA194" si="13">Z131-Y131</f>
        <v>0</v>
      </c>
      <c r="AB131" s="722"/>
    </row>
    <row r="132" spans="1:28" ht="15.75" customHeight="1" x14ac:dyDescent="0.35">
      <c r="A132" s="120" t="s">
        <v>958</v>
      </c>
      <c r="B132" s="126" t="s">
        <v>1071</v>
      </c>
      <c r="C132" s="118">
        <v>43752</v>
      </c>
      <c r="D132" s="112">
        <v>43774</v>
      </c>
      <c r="E132" s="570"/>
      <c r="F132" s="99" t="s">
        <v>1072</v>
      </c>
      <c r="G132" s="88" t="s">
        <v>154</v>
      </c>
      <c r="H132" s="81" t="s">
        <v>220</v>
      </c>
      <c r="I132" s="98" t="s">
        <v>1154</v>
      </c>
      <c r="J132" s="75">
        <f t="shared" si="12"/>
        <v>1</v>
      </c>
      <c r="K132" s="76" t="s">
        <v>211</v>
      </c>
      <c r="L132" s="99" t="s">
        <v>1144</v>
      </c>
      <c r="M132" s="81">
        <v>0</v>
      </c>
      <c r="N132" s="78" t="s">
        <v>18</v>
      </c>
      <c r="R132" s="75">
        <f t="shared" si="11"/>
        <v>0</v>
      </c>
      <c r="S132" s="263"/>
      <c r="T132" s="263"/>
      <c r="U132" s="263"/>
      <c r="V132" s="263"/>
      <c r="W132" s="263"/>
      <c r="X132" s="263"/>
      <c r="Y132" s="575"/>
      <c r="Z132" s="575"/>
      <c r="AA132" s="576">
        <f t="shared" si="13"/>
        <v>0</v>
      </c>
      <c r="AB132" s="722"/>
    </row>
    <row r="133" spans="1:28" ht="15.75" customHeight="1" x14ac:dyDescent="0.35">
      <c r="A133" s="120" t="s">
        <v>959</v>
      </c>
      <c r="B133" s="126" t="s">
        <v>1073</v>
      </c>
      <c r="C133" s="118">
        <v>43752</v>
      </c>
      <c r="D133" s="112">
        <v>43774</v>
      </c>
      <c r="E133" s="570"/>
      <c r="F133" s="88" t="s">
        <v>1050</v>
      </c>
      <c r="G133" s="99" t="s">
        <v>1051</v>
      </c>
      <c r="H133" s="81" t="s">
        <v>220</v>
      </c>
      <c r="I133" s="98" t="s">
        <v>691</v>
      </c>
      <c r="J133" s="75">
        <f t="shared" si="12"/>
        <v>1</v>
      </c>
      <c r="K133" s="76" t="s">
        <v>211</v>
      </c>
      <c r="L133" s="99" t="s">
        <v>1092</v>
      </c>
      <c r="M133" s="81">
        <v>0</v>
      </c>
      <c r="N133" s="78" t="s">
        <v>17</v>
      </c>
      <c r="O133" s="114">
        <v>394318</v>
      </c>
      <c r="R133" s="75">
        <f t="shared" si="11"/>
        <v>0</v>
      </c>
      <c r="S133" s="263"/>
      <c r="T133" s="263"/>
      <c r="U133" s="263"/>
      <c r="V133" s="263"/>
      <c r="W133" s="263"/>
      <c r="X133" s="263"/>
      <c r="Y133" s="575"/>
      <c r="Z133" s="575"/>
      <c r="AA133" s="576">
        <f t="shared" si="13"/>
        <v>0</v>
      </c>
      <c r="AB133" s="722"/>
    </row>
    <row r="134" spans="1:28" ht="15.75" customHeight="1" x14ac:dyDescent="0.35">
      <c r="A134" s="120" t="s">
        <v>960</v>
      </c>
      <c r="B134" s="126" t="s">
        <v>1074</v>
      </c>
      <c r="C134" s="118">
        <v>43752</v>
      </c>
      <c r="D134" s="112">
        <v>43774</v>
      </c>
      <c r="E134" s="570"/>
      <c r="F134" s="88" t="s">
        <v>1052</v>
      </c>
      <c r="G134" s="88" t="s">
        <v>162</v>
      </c>
      <c r="H134" s="81" t="s">
        <v>220</v>
      </c>
      <c r="I134" s="98" t="s">
        <v>656</v>
      </c>
      <c r="J134" s="75">
        <f t="shared" si="12"/>
        <v>1</v>
      </c>
      <c r="K134" s="76" t="s">
        <v>211</v>
      </c>
      <c r="L134" s="99" t="s">
        <v>1145</v>
      </c>
      <c r="M134" s="81">
        <v>0</v>
      </c>
      <c r="N134" s="78" t="s">
        <v>18</v>
      </c>
      <c r="R134" s="75">
        <f t="shared" si="11"/>
        <v>0</v>
      </c>
      <c r="S134" s="263"/>
      <c r="T134" s="263"/>
      <c r="U134" s="263"/>
      <c r="V134" s="263"/>
      <c r="W134" s="263"/>
      <c r="X134" s="263"/>
      <c r="Y134" s="575"/>
      <c r="Z134" s="575"/>
      <c r="AA134" s="576">
        <f t="shared" si="13"/>
        <v>0</v>
      </c>
      <c r="AB134" s="722"/>
    </row>
    <row r="135" spans="1:28" ht="15.75" customHeight="1" x14ac:dyDescent="0.35">
      <c r="A135" s="120" t="s">
        <v>961</v>
      </c>
      <c r="B135" s="126" t="s">
        <v>1075</v>
      </c>
      <c r="C135" s="118">
        <v>43752</v>
      </c>
      <c r="D135" s="112">
        <v>43788</v>
      </c>
      <c r="E135" s="570"/>
      <c r="F135" s="88" t="s">
        <v>1053</v>
      </c>
      <c r="G135" s="88" t="s">
        <v>158</v>
      </c>
      <c r="H135" s="81" t="s">
        <v>220</v>
      </c>
      <c r="I135" s="98" t="s">
        <v>722</v>
      </c>
      <c r="J135" s="75">
        <f t="shared" si="12"/>
        <v>1</v>
      </c>
      <c r="K135" s="76" t="s">
        <v>211</v>
      </c>
      <c r="L135" s="99" t="s">
        <v>1644</v>
      </c>
      <c r="M135" s="81">
        <v>0</v>
      </c>
      <c r="N135" s="78" t="s">
        <v>17</v>
      </c>
      <c r="R135" s="75">
        <f t="shared" si="11"/>
        <v>0</v>
      </c>
      <c r="S135" s="263"/>
      <c r="T135" s="263"/>
      <c r="U135" s="263"/>
      <c r="V135" s="263"/>
      <c r="W135" s="263"/>
      <c r="X135" s="263"/>
      <c r="Y135" s="575"/>
      <c r="Z135" s="575"/>
      <c r="AA135" s="576">
        <f t="shared" si="13"/>
        <v>0</v>
      </c>
      <c r="AB135" s="722"/>
    </row>
    <row r="136" spans="1:28" ht="15.75" customHeight="1" x14ac:dyDescent="0.35">
      <c r="A136" s="95" t="s">
        <v>962</v>
      </c>
      <c r="B136" s="126" t="s">
        <v>1076</v>
      </c>
      <c r="C136" s="118">
        <v>43752</v>
      </c>
      <c r="D136" s="112">
        <v>43775</v>
      </c>
      <c r="E136" s="570"/>
      <c r="F136" s="88" t="s">
        <v>1054</v>
      </c>
      <c r="G136" s="88" t="s">
        <v>149</v>
      </c>
      <c r="H136" s="81" t="s">
        <v>220</v>
      </c>
      <c r="I136" s="98" t="s">
        <v>656</v>
      </c>
      <c r="J136" s="75">
        <f t="shared" si="12"/>
        <v>1</v>
      </c>
      <c r="K136" s="76" t="s">
        <v>211</v>
      </c>
      <c r="L136" s="99" t="s">
        <v>1168</v>
      </c>
      <c r="M136" s="81">
        <v>0</v>
      </c>
      <c r="N136" s="78" t="s">
        <v>17</v>
      </c>
      <c r="O136" s="114">
        <v>17190.45</v>
      </c>
      <c r="P136" s="114">
        <v>17190.45</v>
      </c>
      <c r="R136" s="75">
        <f t="shared" si="11"/>
        <v>0</v>
      </c>
      <c r="S136" s="263"/>
      <c r="T136" s="263"/>
      <c r="U136" s="263"/>
      <c r="V136" s="263"/>
      <c r="W136" s="263"/>
      <c r="X136" s="263"/>
      <c r="Y136" s="575"/>
      <c r="Z136" s="575"/>
      <c r="AA136" s="576">
        <f t="shared" si="13"/>
        <v>0</v>
      </c>
      <c r="AB136" s="722"/>
    </row>
    <row r="137" spans="1:28" ht="15.75" customHeight="1" x14ac:dyDescent="0.35">
      <c r="A137" s="120" t="s">
        <v>963</v>
      </c>
      <c r="B137" s="126" t="s">
        <v>1077</v>
      </c>
      <c r="C137" s="118">
        <v>43752</v>
      </c>
      <c r="D137" s="112">
        <v>43803</v>
      </c>
      <c r="E137" s="570"/>
      <c r="F137" s="88" t="s">
        <v>1055</v>
      </c>
      <c r="G137" s="88" t="s">
        <v>154</v>
      </c>
      <c r="H137" s="81" t="s">
        <v>275</v>
      </c>
      <c r="I137" s="98" t="s">
        <v>2037</v>
      </c>
      <c r="J137" s="75">
        <f t="shared" si="12"/>
        <v>1</v>
      </c>
      <c r="K137" s="76" t="s">
        <v>211</v>
      </c>
      <c r="L137" s="99" t="s">
        <v>2001</v>
      </c>
      <c r="M137" s="77">
        <v>1</v>
      </c>
      <c r="N137" s="78" t="s">
        <v>17</v>
      </c>
      <c r="O137" s="114">
        <v>68963.179999999993</v>
      </c>
      <c r="Q137" s="304" t="s">
        <v>1985</v>
      </c>
      <c r="R137" s="75">
        <f t="shared" ref="R137:R169" si="14">IF(S137="В работе",0.3,IF(S137="Отписано",0.6,IF(S137="На доработку",0.9,IF(S137="Согласовано",1,0))))</f>
        <v>1</v>
      </c>
      <c r="S137" s="263" t="s">
        <v>1991</v>
      </c>
      <c r="T137" s="263"/>
      <c r="U137" s="263"/>
      <c r="V137" s="263"/>
      <c r="W137" s="263"/>
      <c r="X137" s="263"/>
      <c r="Y137" s="575"/>
      <c r="Z137" s="575"/>
      <c r="AA137" s="576">
        <f t="shared" si="13"/>
        <v>0</v>
      </c>
      <c r="AB137" s="722"/>
    </row>
    <row r="138" spans="1:28" ht="15.75" customHeight="1" x14ac:dyDescent="0.35">
      <c r="A138" s="120" t="s">
        <v>964</v>
      </c>
      <c r="B138" s="126" t="s">
        <v>1078</v>
      </c>
      <c r="C138" s="118">
        <v>43752</v>
      </c>
      <c r="D138" s="112">
        <v>43789</v>
      </c>
      <c r="E138" s="570"/>
      <c r="F138" s="99" t="s">
        <v>1106</v>
      </c>
      <c r="G138" s="88" t="s">
        <v>162</v>
      </c>
      <c r="H138" s="81" t="s">
        <v>220</v>
      </c>
      <c r="J138" s="75">
        <f t="shared" si="12"/>
        <v>1</v>
      </c>
      <c r="K138" s="76" t="s">
        <v>211</v>
      </c>
      <c r="L138" s="99" t="s">
        <v>1672</v>
      </c>
      <c r="M138" s="77">
        <v>1</v>
      </c>
      <c r="N138" s="78" t="s">
        <v>17</v>
      </c>
      <c r="O138" s="114">
        <v>22964</v>
      </c>
      <c r="P138" s="114">
        <v>22964</v>
      </c>
      <c r="R138" s="75">
        <f t="shared" si="14"/>
        <v>0</v>
      </c>
      <c r="S138" s="263"/>
      <c r="T138" s="263"/>
      <c r="U138" s="263"/>
      <c r="V138" s="263"/>
      <c r="W138" s="263"/>
      <c r="X138" s="263"/>
      <c r="Y138" s="575"/>
      <c r="Z138" s="575"/>
      <c r="AA138" s="576">
        <f t="shared" si="13"/>
        <v>0</v>
      </c>
      <c r="AB138" s="722"/>
    </row>
    <row r="139" spans="1:28" ht="15.75" customHeight="1" x14ac:dyDescent="0.35">
      <c r="A139" s="120" t="s">
        <v>965</v>
      </c>
      <c r="B139" s="126" t="s">
        <v>1079</v>
      </c>
      <c r="C139" s="118">
        <v>43752</v>
      </c>
      <c r="D139" s="112">
        <v>43789</v>
      </c>
      <c r="E139" s="570"/>
      <c r="F139" s="88" t="s">
        <v>1056</v>
      </c>
      <c r="G139" s="88" t="s">
        <v>154</v>
      </c>
      <c r="H139" s="81" t="s">
        <v>220</v>
      </c>
      <c r="J139" s="75">
        <f t="shared" si="12"/>
        <v>1</v>
      </c>
      <c r="K139" s="76" t="s">
        <v>211</v>
      </c>
      <c r="L139" s="99" t="s">
        <v>762</v>
      </c>
      <c r="M139" s="77">
        <v>1</v>
      </c>
      <c r="N139" s="78" t="s">
        <v>18</v>
      </c>
      <c r="R139" s="75">
        <f t="shared" si="14"/>
        <v>0</v>
      </c>
      <c r="S139" s="263"/>
      <c r="T139" s="263"/>
      <c r="U139" s="263"/>
      <c r="V139" s="263"/>
      <c r="W139" s="263"/>
      <c r="X139" s="263"/>
      <c r="Y139" s="575"/>
      <c r="Z139" s="575"/>
      <c r="AA139" s="576">
        <f t="shared" si="13"/>
        <v>0</v>
      </c>
      <c r="AB139" s="722"/>
    </row>
    <row r="140" spans="1:28" ht="15.75" customHeight="1" x14ac:dyDescent="0.35">
      <c r="A140" s="120" t="s">
        <v>966</v>
      </c>
      <c r="B140" s="126" t="s">
        <v>1080</v>
      </c>
      <c r="C140" s="118">
        <v>43752</v>
      </c>
      <c r="D140" s="112">
        <v>43789</v>
      </c>
      <c r="E140" s="570"/>
      <c r="F140" s="99" t="s">
        <v>1107</v>
      </c>
      <c r="G140" s="88" t="s">
        <v>149</v>
      </c>
      <c r="H140" s="81" t="s">
        <v>220</v>
      </c>
      <c r="J140" s="75">
        <f t="shared" si="12"/>
        <v>1</v>
      </c>
      <c r="K140" s="76" t="s">
        <v>211</v>
      </c>
      <c r="L140" s="99" t="s">
        <v>1663</v>
      </c>
      <c r="M140" s="77">
        <v>1</v>
      </c>
      <c r="N140" s="78" t="s">
        <v>17</v>
      </c>
      <c r="O140" s="114">
        <v>15000</v>
      </c>
      <c r="P140" s="114">
        <v>15000</v>
      </c>
      <c r="R140" s="75">
        <f t="shared" si="14"/>
        <v>0</v>
      </c>
      <c r="S140" s="263"/>
      <c r="T140" s="263"/>
      <c r="U140" s="263"/>
      <c r="V140" s="263"/>
      <c r="W140" s="263"/>
      <c r="X140" s="263"/>
      <c r="Y140" s="575"/>
      <c r="Z140" s="575"/>
      <c r="AA140" s="576">
        <f t="shared" si="13"/>
        <v>0</v>
      </c>
      <c r="AB140" s="722"/>
    </row>
    <row r="141" spans="1:28" ht="15.75" customHeight="1" x14ac:dyDescent="0.35">
      <c r="A141" s="95" t="s">
        <v>967</v>
      </c>
      <c r="B141" s="126" t="s">
        <v>1081</v>
      </c>
      <c r="C141" s="118">
        <v>43753</v>
      </c>
      <c r="D141" s="112">
        <v>43776</v>
      </c>
      <c r="E141" s="570"/>
      <c r="F141" s="88" t="s">
        <v>1057</v>
      </c>
      <c r="G141" s="88" t="s">
        <v>156</v>
      </c>
      <c r="H141" s="81" t="s">
        <v>275</v>
      </c>
      <c r="I141" s="98" t="s">
        <v>1004</v>
      </c>
      <c r="J141" s="75">
        <f t="shared" si="12"/>
        <v>1</v>
      </c>
      <c r="K141" s="76" t="s">
        <v>211</v>
      </c>
      <c r="L141" s="99" t="s">
        <v>1170</v>
      </c>
      <c r="M141" s="81">
        <v>0</v>
      </c>
      <c r="N141" s="78" t="s">
        <v>19</v>
      </c>
      <c r="R141" s="75">
        <f t="shared" si="14"/>
        <v>0</v>
      </c>
      <c r="S141" s="263"/>
      <c r="T141" s="263"/>
      <c r="U141" s="263"/>
      <c r="V141" s="263"/>
      <c r="W141" s="263"/>
      <c r="X141" s="263"/>
      <c r="Y141" s="575"/>
      <c r="Z141" s="575"/>
      <c r="AA141" s="576">
        <f t="shared" si="13"/>
        <v>0</v>
      </c>
      <c r="AB141" s="722"/>
    </row>
    <row r="142" spans="1:28" ht="15.75" customHeight="1" x14ac:dyDescent="0.35">
      <c r="A142" s="95" t="s">
        <v>968</v>
      </c>
      <c r="B142" s="126" t="s">
        <v>1082</v>
      </c>
      <c r="C142" s="118">
        <v>43753</v>
      </c>
      <c r="D142" s="112">
        <v>43776</v>
      </c>
      <c r="E142" s="570"/>
      <c r="F142" s="88" t="s">
        <v>1058</v>
      </c>
      <c r="G142" s="88" t="s">
        <v>158</v>
      </c>
      <c r="H142" s="81" t="s">
        <v>220</v>
      </c>
      <c r="J142" s="75">
        <f t="shared" si="12"/>
        <v>1</v>
      </c>
      <c r="K142" s="76" t="s">
        <v>211</v>
      </c>
      <c r="L142" s="99" t="s">
        <v>1171</v>
      </c>
      <c r="M142" s="81">
        <v>0</v>
      </c>
      <c r="N142" s="78" t="s">
        <v>18</v>
      </c>
      <c r="R142" s="75">
        <f t="shared" si="14"/>
        <v>0</v>
      </c>
      <c r="S142" s="263"/>
      <c r="T142" s="263"/>
      <c r="U142" s="263"/>
      <c r="V142" s="263"/>
      <c r="W142" s="263"/>
      <c r="X142" s="263"/>
      <c r="Y142" s="575"/>
      <c r="Z142" s="575"/>
      <c r="AA142" s="576">
        <f t="shared" si="13"/>
        <v>0</v>
      </c>
      <c r="AB142" s="722"/>
    </row>
    <row r="143" spans="1:28" ht="15.75" customHeight="1" x14ac:dyDescent="0.35">
      <c r="A143" s="120" t="s">
        <v>969</v>
      </c>
      <c r="B143" s="126" t="s">
        <v>1083</v>
      </c>
      <c r="C143" s="118">
        <v>43753</v>
      </c>
      <c r="D143" s="112">
        <v>43790</v>
      </c>
      <c r="E143" s="570"/>
      <c r="F143" s="88" t="s">
        <v>1059</v>
      </c>
      <c r="G143" s="88" t="s">
        <v>417</v>
      </c>
      <c r="H143" s="81" t="s">
        <v>220</v>
      </c>
      <c r="J143" s="75">
        <f t="shared" si="12"/>
        <v>1</v>
      </c>
      <c r="K143" s="76" t="s">
        <v>211</v>
      </c>
      <c r="L143" s="99" t="s">
        <v>1695</v>
      </c>
      <c r="M143" s="77">
        <v>1</v>
      </c>
      <c r="N143" s="78" t="s">
        <v>18</v>
      </c>
      <c r="R143" s="75">
        <f t="shared" si="14"/>
        <v>0</v>
      </c>
      <c r="S143" s="263"/>
      <c r="T143" s="263"/>
      <c r="U143" s="263"/>
      <c r="V143" s="263"/>
      <c r="W143" s="263"/>
      <c r="X143" s="263"/>
      <c r="Y143" s="575"/>
      <c r="Z143" s="575"/>
      <c r="AA143" s="576">
        <f t="shared" si="13"/>
        <v>0</v>
      </c>
      <c r="AB143" s="722"/>
    </row>
    <row r="144" spans="1:28" ht="15.75" customHeight="1" x14ac:dyDescent="0.35">
      <c r="A144" s="120" t="s">
        <v>970</v>
      </c>
      <c r="B144" s="126" t="s">
        <v>1084</v>
      </c>
      <c r="C144" s="118">
        <v>43753</v>
      </c>
      <c r="D144" s="112">
        <v>43790</v>
      </c>
      <c r="E144" s="570"/>
      <c r="F144" s="88" t="s">
        <v>1060</v>
      </c>
      <c r="G144" s="88" t="s">
        <v>162</v>
      </c>
      <c r="H144" s="81" t="s">
        <v>220</v>
      </c>
      <c r="J144" s="75">
        <f t="shared" si="12"/>
        <v>1</v>
      </c>
      <c r="K144" s="76" t="s">
        <v>211</v>
      </c>
      <c r="L144" s="99" t="s">
        <v>1696</v>
      </c>
      <c r="M144" s="77">
        <v>1</v>
      </c>
      <c r="N144" s="78" t="s">
        <v>18</v>
      </c>
      <c r="R144" s="75">
        <f t="shared" si="14"/>
        <v>0</v>
      </c>
      <c r="S144" s="263"/>
      <c r="T144" s="263"/>
      <c r="U144" s="263"/>
      <c r="V144" s="263"/>
      <c r="W144" s="263"/>
      <c r="X144" s="263"/>
      <c r="Y144" s="575"/>
      <c r="Z144" s="575"/>
      <c r="AA144" s="576">
        <f t="shared" si="13"/>
        <v>0</v>
      </c>
      <c r="AB144" s="722"/>
    </row>
    <row r="145" spans="1:28" ht="15.75" customHeight="1" x14ac:dyDescent="0.35">
      <c r="A145" s="95" t="s">
        <v>971</v>
      </c>
      <c r="B145" s="126" t="s">
        <v>1085</v>
      </c>
      <c r="C145" s="118">
        <v>43753</v>
      </c>
      <c r="D145" s="112">
        <v>43776</v>
      </c>
      <c r="E145" s="570"/>
      <c r="F145" s="88" t="s">
        <v>1061</v>
      </c>
      <c r="G145" s="88" t="s">
        <v>156</v>
      </c>
      <c r="H145" s="81" t="s">
        <v>220</v>
      </c>
      <c r="I145" s="98" t="s">
        <v>656</v>
      </c>
      <c r="J145" s="75">
        <f t="shared" si="12"/>
        <v>1</v>
      </c>
      <c r="K145" s="76" t="s">
        <v>211</v>
      </c>
      <c r="L145" s="99" t="s">
        <v>1174</v>
      </c>
      <c r="M145" s="81">
        <v>0</v>
      </c>
      <c r="N145" s="78" t="s">
        <v>17</v>
      </c>
      <c r="O145" s="114">
        <v>280000</v>
      </c>
      <c r="R145" s="75">
        <f t="shared" si="14"/>
        <v>0</v>
      </c>
      <c r="S145" s="263"/>
      <c r="T145" s="263"/>
      <c r="U145" s="263"/>
      <c r="V145" s="263"/>
      <c r="W145" s="263"/>
      <c r="X145" s="263"/>
      <c r="Y145" s="575"/>
      <c r="Z145" s="575"/>
      <c r="AA145" s="576">
        <f t="shared" si="13"/>
        <v>0</v>
      </c>
      <c r="AB145" s="722"/>
    </row>
    <row r="146" spans="1:28" ht="15.75" customHeight="1" x14ac:dyDescent="0.35">
      <c r="A146" s="120" t="s">
        <v>972</v>
      </c>
      <c r="B146" s="126" t="s">
        <v>1086</v>
      </c>
      <c r="C146" s="118">
        <v>43755</v>
      </c>
      <c r="D146" s="112">
        <v>43791</v>
      </c>
      <c r="E146" s="570"/>
      <c r="F146" s="88" t="s">
        <v>1062</v>
      </c>
      <c r="G146" s="99" t="s">
        <v>152</v>
      </c>
      <c r="H146" s="81" t="s">
        <v>220</v>
      </c>
      <c r="I146" s="98" t="s">
        <v>863</v>
      </c>
      <c r="J146" s="75">
        <f t="shared" si="12"/>
        <v>1</v>
      </c>
      <c r="K146" s="76" t="s">
        <v>211</v>
      </c>
      <c r="L146" s="99" t="s">
        <v>1776</v>
      </c>
      <c r="M146" s="77">
        <v>1</v>
      </c>
      <c r="N146" s="78" t="s">
        <v>18</v>
      </c>
      <c r="R146" s="75">
        <f t="shared" si="14"/>
        <v>0</v>
      </c>
      <c r="S146" s="263"/>
      <c r="T146" s="263"/>
      <c r="U146" s="263"/>
      <c r="V146" s="263"/>
      <c r="W146" s="263"/>
      <c r="X146" s="263"/>
      <c r="Y146" s="575"/>
      <c r="Z146" s="575"/>
      <c r="AA146" s="576">
        <f t="shared" si="13"/>
        <v>0</v>
      </c>
      <c r="AB146" s="722"/>
    </row>
    <row r="147" spans="1:28" ht="15.75" customHeight="1" x14ac:dyDescent="0.35">
      <c r="A147" s="120" t="s">
        <v>973</v>
      </c>
      <c r="B147" s="126" t="s">
        <v>1087</v>
      </c>
      <c r="C147" s="118">
        <v>43755</v>
      </c>
      <c r="D147" s="112">
        <v>43791</v>
      </c>
      <c r="E147" s="570"/>
      <c r="F147" s="88" t="s">
        <v>1063</v>
      </c>
      <c r="G147" s="88" t="s">
        <v>158</v>
      </c>
      <c r="H147" s="81" t="s">
        <v>220</v>
      </c>
      <c r="I147" s="98" t="s">
        <v>649</v>
      </c>
      <c r="J147" s="75">
        <f t="shared" si="12"/>
        <v>1</v>
      </c>
      <c r="K147" s="76" t="s">
        <v>211</v>
      </c>
      <c r="L147" s="99" t="s">
        <v>1751</v>
      </c>
      <c r="M147" s="77">
        <v>1</v>
      </c>
      <c r="N147" s="78" t="s">
        <v>17</v>
      </c>
      <c r="O147" s="114">
        <v>167500</v>
      </c>
      <c r="R147" s="75">
        <f t="shared" si="14"/>
        <v>0</v>
      </c>
      <c r="S147" s="263"/>
      <c r="T147" s="263"/>
      <c r="U147" s="263"/>
      <c r="V147" s="263"/>
      <c r="W147" s="263"/>
      <c r="X147" s="263"/>
      <c r="Y147" s="575"/>
      <c r="Z147" s="575"/>
      <c r="AA147" s="576">
        <f t="shared" si="13"/>
        <v>0</v>
      </c>
      <c r="AB147" s="722"/>
    </row>
    <row r="148" spans="1:28" ht="15.75" customHeight="1" x14ac:dyDescent="0.35">
      <c r="A148" s="120" t="s">
        <v>974</v>
      </c>
      <c r="B148" s="126" t="s">
        <v>1088</v>
      </c>
      <c r="C148" s="118">
        <v>43755</v>
      </c>
      <c r="D148" s="112">
        <v>43791</v>
      </c>
      <c r="E148" s="570"/>
      <c r="F148" s="88" t="s">
        <v>1064</v>
      </c>
      <c r="G148" s="88" t="s">
        <v>149</v>
      </c>
      <c r="H148" s="81" t="s">
        <v>220</v>
      </c>
      <c r="I148" s="98" t="s">
        <v>722</v>
      </c>
      <c r="J148" s="75">
        <f t="shared" si="12"/>
        <v>1</v>
      </c>
      <c r="K148" s="76" t="s">
        <v>211</v>
      </c>
      <c r="L148" s="99" t="s">
        <v>762</v>
      </c>
      <c r="M148" s="77">
        <v>1</v>
      </c>
      <c r="N148" s="78" t="s">
        <v>17</v>
      </c>
      <c r="O148" s="114">
        <v>4800</v>
      </c>
      <c r="P148" s="114">
        <v>4800</v>
      </c>
      <c r="R148" s="75">
        <f t="shared" si="14"/>
        <v>0</v>
      </c>
      <c r="S148" s="263"/>
      <c r="T148" s="263"/>
      <c r="U148" s="263"/>
      <c r="V148" s="263"/>
      <c r="W148" s="263"/>
      <c r="X148" s="263"/>
      <c r="Y148" s="575"/>
      <c r="Z148" s="575"/>
      <c r="AA148" s="576">
        <f t="shared" si="13"/>
        <v>0</v>
      </c>
      <c r="AB148" s="722"/>
    </row>
    <row r="149" spans="1:28" ht="15.75" customHeight="1" x14ac:dyDescent="0.35">
      <c r="A149" s="120" t="s">
        <v>1200</v>
      </c>
      <c r="B149" s="23" t="s">
        <v>1211</v>
      </c>
      <c r="C149" s="83">
        <v>43755</v>
      </c>
      <c r="D149" s="112">
        <v>43777</v>
      </c>
      <c r="E149" s="570"/>
      <c r="F149" s="99" t="s">
        <v>1204</v>
      </c>
      <c r="G149" s="99" t="s">
        <v>158</v>
      </c>
      <c r="H149" s="81" t="s">
        <v>220</v>
      </c>
      <c r="I149" s="98" t="s">
        <v>1865</v>
      </c>
      <c r="J149" s="75">
        <f t="shared" si="12"/>
        <v>1</v>
      </c>
      <c r="K149" s="76" t="s">
        <v>211</v>
      </c>
      <c r="L149" s="99" t="s">
        <v>1212</v>
      </c>
      <c r="M149" s="81">
        <v>0</v>
      </c>
      <c r="N149" s="78" t="s">
        <v>19</v>
      </c>
      <c r="R149" s="75">
        <f t="shared" si="14"/>
        <v>0</v>
      </c>
      <c r="S149" s="263"/>
      <c r="T149" s="263"/>
      <c r="U149" s="263"/>
      <c r="V149" s="263"/>
      <c r="W149" s="263"/>
      <c r="X149" s="263"/>
      <c r="Y149" s="575"/>
      <c r="Z149" s="575"/>
      <c r="AA149" s="576">
        <f t="shared" si="13"/>
        <v>0</v>
      </c>
      <c r="AB149" s="722"/>
    </row>
    <row r="150" spans="1:28" ht="15.75" customHeight="1" x14ac:dyDescent="0.35">
      <c r="A150" s="120" t="s">
        <v>1201</v>
      </c>
      <c r="B150" s="23" t="s">
        <v>1205</v>
      </c>
      <c r="C150" s="83">
        <v>43755</v>
      </c>
      <c r="D150" s="112">
        <v>43791</v>
      </c>
      <c r="E150" s="570"/>
      <c r="F150" s="99" t="s">
        <v>1208</v>
      </c>
      <c r="G150" s="99" t="s">
        <v>162</v>
      </c>
      <c r="H150" s="81" t="s">
        <v>220</v>
      </c>
      <c r="J150" s="75">
        <f t="shared" si="12"/>
        <v>1</v>
      </c>
      <c r="K150" s="76" t="s">
        <v>211</v>
      </c>
      <c r="L150" s="99" t="s">
        <v>762</v>
      </c>
      <c r="M150" s="77">
        <v>1</v>
      </c>
      <c r="N150" s="78" t="s">
        <v>17</v>
      </c>
      <c r="O150" s="114">
        <v>15900</v>
      </c>
      <c r="R150" s="75">
        <f t="shared" si="14"/>
        <v>0</v>
      </c>
      <c r="S150" s="263"/>
      <c r="T150" s="263"/>
      <c r="U150" s="263"/>
      <c r="V150" s="263"/>
      <c r="W150" s="263"/>
      <c r="X150" s="263"/>
      <c r="Y150" s="575"/>
      <c r="Z150" s="575"/>
      <c r="AA150" s="576">
        <f t="shared" si="13"/>
        <v>0</v>
      </c>
      <c r="AB150" s="722"/>
    </row>
    <row r="151" spans="1:28" ht="15.75" customHeight="1" x14ac:dyDescent="0.35">
      <c r="A151" s="95" t="s">
        <v>1202</v>
      </c>
      <c r="B151" s="23" t="s">
        <v>1206</v>
      </c>
      <c r="C151" s="83">
        <v>43755</v>
      </c>
      <c r="D151" s="112">
        <v>43777</v>
      </c>
      <c r="E151" s="570"/>
      <c r="F151" s="99" t="s">
        <v>1209</v>
      </c>
      <c r="G151" s="99" t="s">
        <v>152</v>
      </c>
      <c r="H151" s="98" t="s">
        <v>220</v>
      </c>
      <c r="I151" s="98" t="s">
        <v>1213</v>
      </c>
      <c r="J151" s="75">
        <f t="shared" si="12"/>
        <v>1</v>
      </c>
      <c r="K151" s="76" t="s">
        <v>211</v>
      </c>
      <c r="L151" s="99" t="s">
        <v>1214</v>
      </c>
      <c r="M151" s="81">
        <v>0</v>
      </c>
      <c r="N151" s="78" t="s">
        <v>18</v>
      </c>
      <c r="R151" s="75">
        <f t="shared" si="14"/>
        <v>0</v>
      </c>
      <c r="S151" s="263"/>
      <c r="T151" s="263"/>
      <c r="U151" s="263"/>
      <c r="V151" s="263"/>
      <c r="W151" s="263"/>
      <c r="X151" s="263"/>
      <c r="Y151" s="575"/>
      <c r="Z151" s="575"/>
      <c r="AA151" s="576">
        <f t="shared" si="13"/>
        <v>0</v>
      </c>
      <c r="AB151" s="722"/>
    </row>
    <row r="152" spans="1:28" ht="15.75" customHeight="1" x14ac:dyDescent="0.35">
      <c r="A152" s="120" t="s">
        <v>1203</v>
      </c>
      <c r="B152" s="23" t="s">
        <v>1207</v>
      </c>
      <c r="C152" s="83">
        <v>43755</v>
      </c>
      <c r="D152" s="112">
        <v>43791</v>
      </c>
      <c r="E152" s="570"/>
      <c r="F152" s="99" t="s">
        <v>1210</v>
      </c>
      <c r="G152" s="88" t="s">
        <v>162</v>
      </c>
      <c r="H152" s="81" t="s">
        <v>220</v>
      </c>
      <c r="I152" s="98" t="s">
        <v>722</v>
      </c>
      <c r="J152" s="75">
        <f t="shared" si="12"/>
        <v>1</v>
      </c>
      <c r="K152" s="76" t="s">
        <v>211</v>
      </c>
      <c r="L152" s="99" t="s">
        <v>1752</v>
      </c>
      <c r="M152" s="77">
        <v>1</v>
      </c>
      <c r="N152" s="78" t="s">
        <v>18</v>
      </c>
      <c r="R152" s="75">
        <f t="shared" si="14"/>
        <v>0</v>
      </c>
      <c r="S152" s="263"/>
      <c r="T152" s="263"/>
      <c r="U152" s="263"/>
      <c r="V152" s="263"/>
      <c r="W152" s="263"/>
      <c r="X152" s="263"/>
      <c r="Y152" s="575"/>
      <c r="Z152" s="575"/>
      <c r="AA152" s="576">
        <f t="shared" si="13"/>
        <v>0</v>
      </c>
      <c r="AB152" s="722"/>
    </row>
    <row r="153" spans="1:28" ht="15.75" customHeight="1" x14ac:dyDescent="0.35">
      <c r="A153" s="68" t="s">
        <v>1216</v>
      </c>
      <c r="B153" s="23" t="s">
        <v>1233</v>
      </c>
      <c r="C153" s="83">
        <v>43756</v>
      </c>
      <c r="D153" s="112">
        <v>43780</v>
      </c>
      <c r="E153" s="570"/>
      <c r="F153" s="88" t="s">
        <v>1217</v>
      </c>
      <c r="G153" s="88" t="s">
        <v>158</v>
      </c>
      <c r="H153" s="81" t="s">
        <v>220</v>
      </c>
      <c r="I153" s="98" t="s">
        <v>1113</v>
      </c>
      <c r="J153" s="75">
        <f t="shared" si="12"/>
        <v>1</v>
      </c>
      <c r="K153" s="76" t="s">
        <v>211</v>
      </c>
      <c r="L153" s="99" t="s">
        <v>1003</v>
      </c>
      <c r="M153" s="81">
        <v>0</v>
      </c>
      <c r="N153" s="78" t="s">
        <v>19</v>
      </c>
      <c r="R153" s="75">
        <f t="shared" si="14"/>
        <v>0</v>
      </c>
      <c r="S153" s="263"/>
      <c r="T153" s="263"/>
      <c r="U153" s="263"/>
      <c r="V153" s="263"/>
      <c r="W153" s="263"/>
      <c r="X153" s="263"/>
      <c r="Y153" s="575"/>
      <c r="Z153" s="575"/>
      <c r="AA153" s="576">
        <f t="shared" si="13"/>
        <v>0</v>
      </c>
      <c r="AB153" s="722"/>
    </row>
    <row r="154" spans="1:28" ht="15.75" customHeight="1" x14ac:dyDescent="0.35">
      <c r="A154" s="124" t="s">
        <v>1218</v>
      </c>
      <c r="B154" s="23" t="s">
        <v>1234</v>
      </c>
      <c r="C154" s="83">
        <v>43756</v>
      </c>
      <c r="D154" s="112">
        <v>43794</v>
      </c>
      <c r="E154" s="570"/>
      <c r="F154" s="88" t="s">
        <v>1219</v>
      </c>
      <c r="G154" s="88" t="s">
        <v>193</v>
      </c>
      <c r="H154" s="81" t="s">
        <v>220</v>
      </c>
      <c r="I154" s="98" t="s">
        <v>648</v>
      </c>
      <c r="J154" s="75">
        <f t="shared" si="12"/>
        <v>1</v>
      </c>
      <c r="K154" s="76" t="s">
        <v>211</v>
      </c>
      <c r="L154" s="99" t="s">
        <v>1838</v>
      </c>
      <c r="M154" s="77">
        <v>1</v>
      </c>
      <c r="N154" s="78" t="s">
        <v>18</v>
      </c>
      <c r="R154" s="75">
        <f t="shared" si="14"/>
        <v>0</v>
      </c>
      <c r="S154" s="263"/>
      <c r="T154" s="263"/>
      <c r="U154" s="263"/>
      <c r="V154" s="263"/>
      <c r="W154" s="263"/>
      <c r="X154" s="263"/>
      <c r="Y154" s="575"/>
      <c r="Z154" s="575"/>
      <c r="AA154" s="576">
        <f t="shared" si="13"/>
        <v>0</v>
      </c>
      <c r="AB154" s="722"/>
    </row>
    <row r="155" spans="1:28" ht="15.75" customHeight="1" x14ac:dyDescent="0.35">
      <c r="A155" s="124" t="s">
        <v>1220</v>
      </c>
      <c r="B155" s="23" t="s">
        <v>1235</v>
      </c>
      <c r="C155" s="83">
        <v>43756</v>
      </c>
      <c r="D155" s="112">
        <v>43780</v>
      </c>
      <c r="E155" s="570"/>
      <c r="F155" s="88" t="s">
        <v>1221</v>
      </c>
      <c r="G155" s="99" t="s">
        <v>154</v>
      </c>
      <c r="H155" s="81" t="s">
        <v>220</v>
      </c>
      <c r="I155" s="98" t="s">
        <v>1865</v>
      </c>
      <c r="J155" s="75">
        <f t="shared" si="12"/>
        <v>1</v>
      </c>
      <c r="K155" s="76" t="s">
        <v>211</v>
      </c>
      <c r="L155" s="99" t="s">
        <v>1267</v>
      </c>
      <c r="M155" s="81">
        <v>0</v>
      </c>
      <c r="N155" s="78" t="s">
        <v>19</v>
      </c>
      <c r="R155" s="75">
        <f t="shared" si="14"/>
        <v>0</v>
      </c>
      <c r="S155" s="263"/>
      <c r="T155" s="263"/>
      <c r="U155" s="263"/>
      <c r="V155" s="263"/>
      <c r="W155" s="263"/>
      <c r="X155" s="263"/>
      <c r="Y155" s="575"/>
      <c r="Z155" s="575"/>
      <c r="AA155" s="576">
        <f t="shared" si="13"/>
        <v>0</v>
      </c>
      <c r="AB155" s="722"/>
    </row>
    <row r="156" spans="1:28" ht="15.75" customHeight="1" x14ac:dyDescent="0.35">
      <c r="A156" s="124" t="s">
        <v>1222</v>
      </c>
      <c r="B156" s="23" t="s">
        <v>1236</v>
      </c>
      <c r="C156" s="83">
        <v>43756</v>
      </c>
      <c r="D156" s="112">
        <v>43794</v>
      </c>
      <c r="E156" s="570"/>
      <c r="F156" s="88" t="s">
        <v>1223</v>
      </c>
      <c r="G156" s="88" t="s">
        <v>149</v>
      </c>
      <c r="H156" s="81" t="s">
        <v>220</v>
      </c>
      <c r="I156" s="98" t="s">
        <v>722</v>
      </c>
      <c r="J156" s="75">
        <f t="shared" si="12"/>
        <v>1</v>
      </c>
      <c r="K156" s="76" t="s">
        <v>211</v>
      </c>
      <c r="L156" s="99" t="s">
        <v>762</v>
      </c>
      <c r="M156" s="77">
        <v>1</v>
      </c>
      <c r="N156" s="78" t="s">
        <v>18</v>
      </c>
      <c r="R156" s="75">
        <f t="shared" si="14"/>
        <v>0</v>
      </c>
      <c r="S156" s="263"/>
      <c r="T156" s="263"/>
      <c r="U156" s="263"/>
      <c r="V156" s="263"/>
      <c r="W156" s="263"/>
      <c r="X156" s="263"/>
      <c r="Y156" s="575"/>
      <c r="Z156" s="575"/>
      <c r="AA156" s="576">
        <f t="shared" si="13"/>
        <v>0</v>
      </c>
      <c r="AB156" s="722"/>
    </row>
    <row r="157" spans="1:28" ht="15.75" customHeight="1" x14ac:dyDescent="0.35">
      <c r="A157" s="124" t="s">
        <v>1224</v>
      </c>
      <c r="B157" s="23" t="s">
        <v>1237</v>
      </c>
      <c r="C157" s="83">
        <v>43756</v>
      </c>
      <c r="D157" s="112">
        <v>43794</v>
      </c>
      <c r="E157" s="570"/>
      <c r="F157" s="88" t="s">
        <v>1225</v>
      </c>
      <c r="G157" s="88" t="s">
        <v>162</v>
      </c>
      <c r="H157" s="81" t="s">
        <v>220</v>
      </c>
      <c r="I157" s="98" t="s">
        <v>649</v>
      </c>
      <c r="J157" s="75">
        <f t="shared" si="12"/>
        <v>1</v>
      </c>
      <c r="K157" s="76" t="s">
        <v>211</v>
      </c>
      <c r="L157" s="99" t="s">
        <v>1839</v>
      </c>
      <c r="M157" s="77">
        <v>1</v>
      </c>
      <c r="N157" s="78" t="s">
        <v>18</v>
      </c>
      <c r="R157" s="75">
        <f t="shared" si="14"/>
        <v>0</v>
      </c>
      <c r="S157" s="263"/>
      <c r="T157" s="263"/>
      <c r="U157" s="263"/>
      <c r="V157" s="263"/>
      <c r="W157" s="263"/>
      <c r="X157" s="263"/>
      <c r="Y157" s="575"/>
      <c r="Z157" s="575"/>
      <c r="AA157" s="576">
        <f t="shared" si="13"/>
        <v>0</v>
      </c>
      <c r="AB157" s="722"/>
    </row>
    <row r="158" spans="1:28" ht="15.75" customHeight="1" x14ac:dyDescent="0.35">
      <c r="A158" s="124" t="s">
        <v>1226</v>
      </c>
      <c r="B158" s="23" t="s">
        <v>1238</v>
      </c>
      <c r="C158" s="83">
        <v>43759</v>
      </c>
      <c r="D158" s="112">
        <v>43795</v>
      </c>
      <c r="E158" s="570"/>
      <c r="F158" s="88" t="s">
        <v>1227</v>
      </c>
      <c r="G158" s="88" t="s">
        <v>162</v>
      </c>
      <c r="H158" s="81" t="s">
        <v>220</v>
      </c>
      <c r="I158" s="98" t="s">
        <v>649</v>
      </c>
      <c r="J158" s="75">
        <f t="shared" si="12"/>
        <v>1</v>
      </c>
      <c r="K158" s="76" t="s">
        <v>211</v>
      </c>
      <c r="L158" s="99" t="s">
        <v>1873</v>
      </c>
      <c r="M158" s="77">
        <v>1</v>
      </c>
      <c r="N158" s="78" t="s">
        <v>18</v>
      </c>
      <c r="R158" s="75">
        <f t="shared" si="14"/>
        <v>0</v>
      </c>
      <c r="S158" s="263"/>
      <c r="T158" s="263"/>
      <c r="U158" s="263"/>
      <c r="V158" s="263"/>
      <c r="W158" s="263"/>
      <c r="X158" s="263"/>
      <c r="Y158" s="575"/>
      <c r="Z158" s="575"/>
      <c r="AA158" s="576">
        <f t="shared" si="13"/>
        <v>0</v>
      </c>
      <c r="AB158" s="722"/>
    </row>
    <row r="159" spans="1:28" ht="15.75" customHeight="1" x14ac:dyDescent="0.35">
      <c r="A159" s="124" t="s">
        <v>1228</v>
      </c>
      <c r="B159" s="23" t="s">
        <v>1239</v>
      </c>
      <c r="C159" s="83">
        <v>43759</v>
      </c>
      <c r="D159" s="112">
        <v>43795</v>
      </c>
      <c r="E159" s="570"/>
      <c r="F159" s="88" t="s">
        <v>1229</v>
      </c>
      <c r="G159" s="88" t="s">
        <v>1230</v>
      </c>
      <c r="H159" s="81" t="s">
        <v>220</v>
      </c>
      <c r="I159" s="98" t="s">
        <v>722</v>
      </c>
      <c r="J159" s="75">
        <f t="shared" si="12"/>
        <v>1</v>
      </c>
      <c r="K159" s="76" t="s">
        <v>211</v>
      </c>
      <c r="L159" s="99" t="s">
        <v>762</v>
      </c>
      <c r="M159" s="77">
        <v>1</v>
      </c>
      <c r="N159" s="78" t="s">
        <v>18</v>
      </c>
      <c r="R159" s="75">
        <f t="shared" si="14"/>
        <v>0</v>
      </c>
      <c r="S159" s="263"/>
      <c r="T159" s="263"/>
      <c r="U159" s="263"/>
      <c r="V159" s="263"/>
      <c r="W159" s="263"/>
      <c r="X159" s="263"/>
      <c r="Y159" s="575"/>
      <c r="Z159" s="575"/>
      <c r="AA159" s="576">
        <f t="shared" si="13"/>
        <v>0</v>
      </c>
      <c r="AB159" s="722"/>
    </row>
    <row r="160" spans="1:28" ht="15.75" customHeight="1" x14ac:dyDescent="0.35">
      <c r="A160" s="68" t="s">
        <v>1231</v>
      </c>
      <c r="B160" s="23" t="s">
        <v>1240</v>
      </c>
      <c r="C160" s="83">
        <v>43759</v>
      </c>
      <c r="D160" s="112">
        <v>43781</v>
      </c>
      <c r="E160" s="570"/>
      <c r="F160" s="88" t="s">
        <v>1232</v>
      </c>
      <c r="G160" s="88" t="s">
        <v>152</v>
      </c>
      <c r="H160" s="81" t="s">
        <v>220</v>
      </c>
      <c r="I160" s="98" t="s">
        <v>656</v>
      </c>
      <c r="J160" s="75">
        <f t="shared" si="12"/>
        <v>1</v>
      </c>
      <c r="K160" s="76" t="s">
        <v>211</v>
      </c>
      <c r="L160" s="99" t="s">
        <v>463</v>
      </c>
      <c r="M160" s="81">
        <v>0</v>
      </c>
      <c r="N160" s="78" t="s">
        <v>17</v>
      </c>
      <c r="O160" s="114">
        <v>400000</v>
      </c>
      <c r="R160" s="75">
        <f t="shared" si="14"/>
        <v>0</v>
      </c>
      <c r="S160" s="263"/>
      <c r="T160" s="263"/>
      <c r="U160" s="263"/>
      <c r="V160" s="263"/>
      <c r="W160" s="263"/>
      <c r="X160" s="263"/>
      <c r="Y160" s="575"/>
      <c r="Z160" s="575"/>
      <c r="AA160" s="576">
        <f t="shared" si="13"/>
        <v>0</v>
      </c>
      <c r="AB160" s="722"/>
    </row>
    <row r="161" spans="1:28" ht="15.75" customHeight="1" x14ac:dyDescent="0.35">
      <c r="A161" s="124" t="s">
        <v>1241</v>
      </c>
      <c r="B161" s="23" t="s">
        <v>1246</v>
      </c>
      <c r="C161" s="83">
        <v>43759</v>
      </c>
      <c r="D161" s="112">
        <v>43782</v>
      </c>
      <c r="E161" s="570"/>
      <c r="F161" s="88" t="s">
        <v>1242</v>
      </c>
      <c r="G161" s="99" t="s">
        <v>156</v>
      </c>
      <c r="H161" s="81" t="s">
        <v>220</v>
      </c>
      <c r="I161" s="98" t="s">
        <v>1293</v>
      </c>
      <c r="J161" s="75">
        <f t="shared" si="12"/>
        <v>1</v>
      </c>
      <c r="K161" s="76" t="s">
        <v>211</v>
      </c>
      <c r="L161" s="99" t="s">
        <v>1295</v>
      </c>
      <c r="M161" s="81">
        <v>0</v>
      </c>
      <c r="N161" s="78" t="s">
        <v>19</v>
      </c>
      <c r="R161" s="75">
        <f t="shared" si="14"/>
        <v>0</v>
      </c>
      <c r="S161" s="263"/>
      <c r="T161" s="263"/>
      <c r="U161" s="263"/>
      <c r="V161" s="263"/>
      <c r="W161" s="263"/>
      <c r="X161" s="263"/>
      <c r="Y161" s="575"/>
      <c r="Z161" s="575"/>
      <c r="AA161" s="576">
        <f t="shared" si="13"/>
        <v>0</v>
      </c>
      <c r="AB161" s="722"/>
    </row>
    <row r="162" spans="1:28" ht="15.75" customHeight="1" x14ac:dyDescent="0.35">
      <c r="A162" s="124" t="s">
        <v>1243</v>
      </c>
      <c r="B162" s="23" t="s">
        <v>1245</v>
      </c>
      <c r="C162" s="83">
        <v>43759</v>
      </c>
      <c r="D162" s="112">
        <v>43782</v>
      </c>
      <c r="E162" s="570"/>
      <c r="F162" s="88" t="s">
        <v>1244</v>
      </c>
      <c r="G162" s="88" t="s">
        <v>158</v>
      </c>
      <c r="H162" s="81" t="s">
        <v>220</v>
      </c>
      <c r="I162" s="98" t="s">
        <v>1113</v>
      </c>
      <c r="J162" s="75">
        <f t="shared" si="12"/>
        <v>1</v>
      </c>
      <c r="K162" s="76" t="s">
        <v>211</v>
      </c>
      <c r="L162" s="99" t="s">
        <v>1003</v>
      </c>
      <c r="M162" s="81">
        <v>0</v>
      </c>
      <c r="N162" s="78" t="s">
        <v>19</v>
      </c>
      <c r="R162" s="75">
        <f t="shared" si="14"/>
        <v>0</v>
      </c>
      <c r="S162" s="263"/>
      <c r="T162" s="263"/>
      <c r="U162" s="263"/>
      <c r="V162" s="263"/>
      <c r="W162" s="263"/>
      <c r="X162" s="263"/>
      <c r="Y162" s="575"/>
      <c r="Z162" s="575"/>
      <c r="AA162" s="576">
        <f t="shared" si="13"/>
        <v>0</v>
      </c>
      <c r="AB162" s="722"/>
    </row>
    <row r="163" spans="1:28" ht="15.75" customHeight="1" x14ac:dyDescent="0.35">
      <c r="A163" s="124" t="s">
        <v>1309</v>
      </c>
      <c r="B163" s="23" t="s">
        <v>1343</v>
      </c>
      <c r="C163" s="83">
        <v>43732</v>
      </c>
      <c r="D163" s="112">
        <v>43783</v>
      </c>
      <c r="E163" s="570"/>
      <c r="F163" s="88" t="s">
        <v>1310</v>
      </c>
      <c r="G163" s="88" t="s">
        <v>154</v>
      </c>
      <c r="H163" s="81" t="s">
        <v>220</v>
      </c>
      <c r="I163" s="98" t="s">
        <v>648</v>
      </c>
      <c r="J163" s="75">
        <f t="shared" si="12"/>
        <v>1</v>
      </c>
      <c r="K163" s="76" t="s">
        <v>211</v>
      </c>
      <c r="L163" s="99" t="s">
        <v>1352</v>
      </c>
      <c r="M163" s="77">
        <v>1</v>
      </c>
      <c r="N163" s="78" t="s">
        <v>17</v>
      </c>
      <c r="O163" s="114">
        <v>40050</v>
      </c>
      <c r="R163" s="75">
        <f t="shared" si="14"/>
        <v>0</v>
      </c>
      <c r="S163" s="263"/>
      <c r="T163" s="263"/>
      <c r="U163" s="263"/>
      <c r="V163" s="263"/>
      <c r="W163" s="263"/>
      <c r="X163" s="263"/>
      <c r="Y163" s="575"/>
      <c r="Z163" s="575"/>
      <c r="AA163" s="576">
        <f t="shared" si="13"/>
        <v>0</v>
      </c>
      <c r="AB163" s="722"/>
    </row>
    <row r="164" spans="1:28" ht="15.75" customHeight="1" x14ac:dyDescent="0.35">
      <c r="A164" s="124" t="s">
        <v>1311</v>
      </c>
      <c r="B164" s="23" t="s">
        <v>1344</v>
      </c>
      <c r="C164" s="83">
        <v>43746</v>
      </c>
      <c r="D164" s="112">
        <v>43783</v>
      </c>
      <c r="E164" s="570"/>
      <c r="F164" s="88" t="s">
        <v>1312</v>
      </c>
      <c r="G164" s="88" t="s">
        <v>154</v>
      </c>
      <c r="H164" s="81" t="s">
        <v>220</v>
      </c>
      <c r="I164" s="98" t="s">
        <v>722</v>
      </c>
      <c r="J164" s="75">
        <f t="shared" si="12"/>
        <v>1</v>
      </c>
      <c r="K164" s="76" t="s">
        <v>211</v>
      </c>
      <c r="L164" s="99" t="s">
        <v>1382</v>
      </c>
      <c r="M164" s="77">
        <v>1</v>
      </c>
      <c r="N164" s="78" t="s">
        <v>17</v>
      </c>
      <c r="O164" s="114">
        <v>32280</v>
      </c>
      <c r="R164" s="75">
        <f t="shared" si="14"/>
        <v>0</v>
      </c>
      <c r="S164" s="263"/>
      <c r="T164" s="263"/>
      <c r="U164" s="263"/>
      <c r="V164" s="263"/>
      <c r="W164" s="263"/>
      <c r="X164" s="263"/>
      <c r="Y164" s="575"/>
      <c r="Z164" s="575"/>
      <c r="AA164" s="576">
        <f t="shared" si="13"/>
        <v>0</v>
      </c>
      <c r="AB164" s="722"/>
    </row>
    <row r="165" spans="1:28" ht="15.75" customHeight="1" x14ac:dyDescent="0.35">
      <c r="A165" s="124" t="s">
        <v>1313</v>
      </c>
      <c r="B165" s="23" t="s">
        <v>1528</v>
      </c>
      <c r="C165" s="83">
        <v>43752</v>
      </c>
      <c r="D165" s="112">
        <v>43788</v>
      </c>
      <c r="E165" s="570"/>
      <c r="F165" s="88" t="s">
        <v>1314</v>
      </c>
      <c r="G165" s="88" t="s">
        <v>170</v>
      </c>
      <c r="H165" s="81" t="s">
        <v>275</v>
      </c>
      <c r="J165" s="75">
        <f t="shared" si="12"/>
        <v>1</v>
      </c>
      <c r="K165" s="76" t="s">
        <v>211</v>
      </c>
      <c r="L165" s="99" t="s">
        <v>1623</v>
      </c>
      <c r="M165" s="77">
        <v>1</v>
      </c>
      <c r="N165" s="78" t="s">
        <v>17</v>
      </c>
      <c r="O165" s="114">
        <v>100424.57</v>
      </c>
      <c r="R165" s="75">
        <f t="shared" si="14"/>
        <v>0</v>
      </c>
      <c r="S165" s="263"/>
      <c r="T165" s="263"/>
      <c r="U165" s="263"/>
      <c r="V165" s="263"/>
      <c r="W165" s="263"/>
      <c r="X165" s="263"/>
      <c r="Y165" s="575"/>
      <c r="Z165" s="575"/>
      <c r="AA165" s="576">
        <f t="shared" si="13"/>
        <v>0</v>
      </c>
      <c r="AB165" s="722"/>
    </row>
    <row r="166" spans="1:28" ht="15.75" customHeight="1" x14ac:dyDescent="0.35">
      <c r="A166" s="124" t="s">
        <v>1315</v>
      </c>
      <c r="B166" s="23" t="s">
        <v>1345</v>
      </c>
      <c r="C166" s="83">
        <v>43760</v>
      </c>
      <c r="D166" s="112">
        <v>43783</v>
      </c>
      <c r="E166" s="570"/>
      <c r="F166" s="88" t="s">
        <v>1316</v>
      </c>
      <c r="G166" s="88" t="s">
        <v>149</v>
      </c>
      <c r="H166" s="81" t="s">
        <v>220</v>
      </c>
      <c r="I166" s="98" t="s">
        <v>656</v>
      </c>
      <c r="J166" s="75">
        <f t="shared" si="12"/>
        <v>1</v>
      </c>
      <c r="K166" s="76" t="s">
        <v>211</v>
      </c>
      <c r="L166" s="99" t="s">
        <v>1353</v>
      </c>
      <c r="M166" s="81">
        <v>0</v>
      </c>
      <c r="N166" s="78" t="s">
        <v>17</v>
      </c>
      <c r="O166" s="114">
        <v>370000</v>
      </c>
      <c r="P166" s="114">
        <v>370000</v>
      </c>
      <c r="R166" s="75">
        <f t="shared" si="14"/>
        <v>0</v>
      </c>
      <c r="S166" s="263"/>
      <c r="T166" s="263"/>
      <c r="U166" s="263"/>
      <c r="V166" s="263"/>
      <c r="W166" s="263"/>
      <c r="X166" s="263"/>
      <c r="Y166" s="575"/>
      <c r="Z166" s="575"/>
      <c r="AA166" s="576">
        <f t="shared" si="13"/>
        <v>0</v>
      </c>
      <c r="AB166" s="722"/>
    </row>
    <row r="167" spans="1:28" ht="15.75" customHeight="1" x14ac:dyDescent="0.35">
      <c r="A167" s="68" t="s">
        <v>1317</v>
      </c>
      <c r="B167" s="23" t="s">
        <v>1346</v>
      </c>
      <c r="C167" s="83">
        <v>43760</v>
      </c>
      <c r="D167" s="112">
        <v>43797</v>
      </c>
      <c r="E167" s="570"/>
      <c r="F167" s="88" t="s">
        <v>1318</v>
      </c>
      <c r="G167" s="99" t="s">
        <v>152</v>
      </c>
      <c r="H167" s="81" t="s">
        <v>220</v>
      </c>
      <c r="J167" s="75">
        <f t="shared" si="12"/>
        <v>1</v>
      </c>
      <c r="K167" s="76" t="s">
        <v>211</v>
      </c>
      <c r="L167" s="99" t="s">
        <v>2011</v>
      </c>
      <c r="M167" s="77">
        <v>1</v>
      </c>
      <c r="N167" s="78" t="s">
        <v>18</v>
      </c>
      <c r="Q167" s="304" t="s">
        <v>1894</v>
      </c>
      <c r="R167" s="75">
        <f t="shared" si="14"/>
        <v>1</v>
      </c>
      <c r="S167" s="263" t="s">
        <v>1991</v>
      </c>
      <c r="T167" s="263"/>
      <c r="U167" s="263"/>
      <c r="V167" s="263"/>
      <c r="W167" s="263"/>
      <c r="X167" s="263"/>
      <c r="Y167" s="575"/>
      <c r="Z167" s="575"/>
      <c r="AA167" s="576">
        <f t="shared" si="13"/>
        <v>0</v>
      </c>
      <c r="AB167" s="722"/>
    </row>
    <row r="168" spans="1:28" ht="15.75" customHeight="1" x14ac:dyDescent="0.35">
      <c r="A168" s="124" t="s">
        <v>1319</v>
      </c>
      <c r="B168" s="23" t="s">
        <v>1347</v>
      </c>
      <c r="C168" s="83">
        <v>43760</v>
      </c>
      <c r="D168" s="112">
        <v>43797</v>
      </c>
      <c r="E168" s="570"/>
      <c r="F168" s="99" t="s">
        <v>1320</v>
      </c>
      <c r="G168" s="99" t="s">
        <v>162</v>
      </c>
      <c r="H168" s="81" t="s">
        <v>220</v>
      </c>
      <c r="I168" s="98" t="s">
        <v>664</v>
      </c>
      <c r="J168" s="75">
        <f t="shared" si="12"/>
        <v>1</v>
      </c>
      <c r="K168" s="76" t="s">
        <v>211</v>
      </c>
      <c r="L168" s="99" t="s">
        <v>2013</v>
      </c>
      <c r="M168" s="77">
        <v>1</v>
      </c>
      <c r="N168" s="78" t="s">
        <v>17</v>
      </c>
      <c r="O168" s="114">
        <v>100549.84</v>
      </c>
      <c r="Q168" s="304" t="s">
        <v>1992</v>
      </c>
      <c r="R168" s="75">
        <f t="shared" si="14"/>
        <v>1</v>
      </c>
      <c r="S168" s="263" t="s">
        <v>1991</v>
      </c>
      <c r="T168" s="263"/>
      <c r="U168" s="263"/>
      <c r="V168" s="263"/>
      <c r="W168" s="263"/>
      <c r="X168" s="263"/>
      <c r="Y168" s="575"/>
      <c r="Z168" s="575"/>
      <c r="AA168" s="576">
        <f t="shared" si="13"/>
        <v>0</v>
      </c>
      <c r="AB168" s="722"/>
    </row>
    <row r="169" spans="1:28" ht="15.75" customHeight="1" x14ac:dyDescent="0.35">
      <c r="A169" s="124" t="s">
        <v>1321</v>
      </c>
      <c r="B169" s="23" t="s">
        <v>1357</v>
      </c>
      <c r="C169" s="83">
        <v>43761</v>
      </c>
      <c r="D169" s="112">
        <v>43784</v>
      </c>
      <c r="E169" s="570"/>
      <c r="F169" s="88" t="s">
        <v>1322</v>
      </c>
      <c r="G169" s="88" t="s">
        <v>156</v>
      </c>
      <c r="H169" s="81" t="s">
        <v>220</v>
      </c>
      <c r="I169" s="98" t="s">
        <v>1004</v>
      </c>
      <c r="J169" s="75">
        <f t="shared" si="12"/>
        <v>1</v>
      </c>
      <c r="K169" s="76" t="s">
        <v>211</v>
      </c>
      <c r="L169" s="99" t="s">
        <v>1378</v>
      </c>
      <c r="M169" s="81">
        <v>0</v>
      </c>
      <c r="N169" s="78" t="s">
        <v>19</v>
      </c>
      <c r="R169" s="75">
        <f t="shared" si="14"/>
        <v>0</v>
      </c>
      <c r="S169" s="263"/>
      <c r="T169" s="263"/>
      <c r="U169" s="263"/>
      <c r="V169" s="263"/>
      <c r="W169" s="263"/>
      <c r="X169" s="263"/>
      <c r="Y169" s="575"/>
      <c r="Z169" s="575"/>
      <c r="AA169" s="576">
        <f t="shared" si="13"/>
        <v>0</v>
      </c>
      <c r="AB169" s="722"/>
    </row>
    <row r="170" spans="1:28" ht="15.75" customHeight="1" x14ac:dyDescent="0.35">
      <c r="A170" s="68" t="s">
        <v>1323</v>
      </c>
      <c r="B170" s="23" t="s">
        <v>1358</v>
      </c>
      <c r="C170" s="83">
        <v>43761</v>
      </c>
      <c r="D170" s="112">
        <v>43798</v>
      </c>
      <c r="E170" s="570"/>
      <c r="F170" s="88" t="s">
        <v>1324</v>
      </c>
      <c r="G170" s="88" t="s">
        <v>176</v>
      </c>
      <c r="H170" s="81" t="s">
        <v>220</v>
      </c>
      <c r="I170" s="98" t="s">
        <v>648</v>
      </c>
      <c r="J170" s="75">
        <f t="shared" si="12"/>
        <v>1</v>
      </c>
      <c r="K170" s="76" t="s">
        <v>211</v>
      </c>
      <c r="L170" s="99" t="s">
        <v>1994</v>
      </c>
      <c r="M170" s="77">
        <v>1</v>
      </c>
      <c r="Q170" s="304" t="s">
        <v>1985</v>
      </c>
      <c r="R170" s="75">
        <f>IF(S170="В работе",0.3,IF(S170="Отписано",0.6,IF(S170="На доработку",0.9,IF(S170="Согласовано",1,0))))</f>
        <v>1</v>
      </c>
      <c r="S170" s="263" t="s">
        <v>1991</v>
      </c>
      <c r="T170" s="263"/>
      <c r="U170" s="263"/>
      <c r="V170" s="263"/>
      <c r="W170" s="263"/>
      <c r="X170" s="263"/>
      <c r="Y170" s="575"/>
      <c r="Z170" s="575"/>
      <c r="AA170" s="576">
        <f t="shared" si="13"/>
        <v>0</v>
      </c>
      <c r="AB170" s="722"/>
    </row>
    <row r="171" spans="1:28" ht="15.75" customHeight="1" x14ac:dyDescent="0.35">
      <c r="A171" s="124" t="s">
        <v>1325</v>
      </c>
      <c r="B171" s="23" t="s">
        <v>1415</v>
      </c>
      <c r="C171" s="83">
        <v>43762</v>
      </c>
      <c r="D171" s="112">
        <v>43787</v>
      </c>
      <c r="E171" s="570"/>
      <c r="F171" s="88" t="s">
        <v>1326</v>
      </c>
      <c r="G171" s="88" t="s">
        <v>154</v>
      </c>
      <c r="H171" s="81" t="s">
        <v>220</v>
      </c>
      <c r="I171" s="98" t="s">
        <v>656</v>
      </c>
      <c r="J171" s="75">
        <f t="shared" si="12"/>
        <v>1</v>
      </c>
      <c r="K171" s="76" t="s">
        <v>211</v>
      </c>
      <c r="L171" s="99" t="s">
        <v>1423</v>
      </c>
      <c r="M171" s="81">
        <v>0</v>
      </c>
      <c r="N171" s="78" t="s">
        <v>17</v>
      </c>
      <c r="O171" s="114">
        <v>63895.46</v>
      </c>
      <c r="R171" s="75">
        <f t="shared" ref="R171:R218" si="15">IF(S171="В работе",0.3,IF(S171="Отписано",0.6,IF(S171="На доработку",0.9,IF(S171="Согласовано",1,0))))</f>
        <v>0</v>
      </c>
      <c r="S171" s="263"/>
      <c r="T171" s="263"/>
      <c r="U171" s="263"/>
      <c r="V171" s="263"/>
      <c r="W171" s="263"/>
      <c r="X171" s="263"/>
      <c r="Y171" s="575"/>
      <c r="Z171" s="575"/>
      <c r="AA171" s="576">
        <f t="shared" si="13"/>
        <v>0</v>
      </c>
      <c r="AB171" s="722"/>
    </row>
    <row r="172" spans="1:28" ht="15.75" customHeight="1" x14ac:dyDescent="0.35">
      <c r="A172" s="124" t="s">
        <v>1327</v>
      </c>
      <c r="B172" s="126" t="s">
        <v>1416</v>
      </c>
      <c r="C172" s="83">
        <v>43762</v>
      </c>
      <c r="D172" s="112">
        <v>43787</v>
      </c>
      <c r="E172" s="570"/>
      <c r="F172" s="88" t="s">
        <v>1328</v>
      </c>
      <c r="G172" s="88" t="s">
        <v>156</v>
      </c>
      <c r="H172" s="81" t="s">
        <v>220</v>
      </c>
      <c r="I172" s="98" t="s">
        <v>656</v>
      </c>
      <c r="J172" s="75">
        <f t="shared" si="12"/>
        <v>1</v>
      </c>
      <c r="K172" s="76" t="s">
        <v>211</v>
      </c>
      <c r="L172" s="99" t="s">
        <v>1423</v>
      </c>
      <c r="M172" s="81">
        <v>0</v>
      </c>
      <c r="N172" s="78" t="s">
        <v>17</v>
      </c>
      <c r="O172" s="114">
        <v>33852</v>
      </c>
      <c r="R172" s="75">
        <f t="shared" si="15"/>
        <v>0</v>
      </c>
      <c r="S172" s="263"/>
      <c r="T172" s="263"/>
      <c r="U172" s="263"/>
      <c r="V172" s="263"/>
      <c r="W172" s="263"/>
      <c r="X172" s="263"/>
      <c r="Y172" s="575"/>
      <c r="Z172" s="575"/>
      <c r="AA172" s="576">
        <f t="shared" si="13"/>
        <v>0</v>
      </c>
      <c r="AB172" s="722"/>
    </row>
    <row r="173" spans="1:28" ht="15.75" customHeight="1" x14ac:dyDescent="0.35">
      <c r="A173" s="124" t="s">
        <v>1329</v>
      </c>
      <c r="B173" s="126" t="s">
        <v>1417</v>
      </c>
      <c r="C173" s="83">
        <v>43762</v>
      </c>
      <c r="D173" s="112">
        <v>43787</v>
      </c>
      <c r="E173" s="570"/>
      <c r="F173" s="88" t="s">
        <v>1330</v>
      </c>
      <c r="G173" s="88" t="s">
        <v>154</v>
      </c>
      <c r="H173" s="81" t="s">
        <v>220</v>
      </c>
      <c r="I173" s="98" t="s">
        <v>695</v>
      </c>
      <c r="J173" s="75">
        <f t="shared" si="12"/>
        <v>1</v>
      </c>
      <c r="K173" s="76" t="s">
        <v>211</v>
      </c>
      <c r="L173" s="99" t="s">
        <v>1424</v>
      </c>
      <c r="M173" s="81">
        <v>0</v>
      </c>
      <c r="N173" s="78" t="s">
        <v>18</v>
      </c>
      <c r="R173" s="75">
        <f t="shared" si="15"/>
        <v>0</v>
      </c>
      <c r="S173" s="263"/>
      <c r="T173" s="263"/>
      <c r="U173" s="263"/>
      <c r="V173" s="263"/>
      <c r="W173" s="263"/>
      <c r="X173" s="263"/>
      <c r="Y173" s="575"/>
      <c r="Z173" s="575"/>
      <c r="AA173" s="576">
        <f t="shared" si="13"/>
        <v>0</v>
      </c>
      <c r="AB173" s="722"/>
    </row>
    <row r="174" spans="1:28" ht="15.75" customHeight="1" x14ac:dyDescent="0.35">
      <c r="A174" s="68" t="s">
        <v>1331</v>
      </c>
      <c r="B174" s="23" t="s">
        <v>1529</v>
      </c>
      <c r="C174" s="83">
        <v>43763</v>
      </c>
      <c r="D174" s="112">
        <v>43802</v>
      </c>
      <c r="E174" s="570"/>
      <c r="F174" s="88" t="s">
        <v>1332</v>
      </c>
      <c r="G174" s="88" t="s">
        <v>158</v>
      </c>
      <c r="H174" s="81" t="s">
        <v>220</v>
      </c>
      <c r="I174" s="98" t="s">
        <v>649</v>
      </c>
      <c r="J174" s="75">
        <f t="shared" si="12"/>
        <v>1</v>
      </c>
      <c r="K174" s="76" t="s">
        <v>211</v>
      </c>
      <c r="L174" s="99" t="s">
        <v>1996</v>
      </c>
      <c r="M174" s="77">
        <v>1</v>
      </c>
      <c r="N174" s="78" t="s">
        <v>18</v>
      </c>
      <c r="Q174" s="304" t="s">
        <v>1985</v>
      </c>
      <c r="R174" s="75">
        <f t="shared" si="15"/>
        <v>1</v>
      </c>
      <c r="S174" s="263" t="s">
        <v>1991</v>
      </c>
      <c r="T174" s="263"/>
      <c r="U174" s="263"/>
      <c r="V174" s="263"/>
      <c r="W174" s="263"/>
      <c r="X174" s="263"/>
      <c r="Y174" s="575"/>
      <c r="Z174" s="575"/>
      <c r="AA174" s="576">
        <f t="shared" si="13"/>
        <v>0</v>
      </c>
      <c r="AB174" s="722"/>
    </row>
    <row r="175" spans="1:28" ht="15.75" customHeight="1" x14ac:dyDescent="0.35">
      <c r="A175" s="124" t="s">
        <v>1333</v>
      </c>
      <c r="B175" s="23" t="s">
        <v>1530</v>
      </c>
      <c r="C175" s="83">
        <v>43763</v>
      </c>
      <c r="D175" s="112">
        <v>43788</v>
      </c>
      <c r="E175" s="570"/>
      <c r="F175" s="88" t="s">
        <v>1334</v>
      </c>
      <c r="G175" s="88" t="s">
        <v>152</v>
      </c>
      <c r="H175" s="81" t="s">
        <v>220</v>
      </c>
      <c r="I175" s="98" t="s">
        <v>656</v>
      </c>
      <c r="J175" s="75">
        <f t="shared" si="12"/>
        <v>1</v>
      </c>
      <c r="K175" s="76" t="s">
        <v>211</v>
      </c>
      <c r="L175" s="99" t="s">
        <v>1620</v>
      </c>
      <c r="M175" s="81">
        <v>0</v>
      </c>
      <c r="N175" s="78" t="s">
        <v>17</v>
      </c>
      <c r="O175" s="114">
        <v>2717.4</v>
      </c>
      <c r="R175" s="75">
        <f t="shared" si="15"/>
        <v>0</v>
      </c>
      <c r="S175" s="263"/>
      <c r="T175" s="263"/>
      <c r="U175" s="263"/>
      <c r="V175" s="263"/>
      <c r="W175" s="263"/>
      <c r="X175" s="263"/>
      <c r="Y175" s="575"/>
      <c r="Z175" s="575"/>
      <c r="AA175" s="576">
        <f t="shared" si="13"/>
        <v>0</v>
      </c>
      <c r="AB175" s="722"/>
    </row>
    <row r="176" spans="1:28" ht="15.75" customHeight="1" x14ac:dyDescent="0.35">
      <c r="A176" s="68" t="s">
        <v>1335</v>
      </c>
      <c r="B176" s="23" t="s">
        <v>1531</v>
      </c>
      <c r="C176" s="83">
        <v>43763</v>
      </c>
      <c r="D176" s="112">
        <v>43802</v>
      </c>
      <c r="E176" s="570"/>
      <c r="F176" s="88" t="s">
        <v>1336</v>
      </c>
      <c r="G176" s="99" t="s">
        <v>1337</v>
      </c>
      <c r="H176" s="81" t="s">
        <v>220</v>
      </c>
      <c r="I176" s="98" t="s">
        <v>649</v>
      </c>
      <c r="J176" s="75">
        <f t="shared" si="12"/>
        <v>1</v>
      </c>
      <c r="K176" s="76" t="s">
        <v>211</v>
      </c>
      <c r="L176" s="99" t="s">
        <v>1996</v>
      </c>
      <c r="M176" s="77">
        <v>1</v>
      </c>
      <c r="N176" s="78" t="s">
        <v>18</v>
      </c>
      <c r="Q176" s="304" t="s">
        <v>1986</v>
      </c>
      <c r="R176" s="75">
        <f t="shared" si="15"/>
        <v>1</v>
      </c>
      <c r="S176" s="263" t="s">
        <v>1991</v>
      </c>
      <c r="T176" s="263"/>
      <c r="U176" s="263"/>
      <c r="V176" s="263"/>
      <c r="W176" s="263"/>
      <c r="X176" s="263"/>
      <c r="Y176" s="575"/>
      <c r="Z176" s="575"/>
      <c r="AA176" s="576">
        <f t="shared" si="13"/>
        <v>0</v>
      </c>
      <c r="AB176" s="722"/>
    </row>
    <row r="177" spans="1:28" ht="15.75" customHeight="1" x14ac:dyDescent="0.35">
      <c r="A177" s="68" t="s">
        <v>1338</v>
      </c>
      <c r="B177" s="23" t="s">
        <v>1532</v>
      </c>
      <c r="C177" s="83">
        <v>43763</v>
      </c>
      <c r="D177" s="112">
        <v>43802</v>
      </c>
      <c r="E177" s="570"/>
      <c r="F177" s="88" t="s">
        <v>1339</v>
      </c>
      <c r="G177" s="88" t="s">
        <v>152</v>
      </c>
      <c r="H177" s="81" t="s">
        <v>220</v>
      </c>
      <c r="I177" s="98" t="s">
        <v>722</v>
      </c>
      <c r="J177" s="75">
        <f t="shared" si="12"/>
        <v>1</v>
      </c>
      <c r="K177" s="76" t="s">
        <v>211</v>
      </c>
      <c r="L177" s="99" t="s">
        <v>2023</v>
      </c>
      <c r="M177" s="77">
        <v>1</v>
      </c>
      <c r="N177" s="78" t="s">
        <v>18</v>
      </c>
      <c r="Q177" s="304" t="s">
        <v>1894</v>
      </c>
      <c r="R177" s="75">
        <f t="shared" si="15"/>
        <v>1</v>
      </c>
      <c r="S177" s="263" t="s">
        <v>1991</v>
      </c>
      <c r="T177" s="263"/>
      <c r="U177" s="263"/>
      <c r="V177" s="263"/>
      <c r="W177" s="263"/>
      <c r="X177" s="263"/>
      <c r="Y177" s="575"/>
      <c r="Z177" s="575"/>
      <c r="AA177" s="576">
        <f t="shared" si="13"/>
        <v>0</v>
      </c>
      <c r="AB177" s="722"/>
    </row>
    <row r="178" spans="1:28" ht="15.75" customHeight="1" x14ac:dyDescent="0.35">
      <c r="A178" s="68" t="s">
        <v>1340</v>
      </c>
      <c r="B178" s="23" t="s">
        <v>1533</v>
      </c>
      <c r="C178" s="83">
        <v>43763</v>
      </c>
      <c r="D178" s="112">
        <v>43802</v>
      </c>
      <c r="E178" s="570"/>
      <c r="F178" s="99" t="s">
        <v>1662</v>
      </c>
      <c r="G178" s="88" t="s">
        <v>156</v>
      </c>
      <c r="H178" s="81" t="s">
        <v>275</v>
      </c>
      <c r="I178" s="98" t="s">
        <v>2024</v>
      </c>
      <c r="J178" s="75">
        <f t="shared" si="12"/>
        <v>1</v>
      </c>
      <c r="K178" s="76" t="s">
        <v>211</v>
      </c>
      <c r="L178" s="99" t="s">
        <v>2000</v>
      </c>
      <c r="M178" s="77">
        <v>1</v>
      </c>
      <c r="N178" s="78" t="s">
        <v>17</v>
      </c>
      <c r="Q178" s="304" t="s">
        <v>1909</v>
      </c>
      <c r="R178" s="75">
        <f t="shared" si="15"/>
        <v>1</v>
      </c>
      <c r="S178" s="263" t="s">
        <v>1991</v>
      </c>
      <c r="T178" s="263"/>
      <c r="U178" s="263"/>
      <c r="V178" s="263"/>
      <c r="W178" s="263"/>
      <c r="X178" s="263"/>
      <c r="Y178" s="575"/>
      <c r="Z178" s="575"/>
      <c r="AA178" s="576">
        <f t="shared" si="13"/>
        <v>0</v>
      </c>
      <c r="AB178" s="722"/>
    </row>
    <row r="179" spans="1:28" ht="15.75" customHeight="1" x14ac:dyDescent="0.35">
      <c r="A179" s="124" t="s">
        <v>1341</v>
      </c>
      <c r="B179" s="23" t="s">
        <v>1534</v>
      </c>
      <c r="C179" s="83">
        <v>43766</v>
      </c>
      <c r="D179" s="112">
        <v>43788</v>
      </c>
      <c r="E179" s="570"/>
      <c r="F179" s="255" t="s">
        <v>1342</v>
      </c>
      <c r="G179" s="88" t="s">
        <v>152</v>
      </c>
      <c r="H179" s="81" t="s">
        <v>220</v>
      </c>
      <c r="J179" s="75">
        <f t="shared" si="12"/>
        <v>1</v>
      </c>
      <c r="K179" s="76" t="s">
        <v>211</v>
      </c>
      <c r="L179" s="99" t="s">
        <v>1622</v>
      </c>
      <c r="M179" s="81">
        <v>0</v>
      </c>
      <c r="N179" s="78" t="s">
        <v>18</v>
      </c>
      <c r="R179" s="75">
        <f t="shared" si="15"/>
        <v>0</v>
      </c>
      <c r="S179" s="263"/>
      <c r="T179" s="263"/>
      <c r="U179" s="263"/>
      <c r="V179" s="263"/>
      <c r="W179" s="263"/>
      <c r="X179" s="263"/>
      <c r="Y179" s="575"/>
      <c r="Z179" s="575"/>
      <c r="AA179" s="576">
        <f t="shared" si="13"/>
        <v>0</v>
      </c>
      <c r="AB179" s="722"/>
    </row>
    <row r="180" spans="1:28" ht="15.75" customHeight="1" x14ac:dyDescent="0.35">
      <c r="A180" s="124" t="s">
        <v>1383</v>
      </c>
      <c r="B180" s="23" t="s">
        <v>1535</v>
      </c>
      <c r="C180" s="83">
        <v>43766</v>
      </c>
      <c r="D180" s="112">
        <v>43788</v>
      </c>
      <c r="E180" s="570"/>
      <c r="F180" s="88" t="s">
        <v>1384</v>
      </c>
      <c r="G180" s="88" t="s">
        <v>149</v>
      </c>
      <c r="H180" s="81" t="s">
        <v>220</v>
      </c>
      <c r="I180" s="98" t="s">
        <v>656</v>
      </c>
      <c r="J180" s="75">
        <f t="shared" ref="J180:J194" si="16">IF(OR(K180="Документы готовы",K180="Запрос в ФО",K180="ЭЗ",K180="РЕШ",K180="РЕШ шаблон"),0.1,IF(OR(K180="ЭЗ согласование",K180="РЕШ согласование"),0.3,IF(OR(K180="ЭЗ согласовано",K180="РЕШ согласовано",K180="РЕШ подписано"),0.6,IF(OR(K180="ЭЗ ПР согласование",K180="РЕШ УВ согласование"),0.9,IF(OR(K180="ЭЗ ПР DONE",K180="РЕШ УВ DONE"),1,0)))))</f>
        <v>1</v>
      </c>
      <c r="K180" s="76" t="s">
        <v>211</v>
      </c>
      <c r="L180" s="99" t="s">
        <v>1641</v>
      </c>
      <c r="M180" s="81">
        <v>0</v>
      </c>
      <c r="N180" s="78" t="s">
        <v>17</v>
      </c>
      <c r="O180" s="114">
        <v>5564.52</v>
      </c>
      <c r="P180" s="114">
        <v>5564.52</v>
      </c>
      <c r="R180" s="75">
        <f t="shared" si="15"/>
        <v>0</v>
      </c>
      <c r="S180" s="263"/>
      <c r="T180" s="263"/>
      <c r="U180" s="263"/>
      <c r="V180" s="263"/>
      <c r="W180" s="263"/>
      <c r="X180" s="263"/>
      <c r="Y180" s="575"/>
      <c r="Z180" s="575"/>
      <c r="AA180" s="576">
        <f t="shared" si="13"/>
        <v>0</v>
      </c>
      <c r="AB180" s="722"/>
    </row>
    <row r="181" spans="1:28" ht="15.75" customHeight="1" x14ac:dyDescent="0.35">
      <c r="A181" s="124" t="s">
        <v>1385</v>
      </c>
      <c r="B181" s="23" t="s">
        <v>1536</v>
      </c>
      <c r="C181" s="83">
        <v>43766</v>
      </c>
      <c r="D181" s="112">
        <v>43788</v>
      </c>
      <c r="E181" s="570"/>
      <c r="F181" s="88" t="s">
        <v>1386</v>
      </c>
      <c r="G181" s="88" t="s">
        <v>154</v>
      </c>
      <c r="H181" s="81" t="s">
        <v>220</v>
      </c>
      <c r="I181" s="98" t="s">
        <v>652</v>
      </c>
      <c r="J181" s="75">
        <f t="shared" si="16"/>
        <v>1</v>
      </c>
      <c r="K181" s="76" t="s">
        <v>211</v>
      </c>
      <c r="L181" s="99" t="s">
        <v>1671</v>
      </c>
      <c r="M181" s="81">
        <v>0</v>
      </c>
      <c r="N181" s="78" t="s">
        <v>19</v>
      </c>
      <c r="R181" s="75">
        <f t="shared" si="15"/>
        <v>0</v>
      </c>
      <c r="S181" s="263"/>
      <c r="T181" s="263"/>
      <c r="U181" s="263"/>
      <c r="V181" s="263"/>
      <c r="W181" s="263"/>
      <c r="X181" s="263"/>
      <c r="Y181" s="575"/>
      <c r="Z181" s="575"/>
      <c r="AA181" s="576">
        <f t="shared" si="13"/>
        <v>0</v>
      </c>
      <c r="AB181" s="722"/>
    </row>
    <row r="182" spans="1:28" ht="15.75" customHeight="1" x14ac:dyDescent="0.35">
      <c r="A182" s="124" t="s">
        <v>1387</v>
      </c>
      <c r="B182" s="23" t="s">
        <v>1664</v>
      </c>
      <c r="C182" s="83">
        <v>43767</v>
      </c>
      <c r="D182" s="112">
        <v>43789</v>
      </c>
      <c r="E182" s="570"/>
      <c r="F182" s="99" t="s">
        <v>1679</v>
      </c>
      <c r="G182" s="88" t="s">
        <v>149</v>
      </c>
      <c r="H182" s="81" t="s">
        <v>220</v>
      </c>
      <c r="I182" s="98" t="s">
        <v>1863</v>
      </c>
      <c r="J182" s="75">
        <f t="shared" si="16"/>
        <v>1</v>
      </c>
      <c r="K182" s="76" t="s">
        <v>211</v>
      </c>
      <c r="L182" s="99" t="s">
        <v>1668</v>
      </c>
      <c r="M182" s="81">
        <v>0</v>
      </c>
      <c r="N182" s="78" t="s">
        <v>19</v>
      </c>
      <c r="R182" s="75">
        <f t="shared" si="15"/>
        <v>0</v>
      </c>
      <c r="S182" s="263"/>
      <c r="T182" s="263"/>
      <c r="U182" s="263"/>
      <c r="V182" s="263"/>
      <c r="W182" s="263"/>
      <c r="X182" s="263"/>
      <c r="Y182" s="575"/>
      <c r="Z182" s="575"/>
      <c r="AA182" s="576">
        <f t="shared" si="13"/>
        <v>0</v>
      </c>
      <c r="AB182" s="722"/>
    </row>
    <row r="183" spans="1:28" ht="15.75" customHeight="1" x14ac:dyDescent="0.35">
      <c r="A183" s="124" t="s">
        <v>1388</v>
      </c>
      <c r="B183" s="23" t="s">
        <v>1418</v>
      </c>
      <c r="C183" s="83">
        <v>43767</v>
      </c>
      <c r="D183" s="112">
        <v>43784</v>
      </c>
      <c r="E183" s="570"/>
      <c r="F183" s="88" t="s">
        <v>1389</v>
      </c>
      <c r="G183" s="88" t="s">
        <v>1390</v>
      </c>
      <c r="H183" s="81" t="s">
        <v>220</v>
      </c>
      <c r="I183" s="98" t="s">
        <v>1864</v>
      </c>
      <c r="J183" s="75">
        <f t="shared" si="16"/>
        <v>1</v>
      </c>
      <c r="K183" s="76" t="s">
        <v>211</v>
      </c>
      <c r="L183" s="99" t="s">
        <v>1419</v>
      </c>
      <c r="M183" s="81">
        <v>0</v>
      </c>
      <c r="N183" s="78" t="s">
        <v>19</v>
      </c>
      <c r="R183" s="75">
        <f t="shared" si="15"/>
        <v>0</v>
      </c>
      <c r="S183" s="263"/>
      <c r="T183" s="263"/>
      <c r="U183" s="263"/>
      <c r="V183" s="263"/>
      <c r="W183" s="263"/>
      <c r="X183" s="263"/>
      <c r="Y183" s="575"/>
      <c r="Z183" s="575"/>
      <c r="AA183" s="576">
        <f t="shared" si="13"/>
        <v>0</v>
      </c>
      <c r="AB183" s="722"/>
    </row>
    <row r="184" spans="1:28" ht="15.75" customHeight="1" x14ac:dyDescent="0.35">
      <c r="A184" s="124" t="s">
        <v>1391</v>
      </c>
      <c r="B184" s="23" t="s">
        <v>1665</v>
      </c>
      <c r="C184" s="83">
        <v>43767</v>
      </c>
      <c r="D184" s="112">
        <v>43789</v>
      </c>
      <c r="E184" s="570"/>
      <c r="F184" s="88" t="s">
        <v>1392</v>
      </c>
      <c r="G184" s="88" t="s">
        <v>1393</v>
      </c>
      <c r="H184" s="81" t="s">
        <v>220</v>
      </c>
      <c r="I184" s="98" t="s">
        <v>629</v>
      </c>
      <c r="J184" s="75">
        <f t="shared" si="16"/>
        <v>1</v>
      </c>
      <c r="K184" s="263" t="s">
        <v>211</v>
      </c>
      <c r="L184" s="99" t="s">
        <v>1353</v>
      </c>
      <c r="M184" s="81">
        <v>0</v>
      </c>
      <c r="N184" s="78" t="s">
        <v>19</v>
      </c>
      <c r="R184" s="75">
        <f t="shared" si="15"/>
        <v>0</v>
      </c>
      <c r="S184" s="263"/>
      <c r="T184" s="263"/>
      <c r="U184" s="263"/>
      <c r="V184" s="263"/>
      <c r="W184" s="263"/>
      <c r="X184" s="263"/>
      <c r="Y184" s="575"/>
      <c r="Z184" s="575"/>
      <c r="AA184" s="576">
        <f t="shared" si="13"/>
        <v>0</v>
      </c>
      <c r="AB184" s="722"/>
    </row>
    <row r="185" spans="1:28" ht="15.75" customHeight="1" x14ac:dyDescent="0.35">
      <c r="A185" s="124" t="s">
        <v>1394</v>
      </c>
      <c r="B185" s="23" t="s">
        <v>1666</v>
      </c>
      <c r="C185" s="83">
        <v>43767</v>
      </c>
      <c r="D185" s="112">
        <v>43789</v>
      </c>
      <c r="E185" s="570"/>
      <c r="F185" s="88" t="s">
        <v>1395</v>
      </c>
      <c r="G185" s="88" t="s">
        <v>156</v>
      </c>
      <c r="H185" s="81" t="s">
        <v>220</v>
      </c>
      <c r="I185" s="98" t="s">
        <v>691</v>
      </c>
      <c r="J185" s="75">
        <f t="shared" si="16"/>
        <v>1</v>
      </c>
      <c r="K185" s="76" t="s">
        <v>211</v>
      </c>
      <c r="L185" s="99" t="s">
        <v>1669</v>
      </c>
      <c r="M185" s="81">
        <v>0</v>
      </c>
      <c r="N185" s="78" t="s">
        <v>18</v>
      </c>
      <c r="R185" s="75">
        <f t="shared" si="15"/>
        <v>0</v>
      </c>
      <c r="S185" s="263"/>
      <c r="T185" s="263"/>
      <c r="U185" s="263"/>
      <c r="V185" s="263"/>
      <c r="W185" s="263"/>
      <c r="X185" s="263"/>
      <c r="Y185" s="575"/>
      <c r="Z185" s="575"/>
      <c r="AA185" s="576">
        <f t="shared" si="13"/>
        <v>0</v>
      </c>
      <c r="AB185" s="722"/>
    </row>
    <row r="186" spans="1:28" ht="15.75" customHeight="1" x14ac:dyDescent="0.35">
      <c r="A186" s="68" t="s">
        <v>1396</v>
      </c>
      <c r="B186" s="23" t="s">
        <v>1667</v>
      </c>
      <c r="C186" s="83">
        <v>43767</v>
      </c>
      <c r="D186" s="112">
        <v>43803</v>
      </c>
      <c r="E186" s="570"/>
      <c r="F186" s="88" t="s">
        <v>1397</v>
      </c>
      <c r="G186" s="88" t="s">
        <v>162</v>
      </c>
      <c r="H186" s="81" t="s">
        <v>220</v>
      </c>
      <c r="J186" s="75">
        <f t="shared" si="16"/>
        <v>1</v>
      </c>
      <c r="K186" s="76" t="s">
        <v>211</v>
      </c>
      <c r="L186" s="99" t="s">
        <v>2026</v>
      </c>
      <c r="M186" s="77">
        <v>1</v>
      </c>
      <c r="N186" s="78" t="s">
        <v>17</v>
      </c>
      <c r="O186" s="114">
        <v>89618</v>
      </c>
      <c r="Q186" s="304" t="s">
        <v>1985</v>
      </c>
      <c r="R186" s="75">
        <f t="shared" si="15"/>
        <v>1</v>
      </c>
      <c r="S186" s="263" t="s">
        <v>1991</v>
      </c>
      <c r="T186" s="263"/>
      <c r="U186" s="263"/>
      <c r="V186" s="263"/>
      <c r="W186" s="263"/>
      <c r="X186" s="263"/>
      <c r="Y186" s="575"/>
      <c r="Z186" s="575"/>
      <c r="AA186" s="576">
        <f t="shared" si="13"/>
        <v>0</v>
      </c>
      <c r="AB186" s="722"/>
    </row>
    <row r="187" spans="1:28" ht="15.75" customHeight="1" x14ac:dyDescent="0.35">
      <c r="A187" s="124" t="s">
        <v>1398</v>
      </c>
      <c r="B187" s="23" t="s">
        <v>1680</v>
      </c>
      <c r="C187" s="83">
        <v>43768</v>
      </c>
      <c r="D187" s="112">
        <v>43790</v>
      </c>
      <c r="E187" s="570"/>
      <c r="F187" s="88" t="s">
        <v>1399</v>
      </c>
      <c r="G187" s="88" t="s">
        <v>156</v>
      </c>
      <c r="H187" s="81" t="s">
        <v>1400</v>
      </c>
      <c r="I187" s="98" t="s">
        <v>696</v>
      </c>
      <c r="J187" s="75">
        <f t="shared" si="16"/>
        <v>1</v>
      </c>
      <c r="K187" s="76" t="s">
        <v>211</v>
      </c>
      <c r="L187" s="99" t="s">
        <v>1777</v>
      </c>
      <c r="M187" s="81">
        <v>0</v>
      </c>
      <c r="N187" s="78" t="s">
        <v>17</v>
      </c>
      <c r="O187" s="114">
        <v>37006.910000000003</v>
      </c>
      <c r="R187" s="75">
        <f t="shared" si="15"/>
        <v>0</v>
      </c>
      <c r="S187" s="263"/>
      <c r="T187" s="263"/>
      <c r="U187" s="263"/>
      <c r="V187" s="263"/>
      <c r="W187" s="263"/>
      <c r="X187" s="263"/>
      <c r="Y187" s="575"/>
      <c r="Z187" s="575"/>
      <c r="AA187" s="576">
        <f t="shared" si="13"/>
        <v>0</v>
      </c>
      <c r="AB187" s="722"/>
    </row>
    <row r="188" spans="1:28" ht="15.75" customHeight="1" x14ac:dyDescent="0.35">
      <c r="A188" s="68" t="s">
        <v>1401</v>
      </c>
      <c r="B188" s="23" t="s">
        <v>1681</v>
      </c>
      <c r="C188" s="83">
        <v>43768</v>
      </c>
      <c r="D188" s="112">
        <v>43804</v>
      </c>
      <c r="E188" s="570"/>
      <c r="F188" s="88" t="s">
        <v>1402</v>
      </c>
      <c r="G188" s="88" t="s">
        <v>158</v>
      </c>
      <c r="H188" s="81" t="s">
        <v>220</v>
      </c>
      <c r="I188" s="98" t="s">
        <v>2039</v>
      </c>
      <c r="J188" s="75">
        <f t="shared" si="16"/>
        <v>1</v>
      </c>
      <c r="K188" s="76" t="s">
        <v>211</v>
      </c>
      <c r="L188" s="99" t="s">
        <v>2028</v>
      </c>
      <c r="M188" s="77">
        <v>1</v>
      </c>
      <c r="N188" s="78" t="s">
        <v>17</v>
      </c>
      <c r="O188" s="114">
        <v>41700</v>
      </c>
      <c r="Q188" s="304" t="s">
        <v>1909</v>
      </c>
      <c r="R188" s="75">
        <f t="shared" si="15"/>
        <v>1</v>
      </c>
      <c r="S188" s="263" t="s">
        <v>1991</v>
      </c>
      <c r="T188" s="263"/>
      <c r="U188" s="263"/>
      <c r="V188" s="263"/>
      <c r="W188" s="263"/>
      <c r="X188" s="263"/>
      <c r="Y188" s="575"/>
      <c r="Z188" s="575"/>
      <c r="AA188" s="576">
        <f t="shared" si="13"/>
        <v>0</v>
      </c>
      <c r="AB188" s="722"/>
    </row>
    <row r="189" spans="1:28" ht="15.75" customHeight="1" x14ac:dyDescent="0.35">
      <c r="A189" s="68" t="s">
        <v>1403</v>
      </c>
      <c r="B189" s="23" t="s">
        <v>1697</v>
      </c>
      <c r="C189" s="83">
        <v>43768</v>
      </c>
      <c r="D189" s="112">
        <v>43804</v>
      </c>
      <c r="E189" s="570"/>
      <c r="F189" s="88" t="s">
        <v>1404</v>
      </c>
      <c r="G189" s="88" t="s">
        <v>149</v>
      </c>
      <c r="H189" s="81" t="s">
        <v>220</v>
      </c>
      <c r="J189" s="75">
        <f t="shared" si="16"/>
        <v>1</v>
      </c>
      <c r="K189" s="76" t="s">
        <v>211</v>
      </c>
      <c r="L189" s="99" t="s">
        <v>2029</v>
      </c>
      <c r="M189" s="77">
        <v>1</v>
      </c>
      <c r="N189" s="78" t="s">
        <v>17</v>
      </c>
      <c r="O189" s="114">
        <v>18000</v>
      </c>
      <c r="Q189" s="304" t="s">
        <v>1909</v>
      </c>
      <c r="R189" s="75">
        <f t="shared" si="15"/>
        <v>1</v>
      </c>
      <c r="S189" s="263" t="s">
        <v>1991</v>
      </c>
      <c r="T189" s="263"/>
      <c r="U189" s="263"/>
      <c r="V189" s="263"/>
      <c r="W189" s="263"/>
      <c r="X189" s="263"/>
      <c r="Y189" s="575"/>
      <c r="Z189" s="575"/>
      <c r="AA189" s="576">
        <f t="shared" si="13"/>
        <v>0</v>
      </c>
      <c r="AB189" s="722"/>
    </row>
    <row r="190" spans="1:28" ht="15.75" customHeight="1" x14ac:dyDescent="0.35">
      <c r="A190" s="124" t="s">
        <v>1405</v>
      </c>
      <c r="B190" s="23" t="s">
        <v>1716</v>
      </c>
      <c r="C190" s="83">
        <v>43768</v>
      </c>
      <c r="D190" s="112">
        <v>43791</v>
      </c>
      <c r="E190" s="570"/>
      <c r="F190" s="88" t="s">
        <v>1406</v>
      </c>
      <c r="G190" s="88" t="s">
        <v>156</v>
      </c>
      <c r="H190" s="81" t="s">
        <v>220</v>
      </c>
      <c r="I190" s="98" t="s">
        <v>981</v>
      </c>
      <c r="J190" s="75">
        <f t="shared" si="16"/>
        <v>1</v>
      </c>
      <c r="K190" s="76" t="s">
        <v>211</v>
      </c>
      <c r="L190" s="99" t="s">
        <v>1750</v>
      </c>
      <c r="M190" s="81">
        <v>0</v>
      </c>
      <c r="N190" s="78" t="s">
        <v>17</v>
      </c>
      <c r="O190" s="114">
        <v>475000</v>
      </c>
      <c r="R190" s="75">
        <f t="shared" si="15"/>
        <v>0</v>
      </c>
      <c r="S190" s="263"/>
      <c r="T190" s="263"/>
      <c r="U190" s="263"/>
      <c r="V190" s="263"/>
      <c r="W190" s="263"/>
      <c r="X190" s="263"/>
      <c r="Y190" s="575"/>
      <c r="Z190" s="575"/>
      <c r="AA190" s="576">
        <f t="shared" si="13"/>
        <v>0</v>
      </c>
      <c r="AB190" s="722"/>
    </row>
    <row r="191" spans="1:28" ht="15.75" customHeight="1" x14ac:dyDescent="0.35">
      <c r="A191" s="68" t="s">
        <v>1407</v>
      </c>
      <c r="B191" s="23" t="s">
        <v>1698</v>
      </c>
      <c r="C191" s="83">
        <v>43768</v>
      </c>
      <c r="D191" s="112">
        <v>43804</v>
      </c>
      <c r="E191" s="570"/>
      <c r="F191" s="88" t="s">
        <v>1408</v>
      </c>
      <c r="G191" s="88" t="s">
        <v>152</v>
      </c>
      <c r="H191" s="81" t="s">
        <v>220</v>
      </c>
      <c r="J191" s="75">
        <f t="shared" si="16"/>
        <v>1</v>
      </c>
      <c r="K191" s="76" t="s">
        <v>211</v>
      </c>
      <c r="L191" s="99" t="s">
        <v>2038</v>
      </c>
      <c r="M191" s="77">
        <v>1</v>
      </c>
      <c r="N191" s="78" t="s">
        <v>18</v>
      </c>
      <c r="Q191" s="304" t="s">
        <v>1894</v>
      </c>
      <c r="R191" s="75">
        <f t="shared" si="15"/>
        <v>1</v>
      </c>
      <c r="S191" s="263" t="s">
        <v>1991</v>
      </c>
      <c r="T191" s="263"/>
      <c r="U191" s="263"/>
      <c r="V191" s="263"/>
      <c r="W191" s="263"/>
      <c r="X191" s="263"/>
      <c r="Y191" s="575"/>
      <c r="Z191" s="575"/>
      <c r="AA191" s="576">
        <f t="shared" si="13"/>
        <v>0</v>
      </c>
      <c r="AB191" s="722"/>
    </row>
    <row r="192" spans="1:28" ht="15.75" customHeight="1" x14ac:dyDescent="0.35">
      <c r="A192" s="124" t="s">
        <v>1409</v>
      </c>
      <c r="B192" s="23" t="s">
        <v>1717</v>
      </c>
      <c r="C192" s="83">
        <v>43768</v>
      </c>
      <c r="D192" s="112">
        <v>43791</v>
      </c>
      <c r="E192" s="570"/>
      <c r="F192" s="88" t="s">
        <v>1410</v>
      </c>
      <c r="G192" s="88" t="s">
        <v>177</v>
      </c>
      <c r="H192" s="81" t="s">
        <v>220</v>
      </c>
      <c r="J192" s="75">
        <f t="shared" si="16"/>
        <v>1</v>
      </c>
      <c r="K192" s="76" t="s">
        <v>211</v>
      </c>
      <c r="L192" s="99" t="s">
        <v>1722</v>
      </c>
      <c r="M192" s="81">
        <v>0</v>
      </c>
      <c r="N192" s="78" t="s">
        <v>17</v>
      </c>
      <c r="O192" s="114">
        <v>80000</v>
      </c>
      <c r="R192" s="75">
        <f t="shared" si="15"/>
        <v>0</v>
      </c>
      <c r="S192" s="263"/>
      <c r="T192" s="263"/>
      <c r="U192" s="263"/>
      <c r="V192" s="263"/>
      <c r="W192" s="263"/>
      <c r="X192" s="263"/>
      <c r="Y192" s="575"/>
      <c r="Z192" s="575"/>
      <c r="AA192" s="576">
        <f t="shared" si="13"/>
        <v>0</v>
      </c>
      <c r="AB192" s="722"/>
    </row>
    <row r="193" spans="1:28" ht="15.75" customHeight="1" x14ac:dyDescent="0.35">
      <c r="A193" s="68" t="s">
        <v>1411</v>
      </c>
      <c r="B193" s="23" t="s">
        <v>1718</v>
      </c>
      <c r="C193" s="83">
        <v>43768</v>
      </c>
      <c r="D193" s="112">
        <v>43805</v>
      </c>
      <c r="E193" s="570"/>
      <c r="F193" s="88" t="s">
        <v>1412</v>
      </c>
      <c r="G193" s="88" t="s">
        <v>162</v>
      </c>
      <c r="H193" s="81" t="s">
        <v>220</v>
      </c>
      <c r="I193" s="98" t="s">
        <v>649</v>
      </c>
      <c r="J193" s="75">
        <f t="shared" si="16"/>
        <v>1</v>
      </c>
      <c r="K193" s="76" t="s">
        <v>211</v>
      </c>
      <c r="L193" s="99" t="s">
        <v>2031</v>
      </c>
      <c r="M193" s="77">
        <v>1</v>
      </c>
      <c r="N193" s="78" t="s">
        <v>18</v>
      </c>
      <c r="Q193" s="304" t="s">
        <v>1909</v>
      </c>
      <c r="R193" s="75">
        <f t="shared" si="15"/>
        <v>1</v>
      </c>
      <c r="S193" s="263" t="s">
        <v>1991</v>
      </c>
      <c r="T193" s="263"/>
      <c r="U193" s="263"/>
      <c r="V193" s="263"/>
      <c r="W193" s="263"/>
      <c r="X193" s="263"/>
      <c r="Y193" s="575"/>
      <c r="Z193" s="575"/>
      <c r="AA193" s="576">
        <f t="shared" si="13"/>
        <v>0</v>
      </c>
      <c r="AB193" s="722"/>
    </row>
    <row r="194" spans="1:28" ht="15.75" customHeight="1" x14ac:dyDescent="0.35">
      <c r="A194" s="124" t="s">
        <v>1413</v>
      </c>
      <c r="B194" s="23" t="s">
        <v>1719</v>
      </c>
      <c r="C194" s="83">
        <v>43768</v>
      </c>
      <c r="D194" s="112">
        <v>43791</v>
      </c>
      <c r="E194" s="570"/>
      <c r="F194" s="255" t="s">
        <v>1414</v>
      </c>
      <c r="G194" s="88" t="s">
        <v>162</v>
      </c>
      <c r="H194" s="81" t="s">
        <v>220</v>
      </c>
      <c r="I194" s="98" t="s">
        <v>691</v>
      </c>
      <c r="J194" s="75">
        <f t="shared" si="16"/>
        <v>1</v>
      </c>
      <c r="K194" s="76" t="s">
        <v>211</v>
      </c>
      <c r="L194" s="99" t="s">
        <v>1720</v>
      </c>
      <c r="M194" s="81">
        <v>0</v>
      </c>
      <c r="N194" s="78" t="s">
        <v>18</v>
      </c>
      <c r="R194" s="75">
        <f t="shared" si="15"/>
        <v>0</v>
      </c>
      <c r="S194" s="263"/>
      <c r="T194" s="263"/>
      <c r="U194" s="263"/>
      <c r="V194" s="263"/>
      <c r="W194" s="263"/>
      <c r="X194" s="263"/>
      <c r="Y194" s="575"/>
      <c r="Z194" s="575"/>
      <c r="AA194" s="576">
        <f t="shared" si="13"/>
        <v>0</v>
      </c>
      <c r="AB194" s="722"/>
    </row>
    <row r="195" spans="1:28" ht="15.75" customHeight="1" x14ac:dyDescent="0.35">
      <c r="A195" s="124" t="s">
        <v>1701</v>
      </c>
      <c r="B195" s="23" t="s">
        <v>1702</v>
      </c>
      <c r="C195" s="83">
        <v>43739</v>
      </c>
      <c r="D195" s="112">
        <v>43790</v>
      </c>
      <c r="E195" s="570"/>
      <c r="F195" s="99" t="s">
        <v>1703</v>
      </c>
      <c r="G195" s="99" t="s">
        <v>186</v>
      </c>
      <c r="H195" s="98" t="s">
        <v>220</v>
      </c>
      <c r="J195" s="75">
        <f t="shared" ref="J195:J196" si="17">IF(OR(K195="Документы готовы",K195="Запрос в ФО",K195="ЭЗ",K195="РЕШ",K195="РЕШ шаблон"),0.1,IF(OR(K195="ЭЗ согласование",K195="РЕШ согласование"),0.3,IF(OR(K195="ЭЗ согласовано",K195="РЕШ согласовано",K195="РЕШ подписано"),0.6,IF(OR(K195="ЭЗ ПР согласование",K195="РЕШ УВ согласование"),0.9,IF(OR(K195="ЭЗ ПР DONE",K195="РЕШ УВ DONE"),1,0)))))</f>
        <v>1</v>
      </c>
      <c r="K195" s="76" t="s">
        <v>211</v>
      </c>
      <c r="L195" s="99" t="s">
        <v>1711</v>
      </c>
      <c r="M195" s="77">
        <v>1</v>
      </c>
      <c r="N195" s="78" t="s">
        <v>18</v>
      </c>
      <c r="R195" s="75">
        <f t="shared" si="15"/>
        <v>0</v>
      </c>
      <c r="S195" s="263"/>
      <c r="T195" s="263"/>
      <c r="U195" s="263"/>
      <c r="V195" s="263"/>
      <c r="W195" s="263"/>
      <c r="X195" s="263"/>
      <c r="Y195" s="575"/>
      <c r="Z195" s="575"/>
      <c r="AA195" s="576">
        <f t="shared" ref="AA195:AA258" si="18">Z195-Y195</f>
        <v>0</v>
      </c>
      <c r="AB195" s="722"/>
    </row>
    <row r="196" spans="1:28" ht="15.75" customHeight="1" x14ac:dyDescent="0.35">
      <c r="A196" s="124" t="s">
        <v>1704</v>
      </c>
      <c r="B196" s="23" t="s">
        <v>1705</v>
      </c>
      <c r="C196" s="83">
        <v>43767</v>
      </c>
      <c r="D196" s="112">
        <v>43790</v>
      </c>
      <c r="E196" s="570"/>
      <c r="F196" s="127" t="s">
        <v>1706</v>
      </c>
      <c r="G196" s="99" t="s">
        <v>154</v>
      </c>
      <c r="H196" s="98" t="s">
        <v>220</v>
      </c>
      <c r="I196" s="98" t="s">
        <v>1294</v>
      </c>
      <c r="J196" s="75">
        <f t="shared" si="17"/>
        <v>1</v>
      </c>
      <c r="K196" s="76" t="s">
        <v>211</v>
      </c>
      <c r="L196" s="99" t="s">
        <v>1707</v>
      </c>
      <c r="M196" s="81">
        <v>0</v>
      </c>
      <c r="N196" s="78" t="s">
        <v>19</v>
      </c>
      <c r="R196" s="75">
        <f t="shared" si="15"/>
        <v>0</v>
      </c>
      <c r="S196" s="263"/>
      <c r="T196" s="263"/>
      <c r="U196" s="263"/>
      <c r="V196" s="263"/>
      <c r="W196" s="263"/>
      <c r="X196" s="263"/>
      <c r="Y196" s="575"/>
      <c r="Z196" s="575"/>
      <c r="AA196" s="576">
        <f t="shared" si="18"/>
        <v>0</v>
      </c>
      <c r="AB196" s="722"/>
    </row>
    <row r="197" spans="1:28" ht="15.75" customHeight="1" x14ac:dyDescent="0.35">
      <c r="A197" s="124" t="s">
        <v>1788</v>
      </c>
      <c r="B197" s="23" t="s">
        <v>1848</v>
      </c>
      <c r="C197" s="83">
        <v>43770</v>
      </c>
      <c r="D197" s="112">
        <v>43795</v>
      </c>
      <c r="E197" s="570"/>
      <c r="F197" s="88" t="s">
        <v>1789</v>
      </c>
      <c r="G197" s="88" t="s">
        <v>154</v>
      </c>
      <c r="H197" s="81" t="s">
        <v>220</v>
      </c>
      <c r="I197" s="98" t="s">
        <v>1877</v>
      </c>
      <c r="J197" s="75">
        <f t="shared" ref="J197:J218" si="19">IF(OR(K197="Документы готовы",K197="Запрос в ФО",K197="ЭЗ",K197="РЕШ",K197="РЕШ шаблон"),0.1,IF(OR(K197="ЭЗ согласование",K197="РЕШ согласование"),0.3,IF(OR(K197="ЭЗ согласовано",K197="РЕШ согласовано",K197="РЕШ подписано"),0.6,IF(OR(K197="ЭЗ ПР согласование",K197="РЕШ УВ согласование"),0.9,IF(OR(K197="ЭЗ ПР DONE",K197="РЕШ УВ DONE"),1,0)))))</f>
        <v>1</v>
      </c>
      <c r="K197" s="76" t="s">
        <v>211</v>
      </c>
      <c r="L197" s="99" t="s">
        <v>1876</v>
      </c>
      <c r="M197" s="81">
        <v>0</v>
      </c>
      <c r="N197" s="78" t="s">
        <v>17</v>
      </c>
      <c r="O197" s="114">
        <v>22124.99</v>
      </c>
      <c r="R197" s="75">
        <f t="shared" si="15"/>
        <v>0</v>
      </c>
      <c r="S197" s="263"/>
      <c r="T197" s="263"/>
      <c r="U197" s="263"/>
      <c r="V197" s="263"/>
      <c r="W197" s="263"/>
      <c r="X197" s="263"/>
      <c r="Y197" s="575"/>
      <c r="Z197" s="575"/>
      <c r="AA197" s="576">
        <f t="shared" si="18"/>
        <v>0</v>
      </c>
      <c r="AB197" s="722"/>
    </row>
    <row r="198" spans="1:28" ht="15.75" customHeight="1" x14ac:dyDescent="0.35">
      <c r="A198" s="124" t="s">
        <v>1790</v>
      </c>
      <c r="B198" s="23" t="s">
        <v>1849</v>
      </c>
      <c r="C198" s="83">
        <v>43770</v>
      </c>
      <c r="D198" s="112">
        <v>43795</v>
      </c>
      <c r="E198" s="570"/>
      <c r="F198" s="88" t="s">
        <v>1791</v>
      </c>
      <c r="G198" s="88" t="s">
        <v>154</v>
      </c>
      <c r="H198" s="81" t="s">
        <v>220</v>
      </c>
      <c r="J198" s="75">
        <f t="shared" si="19"/>
        <v>1</v>
      </c>
      <c r="K198" s="76" t="s">
        <v>211</v>
      </c>
      <c r="L198" s="99" t="s">
        <v>1893</v>
      </c>
      <c r="M198" s="81">
        <v>0</v>
      </c>
      <c r="N198" s="78" t="s">
        <v>19</v>
      </c>
      <c r="R198" s="75">
        <f t="shared" si="15"/>
        <v>0</v>
      </c>
      <c r="S198" s="263"/>
      <c r="T198" s="263"/>
      <c r="U198" s="263"/>
      <c r="V198" s="263"/>
      <c r="W198" s="263"/>
      <c r="X198" s="263"/>
      <c r="Y198" s="575"/>
      <c r="Z198" s="575"/>
      <c r="AA198" s="576">
        <f t="shared" si="18"/>
        <v>0</v>
      </c>
      <c r="AB198" s="722"/>
    </row>
    <row r="199" spans="1:28" ht="15.75" customHeight="1" x14ac:dyDescent="0.35">
      <c r="A199" s="124" t="s">
        <v>1794</v>
      </c>
      <c r="B199" s="23" t="s">
        <v>1841</v>
      </c>
      <c r="C199" s="83">
        <v>43770</v>
      </c>
      <c r="D199" s="112">
        <v>43794</v>
      </c>
      <c r="E199" s="570"/>
      <c r="F199" s="88" t="s">
        <v>1795</v>
      </c>
      <c r="G199" s="88" t="s">
        <v>149</v>
      </c>
      <c r="H199" s="81" t="s">
        <v>220</v>
      </c>
      <c r="I199" s="98" t="s">
        <v>656</v>
      </c>
      <c r="J199" s="75">
        <f t="shared" si="19"/>
        <v>1</v>
      </c>
      <c r="K199" s="76" t="s">
        <v>211</v>
      </c>
      <c r="L199" s="99" t="s">
        <v>1860</v>
      </c>
      <c r="M199" s="81">
        <v>0</v>
      </c>
      <c r="N199" s="78" t="s">
        <v>17</v>
      </c>
      <c r="O199" s="114">
        <v>18000</v>
      </c>
      <c r="P199" s="114">
        <v>18000</v>
      </c>
      <c r="R199" s="75">
        <f t="shared" si="15"/>
        <v>0</v>
      </c>
      <c r="S199" s="263"/>
      <c r="T199" s="263"/>
      <c r="U199" s="263"/>
      <c r="V199" s="263"/>
      <c r="W199" s="263"/>
      <c r="X199" s="263"/>
      <c r="Y199" s="575"/>
      <c r="Z199" s="575"/>
      <c r="AA199" s="576">
        <f t="shared" si="18"/>
        <v>0</v>
      </c>
      <c r="AB199" s="722"/>
    </row>
    <row r="200" spans="1:28" ht="15.75" customHeight="1" x14ac:dyDescent="0.35">
      <c r="A200" s="124" t="s">
        <v>1798</v>
      </c>
      <c r="B200" s="23" t="s">
        <v>1843</v>
      </c>
      <c r="C200" s="83">
        <v>43770</v>
      </c>
      <c r="D200" s="112">
        <v>43794</v>
      </c>
      <c r="E200" s="570"/>
      <c r="F200" s="88" t="s">
        <v>1799</v>
      </c>
      <c r="G200" s="88" t="s">
        <v>545</v>
      </c>
      <c r="H200" s="81" t="s">
        <v>220</v>
      </c>
      <c r="I200" s="98" t="s">
        <v>1004</v>
      </c>
      <c r="J200" s="75">
        <f t="shared" si="19"/>
        <v>1</v>
      </c>
      <c r="K200" s="76" t="s">
        <v>211</v>
      </c>
      <c r="L200" s="99" t="s">
        <v>1871</v>
      </c>
      <c r="M200" s="81">
        <v>0</v>
      </c>
      <c r="N200" s="78" t="s">
        <v>19</v>
      </c>
      <c r="R200" s="75">
        <f t="shared" si="15"/>
        <v>0</v>
      </c>
      <c r="S200" s="263"/>
      <c r="T200" s="263"/>
      <c r="U200" s="263"/>
      <c r="V200" s="263"/>
      <c r="W200" s="263"/>
      <c r="X200" s="263"/>
      <c r="Y200" s="575"/>
      <c r="Z200" s="575"/>
      <c r="AA200" s="576">
        <f t="shared" si="18"/>
        <v>0</v>
      </c>
      <c r="AB200" s="722"/>
    </row>
    <row r="201" spans="1:28" ht="15.75" customHeight="1" x14ac:dyDescent="0.35">
      <c r="A201" s="124" t="s">
        <v>1800</v>
      </c>
      <c r="B201" s="23" t="s">
        <v>1844</v>
      </c>
      <c r="C201" s="83">
        <v>43770</v>
      </c>
      <c r="D201" s="112">
        <v>43794</v>
      </c>
      <c r="E201" s="570"/>
      <c r="F201" s="88" t="s">
        <v>1801</v>
      </c>
      <c r="G201" s="88" t="s">
        <v>195</v>
      </c>
      <c r="H201" s="81" t="s">
        <v>220</v>
      </c>
      <c r="I201" s="98" t="s">
        <v>1865</v>
      </c>
      <c r="J201" s="75">
        <f t="shared" si="19"/>
        <v>1</v>
      </c>
      <c r="K201" s="76" t="s">
        <v>211</v>
      </c>
      <c r="L201" s="99" t="s">
        <v>1862</v>
      </c>
      <c r="M201" s="81">
        <v>0</v>
      </c>
      <c r="N201" s="78" t="s">
        <v>19</v>
      </c>
      <c r="R201" s="75">
        <f t="shared" si="15"/>
        <v>0</v>
      </c>
      <c r="S201" s="263"/>
      <c r="T201" s="263"/>
      <c r="U201" s="263"/>
      <c r="V201" s="263"/>
      <c r="W201" s="263"/>
      <c r="X201" s="263"/>
      <c r="Y201" s="575"/>
      <c r="Z201" s="575"/>
      <c r="AA201" s="576">
        <f t="shared" si="18"/>
        <v>0</v>
      </c>
      <c r="AB201" s="722"/>
    </row>
    <row r="202" spans="1:28" ht="15.75" customHeight="1" x14ac:dyDescent="0.35">
      <c r="A202" s="124" t="s">
        <v>1802</v>
      </c>
      <c r="B202" s="23" t="s">
        <v>1845</v>
      </c>
      <c r="C202" s="83">
        <v>43770</v>
      </c>
      <c r="D202" s="112">
        <v>43794</v>
      </c>
      <c r="E202" s="570"/>
      <c r="F202" s="88" t="s">
        <v>1803</v>
      </c>
      <c r="G202" s="88" t="s">
        <v>158</v>
      </c>
      <c r="H202" s="81" t="s">
        <v>220</v>
      </c>
      <c r="I202" s="98" t="s">
        <v>1004</v>
      </c>
      <c r="J202" s="75">
        <f t="shared" si="19"/>
        <v>1</v>
      </c>
      <c r="K202" s="76" t="s">
        <v>211</v>
      </c>
      <c r="L202" s="99" t="s">
        <v>1872</v>
      </c>
      <c r="M202" s="81">
        <v>0</v>
      </c>
      <c r="N202" s="78" t="s">
        <v>19</v>
      </c>
      <c r="R202" s="75">
        <f t="shared" si="15"/>
        <v>0</v>
      </c>
      <c r="S202" s="263"/>
      <c r="T202" s="263"/>
      <c r="U202" s="263"/>
      <c r="V202" s="263"/>
      <c r="W202" s="263"/>
      <c r="X202" s="263"/>
      <c r="Y202" s="575"/>
      <c r="Z202" s="575"/>
      <c r="AA202" s="576">
        <f t="shared" si="18"/>
        <v>0</v>
      </c>
      <c r="AB202" s="722"/>
    </row>
    <row r="203" spans="1:28" ht="15.75" customHeight="1" x14ac:dyDescent="0.35">
      <c r="A203" s="68" t="s">
        <v>1806</v>
      </c>
      <c r="B203" s="23" t="s">
        <v>1851</v>
      </c>
      <c r="C203" s="83">
        <v>43775</v>
      </c>
      <c r="D203" s="112">
        <v>43796</v>
      </c>
      <c r="E203" s="570"/>
      <c r="F203" s="88" t="s">
        <v>1807</v>
      </c>
      <c r="G203" s="88" t="s">
        <v>158</v>
      </c>
      <c r="H203" s="81" t="s">
        <v>220</v>
      </c>
      <c r="I203" s="98" t="s">
        <v>1865</v>
      </c>
      <c r="J203" s="75">
        <f t="shared" si="19"/>
        <v>1</v>
      </c>
      <c r="K203" s="76" t="s">
        <v>211</v>
      </c>
      <c r="L203" s="99" t="s">
        <v>1918</v>
      </c>
      <c r="M203" s="81">
        <v>0</v>
      </c>
      <c r="N203" s="78" t="s">
        <v>19</v>
      </c>
      <c r="Q203" s="304" t="s">
        <v>1894</v>
      </c>
      <c r="R203" s="75">
        <f t="shared" si="15"/>
        <v>1</v>
      </c>
      <c r="S203" s="263" t="s">
        <v>1991</v>
      </c>
      <c r="T203" s="263"/>
      <c r="U203" s="263"/>
      <c r="V203" s="263"/>
      <c r="W203" s="263"/>
      <c r="X203" s="263"/>
      <c r="Y203" s="575"/>
      <c r="Z203" s="575"/>
      <c r="AA203" s="576">
        <f t="shared" si="18"/>
        <v>0</v>
      </c>
      <c r="AB203" s="722"/>
    </row>
    <row r="204" spans="1:28" ht="15.75" customHeight="1" x14ac:dyDescent="0.35">
      <c r="A204" s="68" t="s">
        <v>1810</v>
      </c>
      <c r="B204" s="23" t="s">
        <v>1853</v>
      </c>
      <c r="C204" s="83">
        <v>43775</v>
      </c>
      <c r="D204" s="112">
        <v>43796</v>
      </c>
      <c r="E204" s="570"/>
      <c r="F204" s="88" t="s">
        <v>1811</v>
      </c>
      <c r="G204" s="88" t="s">
        <v>162</v>
      </c>
      <c r="H204" s="81" t="s">
        <v>220</v>
      </c>
      <c r="I204" s="98" t="s">
        <v>656</v>
      </c>
      <c r="J204" s="75">
        <f t="shared" si="19"/>
        <v>1</v>
      </c>
      <c r="K204" s="76" t="s">
        <v>211</v>
      </c>
      <c r="L204" s="99" t="s">
        <v>1910</v>
      </c>
      <c r="M204" s="81">
        <v>0</v>
      </c>
      <c r="N204" s="78" t="s">
        <v>17</v>
      </c>
      <c r="O204" s="114">
        <v>400000</v>
      </c>
      <c r="Q204" s="304" t="s">
        <v>1985</v>
      </c>
      <c r="R204" s="75">
        <f t="shared" si="15"/>
        <v>1</v>
      </c>
      <c r="S204" s="263" t="s">
        <v>1991</v>
      </c>
      <c r="T204" s="263"/>
      <c r="U204" s="263"/>
      <c r="V204" s="263"/>
      <c r="W204" s="263"/>
      <c r="X204" s="263"/>
      <c r="Y204" s="575"/>
      <c r="Z204" s="575"/>
      <c r="AA204" s="576">
        <f t="shared" si="18"/>
        <v>0</v>
      </c>
      <c r="AB204" s="722"/>
    </row>
    <row r="205" spans="1:28" ht="15.75" customHeight="1" x14ac:dyDescent="0.35">
      <c r="A205" s="68" t="s">
        <v>1812</v>
      </c>
      <c r="B205" s="23" t="s">
        <v>1854</v>
      </c>
      <c r="C205" s="83">
        <v>43775</v>
      </c>
      <c r="D205" s="112">
        <v>43796</v>
      </c>
      <c r="E205" s="570"/>
      <c r="F205" s="88" t="s">
        <v>1813</v>
      </c>
      <c r="G205" s="88" t="s">
        <v>149</v>
      </c>
      <c r="H205" s="81" t="s">
        <v>220</v>
      </c>
      <c r="I205" s="98" t="s">
        <v>652</v>
      </c>
      <c r="J205" s="75">
        <f t="shared" si="19"/>
        <v>1</v>
      </c>
      <c r="K205" s="76" t="s">
        <v>211</v>
      </c>
      <c r="L205" s="99" t="s">
        <v>2044</v>
      </c>
      <c r="M205" s="81">
        <v>0</v>
      </c>
      <c r="N205" s="78" t="s">
        <v>19</v>
      </c>
      <c r="Q205" s="304" t="s">
        <v>1986</v>
      </c>
      <c r="R205" s="75">
        <f t="shared" si="15"/>
        <v>1</v>
      </c>
      <c r="S205" s="263" t="s">
        <v>1991</v>
      </c>
      <c r="T205" s="263"/>
      <c r="U205" s="263"/>
      <c r="V205" s="263"/>
      <c r="W205" s="263"/>
      <c r="X205" s="263"/>
      <c r="Y205" s="575"/>
      <c r="Z205" s="575"/>
      <c r="AA205" s="576">
        <f t="shared" si="18"/>
        <v>0</v>
      </c>
      <c r="AB205" s="722"/>
    </row>
    <row r="206" spans="1:28" ht="15.75" customHeight="1" x14ac:dyDescent="0.35">
      <c r="A206" s="68" t="s">
        <v>1818</v>
      </c>
      <c r="B206" s="23" t="s">
        <v>1899</v>
      </c>
      <c r="C206" s="83">
        <v>43775</v>
      </c>
      <c r="D206" s="112">
        <v>43797</v>
      </c>
      <c r="E206" s="570"/>
      <c r="F206" s="88" t="s">
        <v>1819</v>
      </c>
      <c r="G206" s="88" t="s">
        <v>154</v>
      </c>
      <c r="H206" s="81" t="s">
        <v>220</v>
      </c>
      <c r="I206" s="98" t="s">
        <v>691</v>
      </c>
      <c r="J206" s="75">
        <f t="shared" si="19"/>
        <v>1</v>
      </c>
      <c r="K206" s="76" t="s">
        <v>211</v>
      </c>
      <c r="L206" s="99" t="s">
        <v>2010</v>
      </c>
      <c r="M206" s="81">
        <v>0</v>
      </c>
      <c r="N206" s="78" t="s">
        <v>18</v>
      </c>
      <c r="Q206" s="304" t="s">
        <v>1894</v>
      </c>
      <c r="R206" s="75">
        <f t="shared" si="15"/>
        <v>1</v>
      </c>
      <c r="S206" s="263" t="s">
        <v>1991</v>
      </c>
      <c r="T206" s="263"/>
      <c r="U206" s="263"/>
      <c r="V206" s="263"/>
      <c r="W206" s="263"/>
      <c r="X206" s="263"/>
      <c r="Y206" s="575"/>
      <c r="Z206" s="575"/>
      <c r="AA206" s="576">
        <f t="shared" si="18"/>
        <v>0</v>
      </c>
      <c r="AB206" s="722"/>
    </row>
    <row r="207" spans="1:28" ht="15.75" customHeight="1" x14ac:dyDescent="0.35">
      <c r="A207" s="68" t="s">
        <v>1820</v>
      </c>
      <c r="B207" s="23" t="s">
        <v>1857</v>
      </c>
      <c r="C207" s="83">
        <v>43775</v>
      </c>
      <c r="D207" s="112">
        <v>43796</v>
      </c>
      <c r="E207" s="570"/>
      <c r="F207" s="88" t="s">
        <v>1821</v>
      </c>
      <c r="G207" s="88" t="s">
        <v>158</v>
      </c>
      <c r="H207" s="81" t="s">
        <v>220</v>
      </c>
      <c r="I207" s="98" t="s">
        <v>691</v>
      </c>
      <c r="J207" s="75">
        <f t="shared" si="19"/>
        <v>1</v>
      </c>
      <c r="K207" s="76" t="s">
        <v>211</v>
      </c>
      <c r="L207" s="99" t="s">
        <v>1922</v>
      </c>
      <c r="M207" s="81">
        <v>0</v>
      </c>
      <c r="N207" s="78" t="s">
        <v>18</v>
      </c>
      <c r="Q207" s="304" t="s">
        <v>1985</v>
      </c>
      <c r="R207" s="75">
        <f t="shared" si="15"/>
        <v>1</v>
      </c>
      <c r="S207" s="263" t="s">
        <v>1991</v>
      </c>
      <c r="T207" s="263"/>
      <c r="U207" s="263"/>
      <c r="V207" s="263"/>
      <c r="W207" s="263"/>
      <c r="X207" s="263"/>
      <c r="Y207" s="575"/>
      <c r="Z207" s="575"/>
      <c r="AA207" s="576">
        <f t="shared" si="18"/>
        <v>0</v>
      </c>
      <c r="AB207" s="722"/>
    </row>
    <row r="208" spans="1:28" ht="15.75" customHeight="1" x14ac:dyDescent="0.35">
      <c r="A208" s="68" t="s">
        <v>1822</v>
      </c>
      <c r="B208" s="23" t="s">
        <v>1900</v>
      </c>
      <c r="C208" s="83">
        <v>43775</v>
      </c>
      <c r="D208" s="112">
        <v>43797</v>
      </c>
      <c r="E208" s="570"/>
      <c r="F208" s="88" t="s">
        <v>1823</v>
      </c>
      <c r="G208" s="88" t="s">
        <v>158</v>
      </c>
      <c r="H208" s="81" t="s">
        <v>220</v>
      </c>
      <c r="I208" s="98" t="s">
        <v>1865</v>
      </c>
      <c r="J208" s="75">
        <f t="shared" si="19"/>
        <v>1</v>
      </c>
      <c r="K208" s="76" t="s">
        <v>211</v>
      </c>
      <c r="L208" s="99" t="s">
        <v>1003</v>
      </c>
      <c r="M208" s="81">
        <v>0</v>
      </c>
      <c r="N208" s="78" t="s">
        <v>19</v>
      </c>
      <c r="Q208" s="304" t="s">
        <v>1986</v>
      </c>
      <c r="R208" s="75">
        <f t="shared" si="15"/>
        <v>1</v>
      </c>
      <c r="S208" s="263" t="s">
        <v>1991</v>
      </c>
      <c r="T208" s="263"/>
      <c r="U208" s="263"/>
      <c r="V208" s="263"/>
      <c r="W208" s="263"/>
      <c r="X208" s="263"/>
      <c r="Y208" s="575"/>
      <c r="Z208" s="575"/>
      <c r="AA208" s="576">
        <f t="shared" si="18"/>
        <v>0</v>
      </c>
      <c r="AB208" s="722"/>
    </row>
    <row r="209" spans="1:28" ht="15.75" customHeight="1" x14ac:dyDescent="0.35">
      <c r="A209" s="68" t="s">
        <v>1824</v>
      </c>
      <c r="B209" s="23" t="s">
        <v>1901</v>
      </c>
      <c r="C209" s="83">
        <v>43775</v>
      </c>
      <c r="D209" s="112">
        <v>43797</v>
      </c>
      <c r="E209" s="570"/>
      <c r="F209" s="88" t="s">
        <v>1825</v>
      </c>
      <c r="G209" s="88" t="s">
        <v>156</v>
      </c>
      <c r="H209" s="81" t="s">
        <v>220</v>
      </c>
      <c r="I209" s="98" t="s">
        <v>981</v>
      </c>
      <c r="J209" s="75">
        <f t="shared" si="19"/>
        <v>1</v>
      </c>
      <c r="K209" s="76" t="s">
        <v>211</v>
      </c>
      <c r="L209" s="99" t="s">
        <v>2014</v>
      </c>
      <c r="M209" s="81">
        <v>0</v>
      </c>
      <c r="N209" s="78" t="s">
        <v>17</v>
      </c>
      <c r="O209" s="114">
        <v>475000</v>
      </c>
      <c r="Q209" s="304" t="s">
        <v>1986</v>
      </c>
      <c r="R209" s="75">
        <f t="shared" si="15"/>
        <v>1</v>
      </c>
      <c r="S209" s="263" t="s">
        <v>1991</v>
      </c>
      <c r="T209" s="263"/>
      <c r="U209" s="263"/>
      <c r="V209" s="263"/>
      <c r="W209" s="263"/>
      <c r="X209" s="263"/>
      <c r="Y209" s="575"/>
      <c r="Z209" s="575"/>
      <c r="AA209" s="576">
        <f t="shared" si="18"/>
        <v>0</v>
      </c>
      <c r="AB209" s="722"/>
    </row>
    <row r="210" spans="1:28" ht="15.75" customHeight="1" x14ac:dyDescent="0.35">
      <c r="A210" s="68" t="s">
        <v>1826</v>
      </c>
      <c r="B210" s="23" t="s">
        <v>1902</v>
      </c>
      <c r="C210" s="83">
        <v>43775</v>
      </c>
      <c r="D210" s="112">
        <v>43797</v>
      </c>
      <c r="E210" s="570"/>
      <c r="F210" s="88" t="s">
        <v>1827</v>
      </c>
      <c r="G210" s="88" t="s">
        <v>152</v>
      </c>
      <c r="H210" s="81" t="s">
        <v>220</v>
      </c>
      <c r="I210" s="98" t="s">
        <v>656</v>
      </c>
      <c r="J210" s="75">
        <f t="shared" si="19"/>
        <v>1</v>
      </c>
      <c r="K210" s="76" t="s">
        <v>211</v>
      </c>
      <c r="L210" s="99" t="s">
        <v>2015</v>
      </c>
      <c r="M210" s="81">
        <v>0</v>
      </c>
      <c r="N210" s="78" t="s">
        <v>17</v>
      </c>
      <c r="O210" s="114">
        <v>31832</v>
      </c>
      <c r="Q210" s="304" t="s">
        <v>1894</v>
      </c>
      <c r="R210" s="75">
        <f t="shared" si="15"/>
        <v>1</v>
      </c>
      <c r="S210" s="263" t="s">
        <v>1991</v>
      </c>
      <c r="T210" s="263"/>
      <c r="U210" s="263"/>
      <c r="V210" s="263"/>
      <c r="W210" s="263"/>
      <c r="X210" s="263"/>
      <c r="Y210" s="575"/>
      <c r="Z210" s="575"/>
      <c r="AA210" s="576">
        <f t="shared" si="18"/>
        <v>0</v>
      </c>
      <c r="AB210" s="722"/>
    </row>
    <row r="211" spans="1:28" ht="15.75" customHeight="1" x14ac:dyDescent="0.35">
      <c r="A211" s="68" t="s">
        <v>1832</v>
      </c>
      <c r="B211" s="23" t="s">
        <v>1907</v>
      </c>
      <c r="C211" s="83">
        <v>43776</v>
      </c>
      <c r="D211" s="112">
        <v>43798</v>
      </c>
      <c r="E211" s="570"/>
      <c r="F211" s="88" t="s">
        <v>1833</v>
      </c>
      <c r="G211" s="88" t="s">
        <v>162</v>
      </c>
      <c r="H211" s="81" t="s">
        <v>220</v>
      </c>
      <c r="I211" s="98" t="s">
        <v>656</v>
      </c>
      <c r="J211" s="75">
        <f t="shared" si="19"/>
        <v>1</v>
      </c>
      <c r="K211" s="76" t="s">
        <v>211</v>
      </c>
      <c r="L211" s="99" t="s">
        <v>1995</v>
      </c>
      <c r="M211" s="81">
        <v>0</v>
      </c>
      <c r="N211" s="78" t="s">
        <v>17</v>
      </c>
      <c r="O211" s="114">
        <v>17595.689999999999</v>
      </c>
      <c r="Q211" s="304" t="s">
        <v>1909</v>
      </c>
      <c r="R211" s="75">
        <f t="shared" si="15"/>
        <v>1</v>
      </c>
      <c r="S211" s="263" t="s">
        <v>1991</v>
      </c>
      <c r="T211" s="263"/>
      <c r="U211" s="263"/>
      <c r="V211" s="263"/>
      <c r="W211" s="263"/>
      <c r="X211" s="263"/>
      <c r="Y211" s="575"/>
      <c r="Z211" s="575"/>
      <c r="AA211" s="576">
        <f t="shared" si="18"/>
        <v>0</v>
      </c>
      <c r="AB211" s="722"/>
    </row>
    <row r="212" spans="1:28" ht="15.75" customHeight="1" x14ac:dyDescent="0.35">
      <c r="A212" s="124" t="s">
        <v>1896</v>
      </c>
      <c r="B212" s="23" t="s">
        <v>1897</v>
      </c>
      <c r="C212" s="83">
        <v>43775</v>
      </c>
      <c r="D212" s="112">
        <v>43797</v>
      </c>
      <c r="E212" s="570"/>
      <c r="F212" s="99" t="s">
        <v>1898</v>
      </c>
      <c r="G212" s="99" t="s">
        <v>154</v>
      </c>
      <c r="H212" s="98" t="s">
        <v>220</v>
      </c>
      <c r="I212" s="98" t="s">
        <v>691</v>
      </c>
      <c r="J212" s="75">
        <f t="shared" si="19"/>
        <v>1</v>
      </c>
      <c r="K212" s="76" t="s">
        <v>211</v>
      </c>
      <c r="L212" s="99" t="s">
        <v>2016</v>
      </c>
      <c r="M212" s="81">
        <v>0</v>
      </c>
      <c r="N212" s="78" t="s">
        <v>18</v>
      </c>
      <c r="Q212" s="304" t="s">
        <v>1992</v>
      </c>
      <c r="R212" s="75">
        <f t="shared" si="15"/>
        <v>1</v>
      </c>
      <c r="S212" s="263" t="s">
        <v>1991</v>
      </c>
      <c r="T212" s="263"/>
      <c r="U212" s="263"/>
      <c r="V212" s="263"/>
      <c r="W212" s="263"/>
      <c r="X212" s="263"/>
      <c r="Y212" s="575"/>
      <c r="Z212" s="575"/>
      <c r="AA212" s="576">
        <f t="shared" si="18"/>
        <v>0</v>
      </c>
      <c r="AB212" s="722"/>
    </row>
    <row r="213" spans="1:28" ht="15.75" customHeight="1" x14ac:dyDescent="0.35">
      <c r="A213" s="68" t="s">
        <v>1911</v>
      </c>
      <c r="B213" s="23" t="s">
        <v>1914</v>
      </c>
      <c r="C213" s="83">
        <v>43757</v>
      </c>
      <c r="D213" s="112">
        <v>43796</v>
      </c>
      <c r="E213" s="570"/>
      <c r="F213" s="99" t="s">
        <v>1913</v>
      </c>
      <c r="G213" s="88" t="s">
        <v>154</v>
      </c>
      <c r="H213" s="98" t="s">
        <v>220</v>
      </c>
      <c r="I213" s="98" t="s">
        <v>722</v>
      </c>
      <c r="J213" s="75">
        <f t="shared" si="19"/>
        <v>1</v>
      </c>
      <c r="K213" s="76" t="s">
        <v>211</v>
      </c>
      <c r="L213" s="99" t="s">
        <v>1915</v>
      </c>
      <c r="M213" s="129">
        <v>1</v>
      </c>
      <c r="Q213" s="304" t="s">
        <v>1992</v>
      </c>
      <c r="R213" s="75">
        <f t="shared" si="15"/>
        <v>1</v>
      </c>
      <c r="S213" s="263" t="s">
        <v>1991</v>
      </c>
      <c r="T213" s="263"/>
      <c r="U213" s="263"/>
      <c r="V213" s="263"/>
      <c r="W213" s="263"/>
      <c r="X213" s="263"/>
      <c r="Y213" s="575"/>
      <c r="Z213" s="575"/>
      <c r="AA213" s="576">
        <f t="shared" si="18"/>
        <v>0</v>
      </c>
      <c r="AB213" s="722"/>
    </row>
    <row r="214" spans="1:28" ht="15.75" customHeight="1" x14ac:dyDescent="0.35">
      <c r="A214" s="68" t="s">
        <v>1912</v>
      </c>
      <c r="B214" s="23" t="s">
        <v>1916</v>
      </c>
      <c r="C214" s="83">
        <v>43774</v>
      </c>
      <c r="D214" s="112">
        <v>43796</v>
      </c>
      <c r="E214" s="570"/>
      <c r="F214" s="99" t="s">
        <v>1917</v>
      </c>
      <c r="G214" s="99" t="s">
        <v>149</v>
      </c>
      <c r="H214" s="98" t="s">
        <v>220</v>
      </c>
      <c r="I214" s="98" t="s">
        <v>656</v>
      </c>
      <c r="J214" s="75">
        <f t="shared" si="19"/>
        <v>1</v>
      </c>
      <c r="K214" s="76" t="s">
        <v>211</v>
      </c>
      <c r="L214" s="88" t="s">
        <v>1915</v>
      </c>
      <c r="M214" s="81">
        <v>0</v>
      </c>
      <c r="Q214" s="304" t="s">
        <v>1992</v>
      </c>
      <c r="R214" s="75">
        <f t="shared" si="15"/>
        <v>1</v>
      </c>
      <c r="S214" s="263" t="s">
        <v>1991</v>
      </c>
      <c r="T214" s="263"/>
      <c r="U214" s="263"/>
      <c r="V214" s="263"/>
      <c r="W214" s="263"/>
      <c r="X214" s="263"/>
      <c r="Y214" s="575"/>
      <c r="Z214" s="575"/>
      <c r="AA214" s="576">
        <f t="shared" si="18"/>
        <v>0</v>
      </c>
      <c r="AB214" s="722"/>
    </row>
    <row r="215" spans="1:28" ht="15.75" customHeight="1" x14ac:dyDescent="0.35">
      <c r="A215" s="68" t="s">
        <v>1932</v>
      </c>
      <c r="B215" s="23" t="s">
        <v>1934</v>
      </c>
      <c r="C215" s="83">
        <v>43775</v>
      </c>
      <c r="D215" s="112">
        <v>43797</v>
      </c>
      <c r="E215" s="570"/>
      <c r="F215" s="99" t="s">
        <v>1933</v>
      </c>
      <c r="G215" s="99" t="s">
        <v>154</v>
      </c>
      <c r="H215" s="98" t="s">
        <v>220</v>
      </c>
      <c r="I215" s="98" t="s">
        <v>656</v>
      </c>
      <c r="J215" s="75">
        <f t="shared" si="19"/>
        <v>1</v>
      </c>
      <c r="K215" s="76" t="s">
        <v>211</v>
      </c>
      <c r="L215" s="99" t="s">
        <v>1993</v>
      </c>
      <c r="M215" s="81">
        <v>0</v>
      </c>
      <c r="Q215" s="304" t="s">
        <v>1909</v>
      </c>
      <c r="R215" s="75">
        <f t="shared" si="15"/>
        <v>1</v>
      </c>
      <c r="S215" s="263" t="s">
        <v>1991</v>
      </c>
      <c r="T215" s="263"/>
      <c r="U215" s="263"/>
      <c r="V215" s="263"/>
      <c r="W215" s="263"/>
      <c r="X215" s="263"/>
      <c r="Y215" s="575"/>
      <c r="Z215" s="575"/>
      <c r="AA215" s="576">
        <f t="shared" si="18"/>
        <v>0</v>
      </c>
      <c r="AB215" s="722"/>
    </row>
    <row r="216" spans="1:28" ht="15.75" customHeight="1" x14ac:dyDescent="0.35">
      <c r="A216" s="68" t="s">
        <v>1935</v>
      </c>
      <c r="B216" s="23" t="s">
        <v>1937</v>
      </c>
      <c r="C216" s="83">
        <v>43775</v>
      </c>
      <c r="D216" s="112">
        <v>43797</v>
      </c>
      <c r="E216" s="570"/>
      <c r="F216" s="99" t="s">
        <v>1936</v>
      </c>
      <c r="G216" s="99" t="s">
        <v>162</v>
      </c>
      <c r="H216" s="98" t="s">
        <v>220</v>
      </c>
      <c r="I216" s="98" t="s">
        <v>656</v>
      </c>
      <c r="J216" s="75">
        <f t="shared" si="19"/>
        <v>1</v>
      </c>
      <c r="K216" s="76" t="s">
        <v>211</v>
      </c>
      <c r="L216" s="99" t="s">
        <v>1993</v>
      </c>
      <c r="M216" s="81">
        <v>0</v>
      </c>
      <c r="Q216" s="304" t="s">
        <v>1909</v>
      </c>
      <c r="R216" s="75">
        <f t="shared" si="15"/>
        <v>1</v>
      </c>
      <c r="S216" s="263" t="s">
        <v>1991</v>
      </c>
      <c r="T216" s="263"/>
      <c r="U216" s="263"/>
      <c r="V216" s="263"/>
      <c r="W216" s="263"/>
      <c r="X216" s="263"/>
      <c r="Y216" s="575"/>
      <c r="Z216" s="575"/>
      <c r="AA216" s="576">
        <f t="shared" si="18"/>
        <v>0</v>
      </c>
      <c r="AB216" s="722"/>
    </row>
    <row r="217" spans="1:28" ht="15.75" customHeight="1" x14ac:dyDescent="0.35">
      <c r="A217" s="68" t="s">
        <v>1938</v>
      </c>
      <c r="B217" s="23" t="s">
        <v>1939</v>
      </c>
      <c r="C217" s="83">
        <v>43775</v>
      </c>
      <c r="D217" s="112">
        <v>43797</v>
      </c>
      <c r="E217" s="570"/>
      <c r="F217" s="99" t="s">
        <v>1940</v>
      </c>
      <c r="G217" s="99" t="s">
        <v>162</v>
      </c>
      <c r="H217" s="98" t="s">
        <v>220</v>
      </c>
      <c r="I217" s="98" t="s">
        <v>656</v>
      </c>
      <c r="J217" s="75">
        <f t="shared" si="19"/>
        <v>1</v>
      </c>
      <c r="K217" s="76" t="s">
        <v>211</v>
      </c>
      <c r="L217" s="99" t="s">
        <v>1993</v>
      </c>
      <c r="M217" s="81">
        <v>0</v>
      </c>
      <c r="Q217" s="304" t="s">
        <v>1894</v>
      </c>
      <c r="R217" s="75">
        <f t="shared" si="15"/>
        <v>1</v>
      </c>
      <c r="S217" s="263" t="s">
        <v>1991</v>
      </c>
      <c r="T217" s="263"/>
      <c r="U217" s="263"/>
      <c r="V217" s="263"/>
      <c r="W217" s="263"/>
      <c r="X217" s="263"/>
      <c r="Y217" s="575"/>
      <c r="Z217" s="575"/>
      <c r="AA217" s="576">
        <f t="shared" si="18"/>
        <v>0</v>
      </c>
      <c r="AB217" s="722"/>
    </row>
    <row r="218" spans="1:28" ht="15.75" customHeight="1" x14ac:dyDescent="0.35">
      <c r="A218" s="68" t="s">
        <v>1945</v>
      </c>
      <c r="B218" s="23" t="s">
        <v>1947</v>
      </c>
      <c r="C218" s="83">
        <v>43776</v>
      </c>
      <c r="D218" s="112">
        <v>43798</v>
      </c>
      <c r="E218" s="570"/>
      <c r="F218" s="127" t="s">
        <v>1946</v>
      </c>
      <c r="G218" s="88" t="s">
        <v>162</v>
      </c>
      <c r="H218" s="98" t="s">
        <v>220</v>
      </c>
      <c r="I218" s="98" t="s">
        <v>656</v>
      </c>
      <c r="J218" s="75">
        <f t="shared" si="19"/>
        <v>1</v>
      </c>
      <c r="K218" s="76" t="s">
        <v>211</v>
      </c>
      <c r="L218" s="99" t="s">
        <v>1993</v>
      </c>
      <c r="M218" s="81">
        <v>0</v>
      </c>
      <c r="Q218" s="304" t="s">
        <v>1986</v>
      </c>
      <c r="R218" s="75">
        <f t="shared" si="15"/>
        <v>1</v>
      </c>
      <c r="S218" s="263" t="s">
        <v>1991</v>
      </c>
      <c r="T218" s="263"/>
      <c r="U218" s="263"/>
      <c r="V218" s="263"/>
      <c r="W218" s="263"/>
      <c r="X218" s="263"/>
      <c r="Y218" s="575"/>
      <c r="Z218" s="575"/>
      <c r="AA218" s="576">
        <f t="shared" si="18"/>
        <v>0</v>
      </c>
      <c r="AB218" s="722"/>
    </row>
    <row r="219" spans="1:28" ht="15.75" customHeight="1" x14ac:dyDescent="0.35">
      <c r="A219" s="68" t="s">
        <v>1952</v>
      </c>
      <c r="B219" s="23" t="s">
        <v>1982</v>
      </c>
      <c r="C219" s="83">
        <v>43777</v>
      </c>
      <c r="D219" s="112">
        <v>43801</v>
      </c>
      <c r="E219" s="570"/>
      <c r="F219" s="88" t="s">
        <v>1953</v>
      </c>
      <c r="G219" s="88" t="s">
        <v>154</v>
      </c>
      <c r="H219" s="81" t="s">
        <v>220</v>
      </c>
      <c r="I219" s="98" t="s">
        <v>1293</v>
      </c>
      <c r="J219" s="75">
        <f t="shared" ref="J219:J243" si="20">IF(OR(K219="Документы готовы",K219="Запрос в ФО",K219="ЭЗ",K219="РЕШ",K219="РЕШ шаблон"),0.1,IF(OR(K219="ЭЗ согласование",K219="РЕШ согласование"),0.3,IF(OR(K219="ЭЗ согласовано",K219="РЕШ согласовано",K219="РЕШ подписано"),0.6,IF(OR(K219="ЭЗ ПР согласование",K219="РЕШ УВ согласование"),0.9,IF(OR(K219="ЭЗ ПР DONE",K219="РЕШ УВ DONE"),1,0)))))</f>
        <v>1</v>
      </c>
      <c r="K219" s="76" t="s">
        <v>211</v>
      </c>
      <c r="L219" s="99" t="s">
        <v>2006</v>
      </c>
      <c r="M219" s="81">
        <v>0</v>
      </c>
      <c r="N219" s="78" t="s">
        <v>19</v>
      </c>
      <c r="Q219" s="304" t="s">
        <v>1894</v>
      </c>
      <c r="R219" s="75">
        <f t="shared" ref="R219:R243" si="21">IF(S219="В работе",0.3,IF(S219="Отписано",0.6,IF(S219="На доработку",0.9,IF(S219="Согласовано",1,0))))</f>
        <v>1</v>
      </c>
      <c r="S219" s="263" t="s">
        <v>1991</v>
      </c>
      <c r="T219" s="263"/>
      <c r="U219" s="263"/>
      <c r="V219" s="263"/>
      <c r="W219" s="263"/>
      <c r="X219" s="263"/>
      <c r="Y219" s="575"/>
      <c r="Z219" s="575"/>
      <c r="AA219" s="576">
        <f t="shared" si="18"/>
        <v>0</v>
      </c>
      <c r="AB219" s="722"/>
    </row>
    <row r="220" spans="1:28" ht="15.75" customHeight="1" x14ac:dyDescent="0.35">
      <c r="A220" s="68" t="s">
        <v>1954</v>
      </c>
      <c r="B220" s="23" t="s">
        <v>1983</v>
      </c>
      <c r="C220" s="83">
        <v>43777</v>
      </c>
      <c r="D220" s="112">
        <v>43801</v>
      </c>
      <c r="E220" s="570"/>
      <c r="F220" s="88" t="s">
        <v>1955</v>
      </c>
      <c r="G220" s="88" t="s">
        <v>1337</v>
      </c>
      <c r="H220" s="81" t="s">
        <v>220</v>
      </c>
      <c r="I220" s="98" t="s">
        <v>629</v>
      </c>
      <c r="J220" s="75">
        <f t="shared" si="20"/>
        <v>1</v>
      </c>
      <c r="K220" s="76" t="s">
        <v>211</v>
      </c>
      <c r="L220" s="99" t="s">
        <v>2007</v>
      </c>
      <c r="M220" s="81">
        <v>0</v>
      </c>
      <c r="N220" s="78" t="s">
        <v>19</v>
      </c>
      <c r="Q220" s="304" t="s">
        <v>1986</v>
      </c>
      <c r="R220" s="75">
        <f t="shared" si="21"/>
        <v>1</v>
      </c>
      <c r="S220" s="263" t="s">
        <v>1991</v>
      </c>
      <c r="T220" s="263"/>
      <c r="U220" s="263"/>
      <c r="V220" s="263"/>
      <c r="W220" s="263"/>
      <c r="X220" s="263"/>
      <c r="Y220" s="575"/>
      <c r="Z220" s="575"/>
      <c r="AA220" s="576">
        <f t="shared" si="18"/>
        <v>0</v>
      </c>
      <c r="AB220" s="722"/>
    </row>
    <row r="221" spans="1:28" ht="15.75" customHeight="1" x14ac:dyDescent="0.35">
      <c r="A221" s="68" t="s">
        <v>1956</v>
      </c>
      <c r="B221" s="23" t="s">
        <v>1997</v>
      </c>
      <c r="C221" s="83">
        <v>43780</v>
      </c>
      <c r="D221" s="112">
        <v>43802</v>
      </c>
      <c r="E221" s="570"/>
      <c r="F221" s="88" t="s">
        <v>1957</v>
      </c>
      <c r="G221" s="88" t="s">
        <v>149</v>
      </c>
      <c r="H221" s="81" t="s">
        <v>220</v>
      </c>
      <c r="I221" s="98" t="s">
        <v>2008</v>
      </c>
      <c r="J221" s="75">
        <f t="shared" si="20"/>
        <v>1</v>
      </c>
      <c r="K221" s="76" t="s">
        <v>211</v>
      </c>
      <c r="L221" s="99" t="s">
        <v>2009</v>
      </c>
      <c r="M221" s="81">
        <v>0</v>
      </c>
      <c r="N221" s="78" t="s">
        <v>18</v>
      </c>
      <c r="Q221" s="304" t="s">
        <v>1985</v>
      </c>
      <c r="R221" s="75">
        <f t="shared" si="21"/>
        <v>1</v>
      </c>
      <c r="S221" s="263" t="s">
        <v>1991</v>
      </c>
      <c r="T221" s="263"/>
      <c r="U221" s="263"/>
      <c r="V221" s="263"/>
      <c r="W221" s="263"/>
      <c r="X221" s="263"/>
      <c r="Y221" s="575"/>
      <c r="Z221" s="575"/>
      <c r="AA221" s="576">
        <f t="shared" si="18"/>
        <v>0</v>
      </c>
      <c r="AB221" s="722"/>
    </row>
    <row r="222" spans="1:28" ht="15.75" customHeight="1" x14ac:dyDescent="0.35">
      <c r="A222" s="68" t="s">
        <v>1958</v>
      </c>
      <c r="B222" s="23" t="s">
        <v>1998</v>
      </c>
      <c r="C222" s="83">
        <v>43780</v>
      </c>
      <c r="D222" s="112">
        <v>43802</v>
      </c>
      <c r="E222" s="570"/>
      <c r="F222" s="88" t="s">
        <v>1959</v>
      </c>
      <c r="G222" s="88" t="s">
        <v>158</v>
      </c>
      <c r="H222" s="81" t="s">
        <v>220</v>
      </c>
      <c r="I222" s="98" t="s">
        <v>1113</v>
      </c>
      <c r="J222" s="75">
        <f t="shared" si="20"/>
        <v>1</v>
      </c>
      <c r="K222" s="76" t="s">
        <v>211</v>
      </c>
      <c r="L222" s="99" t="s">
        <v>2017</v>
      </c>
      <c r="M222" s="81">
        <v>0</v>
      </c>
      <c r="N222" s="78" t="s">
        <v>19</v>
      </c>
      <c r="Q222" s="304" t="s">
        <v>1909</v>
      </c>
      <c r="R222" s="75">
        <f t="shared" si="21"/>
        <v>1</v>
      </c>
      <c r="S222" s="263" t="s">
        <v>1991</v>
      </c>
      <c r="T222" s="263"/>
      <c r="U222" s="263"/>
      <c r="V222" s="263"/>
      <c r="W222" s="263"/>
      <c r="X222" s="263"/>
      <c r="Y222" s="575"/>
      <c r="Z222" s="575"/>
      <c r="AA222" s="576">
        <f t="shared" si="18"/>
        <v>0</v>
      </c>
      <c r="AB222" s="722"/>
    </row>
    <row r="223" spans="1:28" ht="15.75" customHeight="1" x14ac:dyDescent="0.35">
      <c r="A223" s="68" t="s">
        <v>1960</v>
      </c>
      <c r="B223" s="23" t="s">
        <v>1999</v>
      </c>
      <c r="C223" s="83">
        <v>43780</v>
      </c>
      <c r="D223" s="112">
        <v>43802</v>
      </c>
      <c r="E223" s="570"/>
      <c r="F223" s="88" t="s">
        <v>1961</v>
      </c>
      <c r="G223" s="88" t="s">
        <v>154</v>
      </c>
      <c r="H223" s="81" t="s">
        <v>220</v>
      </c>
      <c r="I223" s="98" t="s">
        <v>2027</v>
      </c>
      <c r="J223" s="75">
        <f t="shared" si="20"/>
        <v>1</v>
      </c>
      <c r="K223" s="76" t="s">
        <v>211</v>
      </c>
      <c r="L223" s="99" t="s">
        <v>2018</v>
      </c>
      <c r="M223" s="81">
        <v>0</v>
      </c>
      <c r="N223" s="78" t="s">
        <v>18</v>
      </c>
      <c r="Q223" s="304" t="s">
        <v>1894</v>
      </c>
      <c r="R223" s="75">
        <f t="shared" si="21"/>
        <v>1</v>
      </c>
      <c r="S223" s="263" t="s">
        <v>1991</v>
      </c>
      <c r="T223" s="263"/>
      <c r="U223" s="263"/>
      <c r="V223" s="263"/>
      <c r="W223" s="263"/>
      <c r="X223" s="263"/>
      <c r="Y223" s="575"/>
      <c r="Z223" s="575"/>
      <c r="AA223" s="576">
        <f t="shared" si="18"/>
        <v>0</v>
      </c>
      <c r="AB223" s="722"/>
    </row>
    <row r="224" spans="1:28" ht="15.75" customHeight="1" x14ac:dyDescent="0.35">
      <c r="A224" s="68" t="s">
        <v>1962</v>
      </c>
      <c r="B224" s="23" t="s">
        <v>2002</v>
      </c>
      <c r="C224" s="83">
        <v>43782</v>
      </c>
      <c r="D224" s="112">
        <v>43803</v>
      </c>
      <c r="E224" s="570"/>
      <c r="F224" s="88" t="s">
        <v>1963</v>
      </c>
      <c r="G224" s="88" t="s">
        <v>154</v>
      </c>
      <c r="H224" s="81" t="s">
        <v>220</v>
      </c>
      <c r="I224" s="98" t="s">
        <v>1113</v>
      </c>
      <c r="J224" s="75">
        <f t="shared" si="20"/>
        <v>1</v>
      </c>
      <c r="K224" s="76" t="s">
        <v>211</v>
      </c>
      <c r="L224" s="99" t="s">
        <v>2021</v>
      </c>
      <c r="M224" s="81">
        <v>0</v>
      </c>
      <c r="N224" s="78" t="s">
        <v>19</v>
      </c>
      <c r="Q224" s="304" t="s">
        <v>1986</v>
      </c>
      <c r="R224" s="75">
        <f t="shared" si="21"/>
        <v>1</v>
      </c>
      <c r="S224" s="263" t="s">
        <v>1991</v>
      </c>
      <c r="T224" s="263"/>
      <c r="U224" s="263"/>
      <c r="V224" s="263"/>
      <c r="W224" s="263"/>
      <c r="X224" s="263"/>
      <c r="Y224" s="575"/>
      <c r="Z224" s="575"/>
      <c r="AA224" s="576">
        <f t="shared" si="18"/>
        <v>0</v>
      </c>
      <c r="AB224" s="722"/>
    </row>
    <row r="225" spans="1:28" ht="15.75" customHeight="1" x14ac:dyDescent="0.35">
      <c r="A225" s="68" t="s">
        <v>1964</v>
      </c>
      <c r="B225" s="23" t="s">
        <v>2003</v>
      </c>
      <c r="C225" s="83">
        <v>43782</v>
      </c>
      <c r="D225" s="112">
        <v>43803</v>
      </c>
      <c r="E225" s="570"/>
      <c r="F225" s="88" t="s">
        <v>1965</v>
      </c>
      <c r="G225" s="88" t="s">
        <v>181</v>
      </c>
      <c r="H225" s="81" t="s">
        <v>220</v>
      </c>
      <c r="I225" s="98" t="s">
        <v>1004</v>
      </c>
      <c r="J225" s="75">
        <f t="shared" si="20"/>
        <v>1</v>
      </c>
      <c r="K225" s="76" t="s">
        <v>211</v>
      </c>
      <c r="L225" s="99" t="s">
        <v>2022</v>
      </c>
      <c r="M225" s="81">
        <v>0</v>
      </c>
      <c r="N225" s="78" t="s">
        <v>19</v>
      </c>
      <c r="Q225" s="304" t="s">
        <v>1986</v>
      </c>
      <c r="R225" s="75">
        <f t="shared" si="21"/>
        <v>1</v>
      </c>
      <c r="S225" s="263" t="s">
        <v>1991</v>
      </c>
      <c r="T225" s="263"/>
      <c r="U225" s="263"/>
      <c r="V225" s="263"/>
      <c r="W225" s="263"/>
      <c r="X225" s="263"/>
      <c r="Y225" s="575"/>
      <c r="Z225" s="575"/>
      <c r="AA225" s="576">
        <f t="shared" si="18"/>
        <v>0</v>
      </c>
      <c r="AB225" s="722"/>
    </row>
    <row r="226" spans="1:28" ht="15.75" customHeight="1" x14ac:dyDescent="0.35">
      <c r="A226" s="68" t="s">
        <v>1966</v>
      </c>
      <c r="B226" s="23" t="s">
        <v>2004</v>
      </c>
      <c r="C226" s="83">
        <v>43782</v>
      </c>
      <c r="D226" s="112">
        <v>43803</v>
      </c>
      <c r="E226" s="570"/>
      <c r="F226" s="88" t="s">
        <v>1967</v>
      </c>
      <c r="G226" s="88" t="s">
        <v>162</v>
      </c>
      <c r="H226" s="81" t="s">
        <v>220</v>
      </c>
      <c r="I226" s="98" t="s">
        <v>1004</v>
      </c>
      <c r="J226" s="75">
        <f t="shared" si="20"/>
        <v>1</v>
      </c>
      <c r="K226" s="76" t="s">
        <v>211</v>
      </c>
      <c r="L226" s="99" t="s">
        <v>2019</v>
      </c>
      <c r="M226" s="81">
        <v>0</v>
      </c>
      <c r="N226" s="78" t="s">
        <v>19</v>
      </c>
      <c r="Q226" s="304" t="s">
        <v>2020</v>
      </c>
      <c r="R226" s="75">
        <f t="shared" si="21"/>
        <v>1</v>
      </c>
      <c r="S226" s="263" t="s">
        <v>1991</v>
      </c>
      <c r="T226" s="263"/>
      <c r="U226" s="263"/>
      <c r="V226" s="263"/>
      <c r="W226" s="263"/>
      <c r="X226" s="263"/>
      <c r="Y226" s="575"/>
      <c r="Z226" s="575"/>
      <c r="AA226" s="576">
        <f t="shared" si="18"/>
        <v>0</v>
      </c>
      <c r="AB226" s="722"/>
    </row>
    <row r="227" spans="1:28" ht="15.75" customHeight="1" x14ac:dyDescent="0.35">
      <c r="A227" s="68" t="s">
        <v>1968</v>
      </c>
      <c r="B227" s="23" t="s">
        <v>2005</v>
      </c>
      <c r="C227" s="83">
        <v>43782</v>
      </c>
      <c r="D227" s="112">
        <v>43803</v>
      </c>
      <c r="E227" s="570"/>
      <c r="F227" s="88" t="s">
        <v>1969</v>
      </c>
      <c r="G227" s="88" t="s">
        <v>156</v>
      </c>
      <c r="H227" s="81" t="s">
        <v>220</v>
      </c>
      <c r="I227" s="98" t="s">
        <v>695</v>
      </c>
      <c r="J227" s="75">
        <f t="shared" si="20"/>
        <v>1</v>
      </c>
      <c r="K227" s="76" t="s">
        <v>211</v>
      </c>
      <c r="L227" s="99" t="s">
        <v>1424</v>
      </c>
      <c r="M227" s="81">
        <v>0</v>
      </c>
      <c r="N227" s="78" t="s">
        <v>18</v>
      </c>
      <c r="Q227" s="304" t="s">
        <v>1909</v>
      </c>
      <c r="R227" s="75">
        <f t="shared" si="21"/>
        <v>1</v>
      </c>
      <c r="S227" s="263" t="s">
        <v>1991</v>
      </c>
      <c r="T227" s="263"/>
      <c r="U227" s="263"/>
      <c r="V227" s="263"/>
      <c r="W227" s="263"/>
      <c r="X227" s="263"/>
      <c r="Y227" s="575"/>
      <c r="Z227" s="575"/>
      <c r="AA227" s="576">
        <f t="shared" si="18"/>
        <v>0</v>
      </c>
      <c r="AB227" s="722"/>
    </row>
    <row r="228" spans="1:28" ht="15.75" customHeight="1" x14ac:dyDescent="0.35">
      <c r="A228" s="68" t="s">
        <v>1970</v>
      </c>
      <c r="B228" s="23" t="s">
        <v>2030</v>
      </c>
      <c r="C228" s="83">
        <v>43783</v>
      </c>
      <c r="D228" s="112">
        <v>43804</v>
      </c>
      <c r="E228" s="570"/>
      <c r="F228" s="88" t="s">
        <v>1971</v>
      </c>
      <c r="G228" s="88" t="s">
        <v>181</v>
      </c>
      <c r="H228" s="81" t="s">
        <v>220</v>
      </c>
      <c r="I228" s="98" t="s">
        <v>656</v>
      </c>
      <c r="J228" s="75">
        <f t="shared" si="20"/>
        <v>1</v>
      </c>
      <c r="K228" s="76" t="s">
        <v>211</v>
      </c>
      <c r="L228" s="99" t="s">
        <v>1353</v>
      </c>
      <c r="M228" s="81">
        <v>0</v>
      </c>
      <c r="N228" s="78" t="s">
        <v>17</v>
      </c>
      <c r="O228" s="114">
        <v>233024.12</v>
      </c>
      <c r="Q228" s="304" t="s">
        <v>1985</v>
      </c>
      <c r="R228" s="75">
        <f t="shared" si="21"/>
        <v>1</v>
      </c>
      <c r="S228" s="263" t="s">
        <v>1991</v>
      </c>
      <c r="T228" s="263"/>
      <c r="U228" s="263"/>
      <c r="V228" s="263"/>
      <c r="W228" s="263"/>
      <c r="X228" s="263"/>
      <c r="Y228" s="575"/>
      <c r="Z228" s="575"/>
      <c r="AA228" s="576">
        <f t="shared" si="18"/>
        <v>0</v>
      </c>
      <c r="AB228" s="722"/>
    </row>
    <row r="229" spans="1:28" ht="15.75" customHeight="1" x14ac:dyDescent="0.35">
      <c r="A229" s="68" t="s">
        <v>1976</v>
      </c>
      <c r="B229" s="23" t="s">
        <v>2032</v>
      </c>
      <c r="C229" s="83">
        <v>43784</v>
      </c>
      <c r="D229" s="112">
        <v>43805</v>
      </c>
      <c r="E229" s="570"/>
      <c r="F229" s="88" t="s">
        <v>1977</v>
      </c>
      <c r="G229" s="88" t="s">
        <v>154</v>
      </c>
      <c r="H229" s="81" t="s">
        <v>220</v>
      </c>
      <c r="I229" s="98" t="s">
        <v>656</v>
      </c>
      <c r="J229" s="75">
        <f t="shared" si="20"/>
        <v>1</v>
      </c>
      <c r="K229" s="76" t="s">
        <v>211</v>
      </c>
      <c r="L229" s="99" t="s">
        <v>2040</v>
      </c>
      <c r="M229" s="81">
        <v>0</v>
      </c>
      <c r="N229" s="78" t="s">
        <v>17</v>
      </c>
      <c r="O229" s="114">
        <v>248000</v>
      </c>
      <c r="Q229" s="304" t="s">
        <v>1894</v>
      </c>
      <c r="R229" s="75">
        <f t="shared" si="21"/>
        <v>1</v>
      </c>
      <c r="S229" s="263" t="s">
        <v>1991</v>
      </c>
      <c r="T229" s="263"/>
      <c r="U229" s="263"/>
      <c r="V229" s="263"/>
      <c r="W229" s="263"/>
      <c r="X229" s="263"/>
      <c r="Y229" s="575"/>
      <c r="Z229" s="575"/>
      <c r="AA229" s="576">
        <f t="shared" si="18"/>
        <v>0</v>
      </c>
      <c r="AB229" s="722"/>
    </row>
    <row r="230" spans="1:28" ht="15.75" customHeight="1" x14ac:dyDescent="0.35">
      <c r="A230" s="68" t="s">
        <v>1978</v>
      </c>
      <c r="B230" s="23" t="s">
        <v>2033</v>
      </c>
      <c r="C230" s="83">
        <v>43784</v>
      </c>
      <c r="D230" s="112">
        <v>43805</v>
      </c>
      <c r="E230" s="570"/>
      <c r="F230" s="88" t="s">
        <v>1979</v>
      </c>
      <c r="G230" s="88" t="s">
        <v>149</v>
      </c>
      <c r="H230" s="81" t="s">
        <v>220</v>
      </c>
      <c r="I230" s="98" t="s">
        <v>2036</v>
      </c>
      <c r="J230" s="75">
        <f t="shared" si="20"/>
        <v>1</v>
      </c>
      <c r="K230" s="76" t="s">
        <v>211</v>
      </c>
      <c r="L230" s="99" t="s">
        <v>2042</v>
      </c>
      <c r="M230" s="81">
        <v>0</v>
      </c>
      <c r="N230" s="78" t="s">
        <v>19</v>
      </c>
      <c r="Q230" s="304" t="s">
        <v>2020</v>
      </c>
      <c r="R230" s="75">
        <f t="shared" si="21"/>
        <v>1</v>
      </c>
      <c r="S230" s="263" t="s">
        <v>1991</v>
      </c>
      <c r="T230" s="263"/>
      <c r="U230" s="263"/>
      <c r="V230" s="263"/>
      <c r="W230" s="263"/>
      <c r="X230" s="263"/>
      <c r="Y230" s="575"/>
      <c r="Z230" s="575"/>
      <c r="AA230" s="576">
        <f t="shared" si="18"/>
        <v>0</v>
      </c>
      <c r="AB230" s="722"/>
    </row>
    <row r="231" spans="1:28" ht="15.75" customHeight="1" x14ac:dyDescent="0.35">
      <c r="A231" s="68" t="s">
        <v>1980</v>
      </c>
      <c r="B231" s="23" t="s">
        <v>2034</v>
      </c>
      <c r="C231" s="83">
        <v>43784</v>
      </c>
      <c r="D231" s="112">
        <v>43805</v>
      </c>
      <c r="E231" s="570"/>
      <c r="F231" s="255" t="s">
        <v>1981</v>
      </c>
      <c r="G231" s="88" t="s">
        <v>154</v>
      </c>
      <c r="H231" s="81" t="s">
        <v>220</v>
      </c>
      <c r="I231" s="98" t="s">
        <v>664</v>
      </c>
      <c r="J231" s="75">
        <f t="shared" si="20"/>
        <v>1</v>
      </c>
      <c r="K231" s="76" t="s">
        <v>211</v>
      </c>
      <c r="L231" s="99" t="s">
        <v>2041</v>
      </c>
      <c r="M231" s="81">
        <v>0</v>
      </c>
      <c r="N231" s="78" t="s">
        <v>19</v>
      </c>
      <c r="Q231" s="304" t="s">
        <v>1985</v>
      </c>
      <c r="R231" s="75">
        <f t="shared" si="21"/>
        <v>1</v>
      </c>
      <c r="S231" s="263" t="s">
        <v>1991</v>
      </c>
      <c r="T231" s="263"/>
      <c r="U231" s="263"/>
      <c r="V231" s="263"/>
      <c r="W231" s="263"/>
      <c r="X231" s="263"/>
      <c r="Y231" s="575"/>
      <c r="Z231" s="575"/>
      <c r="AA231" s="576">
        <f t="shared" si="18"/>
        <v>0</v>
      </c>
      <c r="AB231" s="722"/>
    </row>
    <row r="232" spans="1:28" ht="15.75" customHeight="1" x14ac:dyDescent="0.35">
      <c r="A232" s="68" t="s">
        <v>2046</v>
      </c>
      <c r="B232" s="23" t="s">
        <v>2050</v>
      </c>
      <c r="C232" s="83">
        <v>43787</v>
      </c>
      <c r="D232" s="112">
        <v>43809</v>
      </c>
      <c r="E232" s="570"/>
      <c r="F232" s="88" t="s">
        <v>2047</v>
      </c>
      <c r="G232" s="88" t="s">
        <v>176</v>
      </c>
      <c r="H232" s="81" t="s">
        <v>220</v>
      </c>
      <c r="I232" s="98" t="s">
        <v>1113</v>
      </c>
      <c r="J232" s="75">
        <f t="shared" si="20"/>
        <v>1</v>
      </c>
      <c r="K232" s="76" t="s">
        <v>211</v>
      </c>
      <c r="L232" s="99" t="s">
        <v>2052</v>
      </c>
      <c r="M232" s="81">
        <v>0</v>
      </c>
      <c r="N232" s="78" t="s">
        <v>19</v>
      </c>
      <c r="Q232" s="304" t="s">
        <v>1992</v>
      </c>
      <c r="R232" s="75">
        <f t="shared" si="21"/>
        <v>1</v>
      </c>
      <c r="S232" s="263" t="s">
        <v>1991</v>
      </c>
      <c r="T232" s="263"/>
      <c r="U232" s="263"/>
      <c r="V232" s="263"/>
      <c r="W232" s="263"/>
      <c r="X232" s="263"/>
      <c r="Y232" s="575"/>
      <c r="Z232" s="575"/>
      <c r="AA232" s="576">
        <f t="shared" si="18"/>
        <v>0</v>
      </c>
      <c r="AB232" s="722"/>
    </row>
    <row r="233" spans="1:28" ht="15.75" customHeight="1" x14ac:dyDescent="0.35">
      <c r="A233" s="68" t="s">
        <v>2048</v>
      </c>
      <c r="B233" s="23" t="s">
        <v>2051</v>
      </c>
      <c r="C233" s="83">
        <v>43787</v>
      </c>
      <c r="D233" s="112">
        <v>43809</v>
      </c>
      <c r="E233" s="570"/>
      <c r="F233" s="88" t="s">
        <v>2049</v>
      </c>
      <c r="G233" s="88" t="s">
        <v>152</v>
      </c>
      <c r="H233" s="81" t="s">
        <v>220</v>
      </c>
      <c r="I233" s="98" t="s">
        <v>2053</v>
      </c>
      <c r="J233" s="75">
        <f t="shared" si="20"/>
        <v>1</v>
      </c>
      <c r="K233" s="76" t="s">
        <v>211</v>
      </c>
      <c r="L233" s="99" t="s">
        <v>2219</v>
      </c>
      <c r="M233" s="81">
        <v>0</v>
      </c>
      <c r="N233" s="78" t="s">
        <v>18</v>
      </c>
      <c r="Q233" s="304" t="s">
        <v>1992</v>
      </c>
      <c r="R233" s="75">
        <f t="shared" si="21"/>
        <v>1</v>
      </c>
      <c r="S233" s="263" t="s">
        <v>1991</v>
      </c>
      <c r="T233" s="263"/>
      <c r="U233" s="263"/>
      <c r="V233" s="263"/>
      <c r="W233" s="263"/>
      <c r="X233" s="263"/>
      <c r="Y233" s="575"/>
      <c r="Z233" s="575"/>
      <c r="AA233" s="576">
        <f t="shared" si="18"/>
        <v>0</v>
      </c>
      <c r="AB233" s="722"/>
    </row>
    <row r="234" spans="1:28" ht="15.75" customHeight="1" x14ac:dyDescent="0.35">
      <c r="A234" s="68" t="s">
        <v>2054</v>
      </c>
      <c r="C234" s="83">
        <v>43756</v>
      </c>
      <c r="D234" s="112">
        <v>43808</v>
      </c>
      <c r="E234" s="570"/>
      <c r="F234" s="88" t="s">
        <v>2055</v>
      </c>
      <c r="G234" s="88" t="s">
        <v>158</v>
      </c>
      <c r="H234" s="81" t="s">
        <v>220</v>
      </c>
      <c r="J234" s="75">
        <f t="shared" si="20"/>
        <v>1</v>
      </c>
      <c r="K234" s="76" t="s">
        <v>211</v>
      </c>
      <c r="Q234" s="78" t="s">
        <v>2056</v>
      </c>
      <c r="R234" s="75">
        <f t="shared" si="21"/>
        <v>1</v>
      </c>
      <c r="S234" s="263" t="s">
        <v>1991</v>
      </c>
      <c r="T234" s="263"/>
      <c r="U234" s="263"/>
      <c r="V234" s="263"/>
      <c r="W234" s="263"/>
      <c r="X234" s="263"/>
      <c r="Y234" s="575"/>
      <c r="Z234" s="575"/>
      <c r="AA234" s="576">
        <f t="shared" si="18"/>
        <v>0</v>
      </c>
      <c r="AB234" s="722"/>
    </row>
    <row r="235" spans="1:28" ht="15.75" customHeight="1" x14ac:dyDescent="0.35">
      <c r="A235" s="68" t="s">
        <v>2057</v>
      </c>
      <c r="C235" s="83">
        <v>43762</v>
      </c>
      <c r="D235" s="112">
        <v>43808</v>
      </c>
      <c r="E235" s="570"/>
      <c r="F235" s="88" t="s">
        <v>2058</v>
      </c>
      <c r="G235" s="88" t="s">
        <v>154</v>
      </c>
      <c r="H235" s="81" t="s">
        <v>220</v>
      </c>
      <c r="I235" s="98" t="s">
        <v>2205</v>
      </c>
      <c r="J235" s="75">
        <f t="shared" si="20"/>
        <v>1</v>
      </c>
      <c r="K235" s="76" t="s">
        <v>211</v>
      </c>
      <c r="L235" s="99" t="s">
        <v>2206</v>
      </c>
      <c r="M235" s="81">
        <v>0</v>
      </c>
      <c r="N235" s="78" t="s">
        <v>17</v>
      </c>
      <c r="O235" s="114">
        <v>23377</v>
      </c>
      <c r="Q235" s="78" t="s">
        <v>2056</v>
      </c>
      <c r="R235" s="75">
        <f t="shared" si="21"/>
        <v>1</v>
      </c>
      <c r="S235" s="263" t="s">
        <v>1991</v>
      </c>
      <c r="T235" s="263"/>
      <c r="U235" s="263"/>
      <c r="V235" s="263"/>
      <c r="W235" s="263"/>
      <c r="X235" s="263"/>
      <c r="Y235" s="575"/>
      <c r="Z235" s="575"/>
      <c r="AA235" s="576">
        <f t="shared" si="18"/>
        <v>0</v>
      </c>
      <c r="AB235" s="722"/>
    </row>
    <row r="236" spans="1:28" ht="15.75" customHeight="1" x14ac:dyDescent="0.35">
      <c r="A236" s="68" t="s">
        <v>2059</v>
      </c>
      <c r="C236" s="83">
        <v>43762</v>
      </c>
      <c r="D236" s="122">
        <v>43808</v>
      </c>
      <c r="E236" s="570"/>
      <c r="F236" s="88" t="s">
        <v>2060</v>
      </c>
      <c r="G236" s="88" t="s">
        <v>154</v>
      </c>
      <c r="H236" s="81" t="s">
        <v>220</v>
      </c>
      <c r="I236" s="98" t="s">
        <v>2204</v>
      </c>
      <c r="J236" s="75">
        <f t="shared" si="20"/>
        <v>1</v>
      </c>
      <c r="K236" s="76" t="s">
        <v>211</v>
      </c>
      <c r="L236" s="99" t="s">
        <v>2203</v>
      </c>
      <c r="M236" s="81">
        <v>0</v>
      </c>
      <c r="N236" s="78" t="s">
        <v>18</v>
      </c>
      <c r="Q236" s="304" t="s">
        <v>2056</v>
      </c>
      <c r="R236" s="75">
        <f t="shared" si="21"/>
        <v>1</v>
      </c>
      <c r="S236" s="263" t="s">
        <v>1991</v>
      </c>
      <c r="T236" s="263"/>
      <c r="U236" s="263"/>
      <c r="V236" s="263"/>
      <c r="W236" s="263"/>
      <c r="X236" s="263"/>
      <c r="Y236" s="575"/>
      <c r="Z236" s="575"/>
      <c r="AA236" s="576">
        <f t="shared" si="18"/>
        <v>0</v>
      </c>
      <c r="AB236" s="722"/>
    </row>
    <row r="237" spans="1:28" ht="15.75" customHeight="1" x14ac:dyDescent="0.35">
      <c r="A237" s="68" t="s">
        <v>2061</v>
      </c>
      <c r="C237" s="83">
        <v>43768</v>
      </c>
      <c r="D237" s="83">
        <v>43812</v>
      </c>
      <c r="E237" s="570"/>
      <c r="F237" s="88" t="s">
        <v>2062</v>
      </c>
      <c r="G237" s="88" t="s">
        <v>177</v>
      </c>
      <c r="H237" s="81" t="s">
        <v>220</v>
      </c>
      <c r="J237" s="75">
        <f t="shared" si="20"/>
        <v>1</v>
      </c>
      <c r="K237" s="76" t="s">
        <v>221</v>
      </c>
      <c r="Q237" s="78" t="s">
        <v>2056</v>
      </c>
      <c r="R237" s="75">
        <f t="shared" si="21"/>
        <v>1</v>
      </c>
      <c r="S237" s="263" t="s">
        <v>1991</v>
      </c>
      <c r="T237" s="263"/>
      <c r="U237" s="263"/>
      <c r="V237" s="263"/>
      <c r="W237" s="263"/>
      <c r="X237" s="263"/>
      <c r="Y237" s="575"/>
      <c r="Z237" s="575"/>
      <c r="AA237" s="576">
        <f t="shared" si="18"/>
        <v>0</v>
      </c>
      <c r="AB237" s="722"/>
    </row>
    <row r="238" spans="1:28" ht="15.75" customHeight="1" x14ac:dyDescent="0.35">
      <c r="A238" s="68" t="s">
        <v>2063</v>
      </c>
      <c r="C238" s="83">
        <v>43770</v>
      </c>
      <c r="D238" s="112">
        <v>43808</v>
      </c>
      <c r="E238" s="570"/>
      <c r="F238" s="88" t="s">
        <v>2064</v>
      </c>
      <c r="G238" s="88" t="s">
        <v>160</v>
      </c>
      <c r="H238" s="81" t="s">
        <v>220</v>
      </c>
      <c r="I238" s="98" t="s">
        <v>649</v>
      </c>
      <c r="J238" s="75">
        <f t="shared" si="20"/>
        <v>1</v>
      </c>
      <c r="K238" s="76" t="s">
        <v>211</v>
      </c>
      <c r="L238" s="99" t="s">
        <v>2207</v>
      </c>
      <c r="M238" s="81">
        <v>0</v>
      </c>
      <c r="N238" s="78" t="s">
        <v>18</v>
      </c>
      <c r="Q238" s="78" t="s">
        <v>2056</v>
      </c>
      <c r="R238" s="75">
        <f t="shared" si="21"/>
        <v>1</v>
      </c>
      <c r="S238" s="263" t="s">
        <v>1991</v>
      </c>
      <c r="T238" s="263"/>
      <c r="U238" s="263"/>
      <c r="V238" s="263"/>
      <c r="W238" s="263"/>
      <c r="X238" s="263"/>
      <c r="Y238" s="575"/>
      <c r="Z238" s="575"/>
      <c r="AA238" s="576">
        <f t="shared" si="18"/>
        <v>0</v>
      </c>
      <c r="AB238" s="722"/>
    </row>
    <row r="239" spans="1:28" ht="15.75" customHeight="1" x14ac:dyDescent="0.35">
      <c r="A239" s="68" t="s">
        <v>2065</v>
      </c>
      <c r="C239" s="83">
        <v>43774</v>
      </c>
      <c r="D239" s="112">
        <v>43809</v>
      </c>
      <c r="E239" s="570"/>
      <c r="F239" s="88" t="s">
        <v>2066</v>
      </c>
      <c r="G239" s="88" t="s">
        <v>162</v>
      </c>
      <c r="H239" s="81" t="s">
        <v>220</v>
      </c>
      <c r="I239" s="98" t="s">
        <v>722</v>
      </c>
      <c r="J239" s="75">
        <f t="shared" si="20"/>
        <v>1</v>
      </c>
      <c r="K239" s="76" t="s">
        <v>211</v>
      </c>
      <c r="L239" s="99" t="s">
        <v>2211</v>
      </c>
      <c r="M239" s="81">
        <v>1</v>
      </c>
      <c r="N239" s="78" t="s">
        <v>17</v>
      </c>
      <c r="O239" s="114">
        <v>6100</v>
      </c>
      <c r="Q239" s="78" t="s">
        <v>2056</v>
      </c>
      <c r="R239" s="75">
        <f t="shared" si="21"/>
        <v>1</v>
      </c>
      <c r="S239" s="263" t="s">
        <v>1991</v>
      </c>
      <c r="T239" s="263"/>
      <c r="U239" s="263"/>
      <c r="V239" s="263"/>
      <c r="W239" s="263"/>
      <c r="X239" s="263"/>
      <c r="Y239" s="575"/>
      <c r="Z239" s="575"/>
      <c r="AA239" s="576">
        <f t="shared" si="18"/>
        <v>0</v>
      </c>
      <c r="AB239" s="722"/>
    </row>
    <row r="240" spans="1:28" ht="15.75" customHeight="1" x14ac:dyDescent="0.35">
      <c r="A240" s="68" t="s">
        <v>2067</v>
      </c>
      <c r="C240" s="83">
        <v>43774</v>
      </c>
      <c r="D240" s="112">
        <v>43810</v>
      </c>
      <c r="E240" s="570"/>
      <c r="F240" s="88" t="s">
        <v>2068</v>
      </c>
      <c r="G240" s="88" t="s">
        <v>156</v>
      </c>
      <c r="H240" s="81" t="s">
        <v>220</v>
      </c>
      <c r="J240" s="75">
        <f t="shared" si="20"/>
        <v>1</v>
      </c>
      <c r="K240" s="76" t="s">
        <v>211</v>
      </c>
      <c r="Q240" s="78" t="s">
        <v>2056</v>
      </c>
      <c r="R240" s="75">
        <f t="shared" si="21"/>
        <v>1</v>
      </c>
      <c r="S240" s="263" t="s">
        <v>1991</v>
      </c>
      <c r="T240" s="263"/>
      <c r="U240" s="263"/>
      <c r="V240" s="263"/>
      <c r="W240" s="263"/>
      <c r="X240" s="263"/>
      <c r="Y240" s="575"/>
      <c r="Z240" s="575"/>
      <c r="AA240" s="576">
        <f t="shared" si="18"/>
        <v>0</v>
      </c>
      <c r="AB240" s="722"/>
    </row>
    <row r="241" spans="1:28" ht="15.75" customHeight="1" x14ac:dyDescent="0.35">
      <c r="A241" s="68" t="s">
        <v>2069</v>
      </c>
      <c r="C241" s="83">
        <v>43776</v>
      </c>
      <c r="D241" s="112">
        <v>43811</v>
      </c>
      <c r="E241" s="570"/>
      <c r="F241" s="88" t="s">
        <v>2070</v>
      </c>
      <c r="G241" s="88" t="s">
        <v>158</v>
      </c>
      <c r="H241" s="81" t="s">
        <v>220</v>
      </c>
      <c r="J241" s="75">
        <f t="shared" si="20"/>
        <v>1</v>
      </c>
      <c r="K241" s="76" t="s">
        <v>211</v>
      </c>
      <c r="Q241" s="78" t="s">
        <v>2056</v>
      </c>
      <c r="R241" s="75">
        <f t="shared" si="21"/>
        <v>1</v>
      </c>
      <c r="S241" s="263" t="s">
        <v>1991</v>
      </c>
      <c r="T241" s="263"/>
      <c r="U241" s="263"/>
      <c r="V241" s="263"/>
      <c r="W241" s="263"/>
      <c r="X241" s="263"/>
      <c r="Y241" s="575"/>
      <c r="Z241" s="575"/>
      <c r="AA241" s="576">
        <f t="shared" si="18"/>
        <v>0</v>
      </c>
      <c r="AB241" s="722"/>
    </row>
    <row r="242" spans="1:28" ht="15.75" customHeight="1" x14ac:dyDescent="0.35">
      <c r="A242" s="68" t="s">
        <v>2073</v>
      </c>
      <c r="C242" s="83">
        <v>43787</v>
      </c>
      <c r="D242" s="112">
        <v>43809</v>
      </c>
      <c r="E242" s="570"/>
      <c r="F242" s="88" t="s">
        <v>2074</v>
      </c>
      <c r="G242" s="88" t="s">
        <v>158</v>
      </c>
      <c r="H242" s="81" t="s">
        <v>220</v>
      </c>
      <c r="I242" s="98" t="s">
        <v>649</v>
      </c>
      <c r="J242" s="75">
        <f t="shared" si="20"/>
        <v>1</v>
      </c>
      <c r="K242" s="76" t="s">
        <v>211</v>
      </c>
      <c r="L242" s="99" t="s">
        <v>2212</v>
      </c>
      <c r="M242" s="81">
        <v>0</v>
      </c>
      <c r="N242" s="78" t="s">
        <v>19</v>
      </c>
      <c r="Q242" s="78" t="s">
        <v>2056</v>
      </c>
      <c r="R242" s="75">
        <f t="shared" si="21"/>
        <v>1</v>
      </c>
      <c r="S242" s="263" t="s">
        <v>1991</v>
      </c>
      <c r="T242" s="263"/>
      <c r="U242" s="263"/>
      <c r="V242" s="263"/>
      <c r="W242" s="263"/>
      <c r="X242" s="263"/>
      <c r="Y242" s="575"/>
      <c r="Z242" s="575"/>
      <c r="AA242" s="576">
        <f t="shared" si="18"/>
        <v>0</v>
      </c>
      <c r="AB242" s="722"/>
    </row>
    <row r="243" spans="1:28" ht="15.75" customHeight="1" x14ac:dyDescent="0.35">
      <c r="A243" s="68" t="s">
        <v>2077</v>
      </c>
      <c r="C243" s="83">
        <v>43788</v>
      </c>
      <c r="D243" s="112">
        <v>43810</v>
      </c>
      <c r="E243" s="570"/>
      <c r="F243" s="88" t="s">
        <v>2078</v>
      </c>
      <c r="G243" s="88" t="s">
        <v>154</v>
      </c>
      <c r="H243" s="81" t="s">
        <v>220</v>
      </c>
      <c r="J243" s="75">
        <f t="shared" si="20"/>
        <v>1</v>
      </c>
      <c r="K243" s="76" t="s">
        <v>211</v>
      </c>
      <c r="N243" s="78" t="s">
        <v>19</v>
      </c>
      <c r="Q243" s="78" t="s">
        <v>2056</v>
      </c>
      <c r="R243" s="75">
        <f t="shared" si="21"/>
        <v>1</v>
      </c>
      <c r="S243" s="263" t="s">
        <v>1991</v>
      </c>
      <c r="T243" s="263"/>
      <c r="U243" s="263"/>
      <c r="V243" s="263"/>
      <c r="W243" s="263"/>
      <c r="X243" s="263"/>
      <c r="Y243" s="575"/>
      <c r="Z243" s="575"/>
      <c r="AA243" s="576">
        <f t="shared" si="18"/>
        <v>0</v>
      </c>
      <c r="AB243" s="722"/>
    </row>
    <row r="244" spans="1:28" ht="15.75" customHeight="1" x14ac:dyDescent="0.35">
      <c r="A244" s="68" t="s">
        <v>2083</v>
      </c>
      <c r="C244" s="83">
        <v>43790</v>
      </c>
      <c r="D244" s="112">
        <v>43811</v>
      </c>
      <c r="E244" s="570"/>
      <c r="F244" s="88" t="s">
        <v>2084</v>
      </c>
      <c r="G244" s="88" t="s">
        <v>152</v>
      </c>
      <c r="H244" s="81" t="s">
        <v>220</v>
      </c>
      <c r="J244" s="75">
        <f t="shared" ref="J244:J284" si="22">IF(OR(K244="Документы готовы",K244="Запрос в ФО",K244="ЭЗ",K244="РЕШ",K244="РЕШ шаблон"),0.1,IF(OR(K244="ЭЗ согласование",K244="РЕШ согласование"),0.3,IF(OR(K244="ЭЗ согласовано",K244="РЕШ согласовано",K244="РЕШ подписано"),0.6,IF(OR(K244="ЭЗ ПР согласование",K244="РЕШ УВ согласование"),0.9,IF(OR(K244="ЭЗ ПР DONE",K244="РЕШ УВ DONE"),1,0)))))</f>
        <v>1</v>
      </c>
      <c r="K244" s="76" t="s">
        <v>211</v>
      </c>
      <c r="Q244" s="78" t="s">
        <v>2056</v>
      </c>
      <c r="R244" s="75">
        <f t="shared" ref="R244:R284" si="23">IF(S244="В работе",0.3,IF(S244="Отписано",0.6,IF(S244="На доработку",0.9,IF(S244="Согласовано",1,0))))</f>
        <v>1</v>
      </c>
      <c r="S244" s="263" t="s">
        <v>1991</v>
      </c>
      <c r="T244" s="263"/>
      <c r="U244" s="263"/>
      <c r="V244" s="263"/>
      <c r="W244" s="263"/>
      <c r="X244" s="263"/>
      <c r="Y244" s="575"/>
      <c r="Z244" s="575"/>
      <c r="AA244" s="576">
        <f t="shared" si="18"/>
        <v>0</v>
      </c>
      <c r="AB244" s="722"/>
    </row>
    <row r="245" spans="1:28" ht="15.75" customHeight="1" x14ac:dyDescent="0.35">
      <c r="A245" s="68" t="s">
        <v>2095</v>
      </c>
      <c r="C245" s="83">
        <v>43752</v>
      </c>
      <c r="D245" s="83">
        <v>43810</v>
      </c>
      <c r="E245" s="570"/>
      <c r="F245" s="88" t="s">
        <v>2096</v>
      </c>
      <c r="G245" s="88" t="s">
        <v>154</v>
      </c>
      <c r="H245" s="81" t="s">
        <v>220</v>
      </c>
      <c r="I245" s="98" t="s">
        <v>1645</v>
      </c>
      <c r="J245" s="75">
        <f t="shared" si="22"/>
        <v>1</v>
      </c>
      <c r="K245" s="76" t="s">
        <v>211</v>
      </c>
      <c r="L245" s="99" t="s">
        <v>2221</v>
      </c>
      <c r="M245" s="81">
        <v>0</v>
      </c>
      <c r="N245" s="78" t="s">
        <v>18</v>
      </c>
      <c r="Q245" s="78" t="s">
        <v>2097</v>
      </c>
      <c r="R245" s="75">
        <f t="shared" si="23"/>
        <v>1</v>
      </c>
      <c r="S245" s="263" t="s">
        <v>1991</v>
      </c>
      <c r="T245" s="263"/>
      <c r="U245" s="263"/>
      <c r="V245" s="263"/>
      <c r="W245" s="263"/>
      <c r="X245" s="263"/>
      <c r="Y245" s="575"/>
      <c r="Z245" s="575"/>
      <c r="AA245" s="576">
        <f t="shared" si="18"/>
        <v>0</v>
      </c>
      <c r="AB245" s="722"/>
    </row>
    <row r="246" spans="1:28" ht="15.75" customHeight="1" x14ac:dyDescent="0.35">
      <c r="A246" s="68" t="s">
        <v>2098</v>
      </c>
      <c r="C246" s="83">
        <v>43762</v>
      </c>
      <c r="D246" s="112">
        <v>43808</v>
      </c>
      <c r="E246" s="570"/>
      <c r="F246" s="88" t="s">
        <v>2060</v>
      </c>
      <c r="G246" s="88" t="s">
        <v>154</v>
      </c>
      <c r="H246" s="81" t="s">
        <v>220</v>
      </c>
      <c r="I246" s="98" t="s">
        <v>2199</v>
      </c>
      <c r="J246" s="75">
        <f t="shared" si="22"/>
        <v>1</v>
      </c>
      <c r="K246" s="76" t="s">
        <v>211</v>
      </c>
      <c r="L246" s="99" t="s">
        <v>2200</v>
      </c>
      <c r="M246" s="81">
        <v>0</v>
      </c>
      <c r="N246" s="78" t="s">
        <v>17</v>
      </c>
      <c r="O246" s="114">
        <v>365000</v>
      </c>
      <c r="Q246" s="78" t="s">
        <v>2097</v>
      </c>
      <c r="R246" s="75">
        <f t="shared" si="23"/>
        <v>1</v>
      </c>
      <c r="S246" s="263" t="s">
        <v>1991</v>
      </c>
      <c r="T246" s="263"/>
      <c r="U246" s="263"/>
      <c r="V246" s="263"/>
      <c r="W246" s="263"/>
      <c r="X246" s="263"/>
      <c r="Y246" s="575"/>
      <c r="Z246" s="575"/>
      <c r="AA246" s="576">
        <f t="shared" si="18"/>
        <v>0</v>
      </c>
      <c r="AB246" s="722"/>
    </row>
    <row r="247" spans="1:28" ht="15.75" customHeight="1" x14ac:dyDescent="0.35">
      <c r="A247" s="68" t="s">
        <v>1784</v>
      </c>
      <c r="B247" s="23" t="s">
        <v>1846</v>
      </c>
      <c r="C247" s="83">
        <v>43770</v>
      </c>
      <c r="D247" s="112">
        <v>43809</v>
      </c>
      <c r="E247" s="570"/>
      <c r="F247" s="88" t="s">
        <v>1785</v>
      </c>
      <c r="G247" s="88" t="s">
        <v>154</v>
      </c>
      <c r="H247" s="81" t="s">
        <v>220</v>
      </c>
      <c r="I247" s="81" t="s">
        <v>1867</v>
      </c>
      <c r="J247" s="75">
        <f t="shared" si="22"/>
        <v>1</v>
      </c>
      <c r="K247" s="76" t="s">
        <v>211</v>
      </c>
      <c r="L247" s="99" t="s">
        <v>1868</v>
      </c>
      <c r="M247" s="81">
        <v>1</v>
      </c>
      <c r="N247" s="78" t="s">
        <v>17</v>
      </c>
      <c r="Q247" s="78" t="s">
        <v>2097</v>
      </c>
      <c r="R247" s="75">
        <f t="shared" si="23"/>
        <v>1</v>
      </c>
      <c r="S247" s="263" t="s">
        <v>1991</v>
      </c>
      <c r="T247" s="263"/>
      <c r="U247" s="263"/>
      <c r="V247" s="263"/>
      <c r="W247" s="263"/>
      <c r="X247" s="263"/>
      <c r="Y247" s="575"/>
      <c r="Z247" s="575"/>
      <c r="AA247" s="576">
        <f t="shared" si="18"/>
        <v>0</v>
      </c>
      <c r="AB247" s="722"/>
    </row>
    <row r="248" spans="1:28" ht="15.75" customHeight="1" x14ac:dyDescent="0.35">
      <c r="A248" s="68" t="s">
        <v>1786</v>
      </c>
      <c r="B248" s="23" t="s">
        <v>1847</v>
      </c>
      <c r="C248" s="83">
        <v>43770</v>
      </c>
      <c r="D248" s="112">
        <v>43809</v>
      </c>
      <c r="E248" s="570"/>
      <c r="F248" s="88" t="s">
        <v>1787</v>
      </c>
      <c r="G248" s="88" t="s">
        <v>158</v>
      </c>
      <c r="H248" s="81" t="s">
        <v>220</v>
      </c>
      <c r="I248" s="81" t="s">
        <v>1308</v>
      </c>
      <c r="J248" s="75">
        <f t="shared" si="22"/>
        <v>1</v>
      </c>
      <c r="K248" s="76" t="s">
        <v>211</v>
      </c>
      <c r="L248" s="88" t="s">
        <v>1869</v>
      </c>
      <c r="Q248" s="78" t="s">
        <v>2097</v>
      </c>
      <c r="R248" s="75">
        <f t="shared" si="23"/>
        <v>1</v>
      </c>
      <c r="S248" s="263" t="s">
        <v>1991</v>
      </c>
      <c r="T248" s="263"/>
      <c r="U248" s="263"/>
      <c r="V248" s="263"/>
      <c r="W248" s="263"/>
      <c r="X248" s="263"/>
      <c r="Y248" s="575"/>
      <c r="Z248" s="575"/>
      <c r="AA248" s="576">
        <f t="shared" si="18"/>
        <v>0</v>
      </c>
      <c r="AB248" s="722"/>
    </row>
    <row r="249" spans="1:28" ht="15.75" customHeight="1" x14ac:dyDescent="0.35">
      <c r="A249" s="68" t="s">
        <v>1796</v>
      </c>
      <c r="B249" s="23" t="s">
        <v>1842</v>
      </c>
      <c r="C249" s="83">
        <v>43770</v>
      </c>
      <c r="D249" s="112">
        <v>43808</v>
      </c>
      <c r="E249" s="570"/>
      <c r="F249" s="88" t="s">
        <v>1797</v>
      </c>
      <c r="G249" s="88" t="s">
        <v>156</v>
      </c>
      <c r="H249" s="81" t="s">
        <v>220</v>
      </c>
      <c r="I249" s="98" t="s">
        <v>652</v>
      </c>
      <c r="J249" s="75">
        <f t="shared" si="22"/>
        <v>1</v>
      </c>
      <c r="K249" s="76" t="s">
        <v>211</v>
      </c>
      <c r="L249" s="99" t="s">
        <v>1861</v>
      </c>
      <c r="M249" s="81">
        <v>1</v>
      </c>
      <c r="N249" s="78" t="s">
        <v>17</v>
      </c>
      <c r="Q249" s="78" t="s">
        <v>2097</v>
      </c>
      <c r="R249" s="75">
        <f t="shared" si="23"/>
        <v>1</v>
      </c>
      <c r="S249" s="263" t="s">
        <v>1991</v>
      </c>
      <c r="T249" s="263"/>
      <c r="U249" s="263"/>
      <c r="V249" s="263"/>
      <c r="W249" s="263"/>
      <c r="X249" s="263"/>
      <c r="Y249" s="575"/>
      <c r="Z249" s="575"/>
      <c r="AA249" s="576">
        <f t="shared" si="18"/>
        <v>0</v>
      </c>
      <c r="AB249" s="722"/>
    </row>
    <row r="250" spans="1:28" ht="15.75" customHeight="1" x14ac:dyDescent="0.35">
      <c r="A250" s="68" t="s">
        <v>1816</v>
      </c>
      <c r="B250" s="23" t="s">
        <v>1856</v>
      </c>
      <c r="C250" s="83">
        <v>43775</v>
      </c>
      <c r="D250" s="112">
        <v>43810</v>
      </c>
      <c r="E250" s="570"/>
      <c r="F250" s="88" t="s">
        <v>1817</v>
      </c>
      <c r="G250" s="88" t="s">
        <v>168</v>
      </c>
      <c r="H250" s="81" t="s">
        <v>220</v>
      </c>
      <c r="I250" s="81" t="s">
        <v>722</v>
      </c>
      <c r="J250" s="75">
        <f t="shared" si="22"/>
        <v>1</v>
      </c>
      <c r="K250" s="76" t="s">
        <v>211</v>
      </c>
      <c r="L250" s="88" t="s">
        <v>377</v>
      </c>
      <c r="Q250" s="78" t="s">
        <v>2097</v>
      </c>
      <c r="R250" s="75">
        <f t="shared" si="23"/>
        <v>1</v>
      </c>
      <c r="S250" s="263" t="s">
        <v>1991</v>
      </c>
      <c r="T250" s="263"/>
      <c r="U250" s="263"/>
      <c r="V250" s="263"/>
      <c r="W250" s="263"/>
      <c r="X250" s="263"/>
      <c r="Y250" s="575"/>
      <c r="Z250" s="575"/>
      <c r="AA250" s="576">
        <f t="shared" si="18"/>
        <v>0</v>
      </c>
      <c r="AB250" s="722"/>
    </row>
    <row r="251" spans="1:28" ht="15.75" customHeight="1" x14ac:dyDescent="0.35">
      <c r="A251" s="68" t="s">
        <v>2099</v>
      </c>
      <c r="C251" s="83">
        <v>43775</v>
      </c>
      <c r="D251" s="112">
        <v>43811</v>
      </c>
      <c r="E251" s="570"/>
      <c r="F251" s="88" t="s">
        <v>2100</v>
      </c>
      <c r="G251" s="88" t="s">
        <v>154</v>
      </c>
      <c r="H251" s="81" t="s">
        <v>220</v>
      </c>
      <c r="J251" s="75">
        <f t="shared" si="22"/>
        <v>1</v>
      </c>
      <c r="K251" s="76" t="s">
        <v>211</v>
      </c>
      <c r="Q251" s="78" t="s">
        <v>2097</v>
      </c>
      <c r="R251" s="75">
        <f t="shared" si="23"/>
        <v>1</v>
      </c>
      <c r="S251" s="263" t="s">
        <v>1991</v>
      </c>
      <c r="T251" s="263"/>
      <c r="U251" s="263"/>
      <c r="V251" s="263"/>
      <c r="W251" s="263"/>
      <c r="X251" s="263"/>
      <c r="Y251" s="575"/>
      <c r="Z251" s="575"/>
      <c r="AA251" s="576">
        <f t="shared" si="18"/>
        <v>0</v>
      </c>
      <c r="AB251" s="722"/>
    </row>
    <row r="252" spans="1:28" ht="15.75" customHeight="1" x14ac:dyDescent="0.35">
      <c r="A252" s="68" t="s">
        <v>2101</v>
      </c>
      <c r="C252" s="83">
        <v>43775</v>
      </c>
      <c r="D252" s="112">
        <v>43811</v>
      </c>
      <c r="E252" s="570"/>
      <c r="F252" s="88" t="s">
        <v>2102</v>
      </c>
      <c r="G252" s="88" t="s">
        <v>177</v>
      </c>
      <c r="H252" s="81" t="s">
        <v>220</v>
      </c>
      <c r="J252" s="75">
        <f t="shared" si="22"/>
        <v>1</v>
      </c>
      <c r="K252" s="76" t="s">
        <v>211</v>
      </c>
      <c r="Q252" s="78" t="s">
        <v>2097</v>
      </c>
      <c r="R252" s="75">
        <f t="shared" si="23"/>
        <v>1</v>
      </c>
      <c r="S252" s="263" t="s">
        <v>1991</v>
      </c>
      <c r="T252" s="263"/>
      <c r="U252" s="263"/>
      <c r="V252" s="263"/>
      <c r="W252" s="263"/>
      <c r="X252" s="263"/>
      <c r="Y252" s="575"/>
      <c r="Z252" s="575"/>
      <c r="AA252" s="576">
        <f t="shared" si="18"/>
        <v>0</v>
      </c>
      <c r="AB252" s="722"/>
    </row>
    <row r="253" spans="1:28" ht="15.75" customHeight="1" x14ac:dyDescent="0.35">
      <c r="A253" s="68" t="s">
        <v>2103</v>
      </c>
      <c r="C253" s="83">
        <v>43775</v>
      </c>
      <c r="D253" s="112">
        <v>43811</v>
      </c>
      <c r="E253" s="570"/>
      <c r="F253" s="88" t="s">
        <v>2104</v>
      </c>
      <c r="G253" s="88" t="s">
        <v>149</v>
      </c>
      <c r="H253" s="81" t="s">
        <v>220</v>
      </c>
      <c r="J253" s="75">
        <f t="shared" si="22"/>
        <v>1</v>
      </c>
      <c r="K253" s="76" t="s">
        <v>211</v>
      </c>
      <c r="Q253" s="78" t="s">
        <v>2097</v>
      </c>
      <c r="R253" s="75">
        <f t="shared" si="23"/>
        <v>1</v>
      </c>
      <c r="S253" s="263" t="s">
        <v>1991</v>
      </c>
      <c r="T253" s="263"/>
      <c r="U253" s="263"/>
      <c r="V253" s="263"/>
      <c r="W253" s="263"/>
      <c r="X253" s="263"/>
      <c r="Y253" s="575"/>
      <c r="Z253" s="575"/>
      <c r="AA253" s="576">
        <f t="shared" si="18"/>
        <v>0</v>
      </c>
      <c r="AB253" s="722"/>
    </row>
    <row r="254" spans="1:28" ht="15.75" customHeight="1" x14ac:dyDescent="0.35">
      <c r="A254" s="68" t="s">
        <v>1828</v>
      </c>
      <c r="B254" s="23" t="s">
        <v>1903</v>
      </c>
      <c r="C254" s="83">
        <v>43775</v>
      </c>
      <c r="D254" s="112">
        <v>43811</v>
      </c>
      <c r="E254" s="570"/>
      <c r="F254" s="88" t="s">
        <v>1829</v>
      </c>
      <c r="G254" s="88" t="s">
        <v>162</v>
      </c>
      <c r="H254" s="81" t="s">
        <v>220</v>
      </c>
      <c r="J254" s="75">
        <f t="shared" si="22"/>
        <v>1</v>
      </c>
      <c r="K254" s="76" t="s">
        <v>211</v>
      </c>
      <c r="L254" s="88" t="s">
        <v>377</v>
      </c>
      <c r="Q254" s="78" t="s">
        <v>2097</v>
      </c>
      <c r="R254" s="75">
        <f t="shared" si="23"/>
        <v>1</v>
      </c>
      <c r="S254" s="263" t="s">
        <v>1991</v>
      </c>
      <c r="T254" s="263"/>
      <c r="U254" s="263"/>
      <c r="V254" s="263"/>
      <c r="W254" s="263"/>
      <c r="X254" s="263"/>
      <c r="Y254" s="575"/>
      <c r="Z254" s="575"/>
      <c r="AA254" s="576">
        <f t="shared" si="18"/>
        <v>0</v>
      </c>
      <c r="AB254" s="722"/>
    </row>
    <row r="255" spans="1:28" ht="15.75" customHeight="1" x14ac:dyDescent="0.35">
      <c r="A255" s="68" t="s">
        <v>1836</v>
      </c>
      <c r="C255" s="83">
        <v>43776</v>
      </c>
      <c r="D255" s="112">
        <v>43812</v>
      </c>
      <c r="E255" s="570"/>
      <c r="F255" s="88" t="s">
        <v>1837</v>
      </c>
      <c r="G255" s="88" t="s">
        <v>158</v>
      </c>
      <c r="H255" s="81" t="s">
        <v>220</v>
      </c>
      <c r="J255" s="75">
        <f t="shared" si="22"/>
        <v>1</v>
      </c>
      <c r="K255" s="76" t="s">
        <v>211</v>
      </c>
      <c r="Q255" s="78" t="s">
        <v>2097</v>
      </c>
      <c r="R255" s="75">
        <f t="shared" si="23"/>
        <v>1</v>
      </c>
      <c r="S255" s="263" t="s">
        <v>1991</v>
      </c>
      <c r="T255" s="263"/>
      <c r="U255" s="263"/>
      <c r="V255" s="263"/>
      <c r="W255" s="263"/>
      <c r="X255" s="263"/>
      <c r="Y255" s="575"/>
      <c r="Z255" s="575"/>
      <c r="AA255" s="576">
        <f t="shared" si="18"/>
        <v>0</v>
      </c>
      <c r="AB255" s="722"/>
    </row>
    <row r="256" spans="1:28" ht="15.75" customHeight="1" x14ac:dyDescent="0.35">
      <c r="A256" s="68" t="s">
        <v>2107</v>
      </c>
      <c r="C256" s="83">
        <v>43784</v>
      </c>
      <c r="D256" s="112">
        <v>43808</v>
      </c>
      <c r="E256" s="570"/>
      <c r="F256" s="88" t="s">
        <v>2108</v>
      </c>
      <c r="G256" s="88" t="s">
        <v>417</v>
      </c>
      <c r="H256" s="81" t="s">
        <v>220</v>
      </c>
      <c r="I256" s="98" t="s">
        <v>1004</v>
      </c>
      <c r="J256" s="75">
        <f t="shared" si="22"/>
        <v>1</v>
      </c>
      <c r="K256" s="76" t="s">
        <v>211</v>
      </c>
      <c r="L256" s="99" t="s">
        <v>2019</v>
      </c>
      <c r="M256" s="81">
        <v>0</v>
      </c>
      <c r="N256" s="78" t="s">
        <v>19</v>
      </c>
      <c r="Q256" s="78" t="s">
        <v>2097</v>
      </c>
      <c r="R256" s="75">
        <f t="shared" si="23"/>
        <v>1</v>
      </c>
      <c r="S256" s="263" t="s">
        <v>1991</v>
      </c>
      <c r="T256" s="263"/>
      <c r="U256" s="263"/>
      <c r="V256" s="263"/>
      <c r="W256" s="263"/>
      <c r="X256" s="263"/>
      <c r="Y256" s="575"/>
      <c r="Z256" s="575"/>
      <c r="AA256" s="576">
        <f t="shared" si="18"/>
        <v>0</v>
      </c>
      <c r="AB256" s="722"/>
    </row>
    <row r="257" spans="1:28" ht="15.75" customHeight="1" x14ac:dyDescent="0.35">
      <c r="A257" s="68" t="s">
        <v>2109</v>
      </c>
      <c r="C257" s="83">
        <v>43784</v>
      </c>
      <c r="D257" s="112">
        <v>43808</v>
      </c>
      <c r="E257" s="570"/>
      <c r="F257" s="88" t="s">
        <v>2110</v>
      </c>
      <c r="G257" s="88" t="s">
        <v>154</v>
      </c>
      <c r="H257" s="81" t="s">
        <v>220</v>
      </c>
      <c r="I257" s="98" t="s">
        <v>863</v>
      </c>
      <c r="J257" s="75">
        <f t="shared" si="22"/>
        <v>1</v>
      </c>
      <c r="K257" s="76" t="s">
        <v>211</v>
      </c>
      <c r="M257" s="81">
        <v>0</v>
      </c>
      <c r="N257" s="78" t="s">
        <v>18</v>
      </c>
      <c r="Q257" s="78" t="s">
        <v>2097</v>
      </c>
      <c r="R257" s="75">
        <f t="shared" si="23"/>
        <v>1</v>
      </c>
      <c r="S257" s="263" t="s">
        <v>1991</v>
      </c>
      <c r="T257" s="263"/>
      <c r="U257" s="263"/>
      <c r="V257" s="263"/>
      <c r="W257" s="263"/>
      <c r="X257" s="263"/>
      <c r="Y257" s="575"/>
      <c r="Z257" s="575"/>
      <c r="AA257" s="576">
        <f t="shared" si="18"/>
        <v>0</v>
      </c>
      <c r="AB257" s="722"/>
    </row>
    <row r="258" spans="1:28" ht="15.75" customHeight="1" x14ac:dyDescent="0.35">
      <c r="A258" s="68" t="s">
        <v>2119</v>
      </c>
      <c r="C258" s="83">
        <v>43790</v>
      </c>
      <c r="D258" s="112">
        <v>43812</v>
      </c>
      <c r="E258" s="570"/>
      <c r="F258" s="88" t="s">
        <v>2120</v>
      </c>
      <c r="G258" s="88" t="s">
        <v>1393</v>
      </c>
      <c r="H258" s="81" t="s">
        <v>220</v>
      </c>
      <c r="J258" s="75">
        <f t="shared" si="22"/>
        <v>1</v>
      </c>
      <c r="K258" s="76" t="s">
        <v>211</v>
      </c>
      <c r="Q258" s="78" t="s">
        <v>2097</v>
      </c>
      <c r="R258" s="75">
        <f t="shared" si="23"/>
        <v>1</v>
      </c>
      <c r="S258" s="263" t="s">
        <v>1991</v>
      </c>
      <c r="T258" s="263"/>
      <c r="U258" s="263"/>
      <c r="V258" s="263"/>
      <c r="W258" s="263"/>
      <c r="X258" s="263"/>
      <c r="Y258" s="575"/>
      <c r="Z258" s="575"/>
      <c r="AA258" s="576">
        <f t="shared" si="18"/>
        <v>0</v>
      </c>
      <c r="AB258" s="722"/>
    </row>
    <row r="259" spans="1:28" ht="15.75" customHeight="1" x14ac:dyDescent="0.35">
      <c r="A259" s="68" t="s">
        <v>2126</v>
      </c>
      <c r="C259" s="83">
        <v>43790</v>
      </c>
      <c r="D259" s="112">
        <v>43812</v>
      </c>
      <c r="E259" s="570"/>
      <c r="F259" s="88" t="s">
        <v>2127</v>
      </c>
      <c r="G259" s="88" t="s">
        <v>152</v>
      </c>
      <c r="H259" s="81" t="s">
        <v>220</v>
      </c>
      <c r="J259" s="75">
        <f t="shared" si="22"/>
        <v>1</v>
      </c>
      <c r="K259" s="76" t="s">
        <v>211</v>
      </c>
      <c r="Q259" s="78" t="s">
        <v>2097</v>
      </c>
      <c r="R259" s="75">
        <f t="shared" si="23"/>
        <v>1</v>
      </c>
      <c r="S259" s="263" t="s">
        <v>1991</v>
      </c>
      <c r="T259" s="263"/>
      <c r="U259" s="263"/>
      <c r="V259" s="263"/>
      <c r="W259" s="263"/>
      <c r="X259" s="263"/>
      <c r="Y259" s="575"/>
      <c r="Z259" s="575"/>
      <c r="AA259" s="576">
        <f t="shared" ref="AA259:AA322" si="24">Z259-Y259</f>
        <v>0</v>
      </c>
      <c r="AB259" s="722"/>
    </row>
    <row r="260" spans="1:28" ht="15.75" customHeight="1" x14ac:dyDescent="0.35">
      <c r="A260" s="68" t="s">
        <v>2128</v>
      </c>
      <c r="C260" s="83">
        <v>43767</v>
      </c>
      <c r="D260" s="112">
        <v>43811</v>
      </c>
      <c r="E260" s="570"/>
      <c r="F260" s="88" t="s">
        <v>2129</v>
      </c>
      <c r="G260" s="88" t="s">
        <v>154</v>
      </c>
      <c r="H260" s="81" t="s">
        <v>220</v>
      </c>
      <c r="I260" s="98" t="s">
        <v>2222</v>
      </c>
      <c r="J260" s="75">
        <f t="shared" si="22"/>
        <v>1</v>
      </c>
      <c r="K260" s="76" t="s">
        <v>211</v>
      </c>
      <c r="L260" s="99" t="s">
        <v>2223</v>
      </c>
      <c r="N260" s="78" t="s">
        <v>18</v>
      </c>
      <c r="Q260" s="78" t="s">
        <v>2130</v>
      </c>
      <c r="R260" s="75">
        <f t="shared" si="23"/>
        <v>1</v>
      </c>
      <c r="S260" s="263" t="s">
        <v>1991</v>
      </c>
      <c r="T260" s="263"/>
      <c r="U260" s="263"/>
      <c r="V260" s="263"/>
      <c r="W260" s="263"/>
      <c r="X260" s="263"/>
      <c r="Y260" s="575"/>
      <c r="Z260" s="575"/>
      <c r="AA260" s="576">
        <f t="shared" si="24"/>
        <v>0</v>
      </c>
      <c r="AB260" s="722"/>
    </row>
    <row r="261" spans="1:28" ht="15.75" customHeight="1" x14ac:dyDescent="0.35">
      <c r="A261" s="68" t="s">
        <v>1808</v>
      </c>
      <c r="B261" s="23" t="s">
        <v>1852</v>
      </c>
      <c r="C261" s="83">
        <v>43775</v>
      </c>
      <c r="D261" s="112">
        <v>43810</v>
      </c>
      <c r="E261" s="570"/>
      <c r="F261" s="88" t="s">
        <v>1809</v>
      </c>
      <c r="G261" s="88" t="s">
        <v>152</v>
      </c>
      <c r="H261" s="81" t="s">
        <v>220</v>
      </c>
      <c r="I261" s="81" t="s">
        <v>649</v>
      </c>
      <c r="J261" s="75">
        <f t="shared" si="22"/>
        <v>1</v>
      </c>
      <c r="K261" s="76" t="s">
        <v>211</v>
      </c>
      <c r="L261" s="88" t="s">
        <v>2198</v>
      </c>
      <c r="Q261" s="78" t="s">
        <v>2130</v>
      </c>
      <c r="R261" s="75">
        <f t="shared" si="23"/>
        <v>1</v>
      </c>
      <c r="S261" s="263" t="s">
        <v>1991</v>
      </c>
      <c r="T261" s="263"/>
      <c r="U261" s="263"/>
      <c r="V261" s="263"/>
      <c r="W261" s="263"/>
      <c r="X261" s="263"/>
      <c r="Y261" s="575"/>
      <c r="Z261" s="575"/>
      <c r="AA261" s="576">
        <f t="shared" si="24"/>
        <v>0</v>
      </c>
      <c r="AB261" s="722"/>
    </row>
    <row r="262" spans="1:28" ht="15.75" customHeight="1" x14ac:dyDescent="0.35">
      <c r="A262" s="68" t="s">
        <v>1814</v>
      </c>
      <c r="B262" s="23" t="s">
        <v>1855</v>
      </c>
      <c r="C262" s="83">
        <v>43775</v>
      </c>
      <c r="D262" s="112">
        <v>43810</v>
      </c>
      <c r="E262" s="570"/>
      <c r="F262" s="88" t="s">
        <v>1815</v>
      </c>
      <c r="G262" s="88" t="s">
        <v>158</v>
      </c>
      <c r="H262" s="81" t="s">
        <v>220</v>
      </c>
      <c r="I262" s="81" t="s">
        <v>722</v>
      </c>
      <c r="J262" s="75">
        <f t="shared" si="22"/>
        <v>1</v>
      </c>
      <c r="K262" s="76" t="s">
        <v>211</v>
      </c>
      <c r="L262" s="99" t="s">
        <v>2217</v>
      </c>
      <c r="M262" s="81">
        <v>1</v>
      </c>
      <c r="N262" s="78" t="s">
        <v>18</v>
      </c>
      <c r="Q262" s="78" t="s">
        <v>2130</v>
      </c>
      <c r="R262" s="75">
        <f t="shared" si="23"/>
        <v>1</v>
      </c>
      <c r="S262" s="263" t="s">
        <v>1991</v>
      </c>
      <c r="T262" s="263"/>
      <c r="U262" s="263"/>
      <c r="V262" s="263"/>
      <c r="W262" s="263"/>
      <c r="X262" s="263"/>
      <c r="Y262" s="575"/>
      <c r="Z262" s="575"/>
      <c r="AA262" s="576">
        <f t="shared" si="24"/>
        <v>0</v>
      </c>
      <c r="AB262" s="722"/>
    </row>
    <row r="263" spans="1:28" ht="15.75" customHeight="1" x14ac:dyDescent="0.35">
      <c r="A263" s="68" t="s">
        <v>2131</v>
      </c>
      <c r="C263" s="83">
        <v>43775</v>
      </c>
      <c r="D263" s="112">
        <v>43811</v>
      </c>
      <c r="E263" s="570"/>
      <c r="F263" s="88" t="s">
        <v>2132</v>
      </c>
      <c r="G263" s="88" t="s">
        <v>176</v>
      </c>
      <c r="H263" s="81" t="s">
        <v>220</v>
      </c>
      <c r="J263" s="75">
        <f t="shared" si="22"/>
        <v>1</v>
      </c>
      <c r="K263" s="76" t="s">
        <v>211</v>
      </c>
      <c r="N263" s="78" t="s">
        <v>19</v>
      </c>
      <c r="Q263" s="78" t="s">
        <v>2130</v>
      </c>
      <c r="R263" s="75">
        <f t="shared" si="23"/>
        <v>1</v>
      </c>
      <c r="S263" s="263" t="s">
        <v>1991</v>
      </c>
      <c r="T263" s="263"/>
      <c r="U263" s="263"/>
      <c r="V263" s="263"/>
      <c r="W263" s="263"/>
      <c r="X263" s="263"/>
      <c r="Y263" s="575"/>
      <c r="Z263" s="575"/>
      <c r="AA263" s="576">
        <f t="shared" si="24"/>
        <v>0</v>
      </c>
      <c r="AB263" s="722"/>
    </row>
    <row r="264" spans="1:28" ht="15.75" customHeight="1" x14ac:dyDescent="0.35">
      <c r="A264" s="68" t="s">
        <v>2133</v>
      </c>
      <c r="C264" s="83">
        <v>43775</v>
      </c>
      <c r="D264" s="112">
        <v>43811</v>
      </c>
      <c r="E264" s="570"/>
      <c r="F264" s="88" t="s">
        <v>2134</v>
      </c>
      <c r="G264" s="88" t="s">
        <v>168</v>
      </c>
      <c r="H264" s="81" t="s">
        <v>220</v>
      </c>
      <c r="J264" s="75">
        <f t="shared" si="22"/>
        <v>1</v>
      </c>
      <c r="K264" s="76" t="s">
        <v>211</v>
      </c>
      <c r="Q264" s="78" t="s">
        <v>2130</v>
      </c>
      <c r="R264" s="75">
        <f t="shared" si="23"/>
        <v>1</v>
      </c>
      <c r="S264" s="263" t="s">
        <v>1991</v>
      </c>
      <c r="T264" s="263"/>
      <c r="U264" s="263"/>
      <c r="V264" s="263"/>
      <c r="W264" s="263"/>
      <c r="X264" s="263"/>
      <c r="Y264" s="575"/>
      <c r="Z264" s="575"/>
      <c r="AA264" s="576">
        <f t="shared" si="24"/>
        <v>0</v>
      </c>
      <c r="AB264" s="722"/>
    </row>
    <row r="265" spans="1:28" ht="15.75" customHeight="1" x14ac:dyDescent="0.35">
      <c r="A265" s="68" t="s">
        <v>1830</v>
      </c>
      <c r="B265" s="23" t="s">
        <v>1906</v>
      </c>
      <c r="C265" s="83">
        <v>43776</v>
      </c>
      <c r="D265" s="112">
        <v>43812</v>
      </c>
      <c r="E265" s="570"/>
      <c r="F265" s="88" t="s">
        <v>1831</v>
      </c>
      <c r="G265" s="88" t="s">
        <v>154</v>
      </c>
      <c r="H265" s="81" t="s">
        <v>220</v>
      </c>
      <c r="I265" s="98" t="s">
        <v>652</v>
      </c>
      <c r="J265" s="75">
        <f t="shared" si="22"/>
        <v>1</v>
      </c>
      <c r="K265" s="76" t="s">
        <v>211</v>
      </c>
      <c r="L265" s="99" t="s">
        <v>2045</v>
      </c>
      <c r="Q265" s="78" t="s">
        <v>2130</v>
      </c>
      <c r="R265" s="75">
        <f t="shared" si="23"/>
        <v>1</v>
      </c>
      <c r="S265" s="263" t="s">
        <v>1991</v>
      </c>
      <c r="T265" s="263"/>
      <c r="U265" s="263"/>
      <c r="V265" s="263"/>
      <c r="W265" s="263"/>
      <c r="X265" s="263"/>
      <c r="Y265" s="575"/>
      <c r="Z265" s="575"/>
      <c r="AA265" s="576">
        <f t="shared" si="24"/>
        <v>0</v>
      </c>
      <c r="AB265" s="722"/>
    </row>
    <row r="266" spans="1:28" ht="15.75" customHeight="1" x14ac:dyDescent="0.35">
      <c r="A266" s="68" t="s">
        <v>1834</v>
      </c>
      <c r="B266" s="23" t="s">
        <v>1908</v>
      </c>
      <c r="C266" s="83">
        <v>43776</v>
      </c>
      <c r="D266" s="112">
        <v>43812</v>
      </c>
      <c r="E266" s="570"/>
      <c r="F266" s="88" t="s">
        <v>1835</v>
      </c>
      <c r="G266" s="88" t="s">
        <v>162</v>
      </c>
      <c r="H266" s="81" t="s">
        <v>220</v>
      </c>
      <c r="J266" s="75">
        <f t="shared" si="22"/>
        <v>1</v>
      </c>
      <c r="K266" s="76" t="s">
        <v>211</v>
      </c>
      <c r="L266" s="99" t="s">
        <v>377</v>
      </c>
      <c r="Q266" s="78" t="s">
        <v>2130</v>
      </c>
      <c r="R266" s="75">
        <f t="shared" si="23"/>
        <v>1</v>
      </c>
      <c r="S266" s="263" t="s">
        <v>1991</v>
      </c>
      <c r="T266" s="263"/>
      <c r="U266" s="263"/>
      <c r="V266" s="263"/>
      <c r="W266" s="263"/>
      <c r="X266" s="263"/>
      <c r="Y266" s="575"/>
      <c r="Z266" s="575"/>
      <c r="AA266" s="576">
        <f t="shared" si="24"/>
        <v>0</v>
      </c>
      <c r="AB266" s="722"/>
    </row>
    <row r="267" spans="1:28" ht="15.75" customHeight="1" x14ac:dyDescent="0.35">
      <c r="A267" s="68" t="s">
        <v>2141</v>
      </c>
      <c r="C267" s="83">
        <v>43787</v>
      </c>
      <c r="D267" s="112">
        <v>43809</v>
      </c>
      <c r="E267" s="570"/>
      <c r="F267" s="88" t="s">
        <v>2142</v>
      </c>
      <c r="G267" s="88" t="s">
        <v>154</v>
      </c>
      <c r="H267" s="81" t="s">
        <v>220</v>
      </c>
      <c r="J267" s="75">
        <f t="shared" si="22"/>
        <v>1</v>
      </c>
      <c r="K267" s="76" t="s">
        <v>211</v>
      </c>
      <c r="L267" s="99" t="s">
        <v>1753</v>
      </c>
      <c r="M267" s="81">
        <v>0</v>
      </c>
      <c r="N267" s="78" t="s">
        <v>19</v>
      </c>
      <c r="Q267" s="78" t="s">
        <v>2130</v>
      </c>
      <c r="R267" s="75">
        <f t="shared" si="23"/>
        <v>1</v>
      </c>
      <c r="S267" s="263" t="s">
        <v>1991</v>
      </c>
      <c r="T267" s="263"/>
      <c r="U267" s="263"/>
      <c r="V267" s="263"/>
      <c r="W267" s="263"/>
      <c r="X267" s="263"/>
      <c r="Y267" s="575"/>
      <c r="Z267" s="575"/>
      <c r="AA267" s="576">
        <f t="shared" si="24"/>
        <v>0</v>
      </c>
      <c r="AB267" s="722"/>
    </row>
    <row r="268" spans="1:28" ht="15.75" customHeight="1" x14ac:dyDescent="0.35">
      <c r="A268" s="68" t="s">
        <v>2143</v>
      </c>
      <c r="C268" s="83">
        <v>43787</v>
      </c>
      <c r="D268" s="112">
        <v>43808</v>
      </c>
      <c r="E268" s="570"/>
      <c r="F268" s="88" t="s">
        <v>2144</v>
      </c>
      <c r="G268" s="88" t="s">
        <v>162</v>
      </c>
      <c r="H268" s="81" t="s">
        <v>220</v>
      </c>
      <c r="I268" s="98" t="s">
        <v>1004</v>
      </c>
      <c r="J268" s="75">
        <f t="shared" si="22"/>
        <v>1</v>
      </c>
      <c r="K268" s="76" t="s">
        <v>211</v>
      </c>
      <c r="L268" s="99" t="s">
        <v>1755</v>
      </c>
      <c r="M268" s="81">
        <v>0</v>
      </c>
      <c r="N268" s="78" t="s">
        <v>19</v>
      </c>
      <c r="Q268" s="78" t="s">
        <v>2130</v>
      </c>
      <c r="R268" s="75">
        <f t="shared" si="23"/>
        <v>1</v>
      </c>
      <c r="S268" s="263" t="s">
        <v>1991</v>
      </c>
      <c r="T268" s="263"/>
      <c r="U268" s="263"/>
      <c r="V268" s="263"/>
      <c r="W268" s="263"/>
      <c r="X268" s="263"/>
      <c r="Y268" s="575"/>
      <c r="Z268" s="575"/>
      <c r="AA268" s="576">
        <f t="shared" si="24"/>
        <v>0</v>
      </c>
      <c r="AB268" s="722"/>
    </row>
    <row r="269" spans="1:28" ht="15.75" customHeight="1" x14ac:dyDescent="0.35">
      <c r="A269" s="68" t="s">
        <v>2147</v>
      </c>
      <c r="C269" s="83">
        <v>43787</v>
      </c>
      <c r="D269" s="112">
        <v>43808</v>
      </c>
      <c r="E269" s="570"/>
      <c r="F269" s="88" t="s">
        <v>2148</v>
      </c>
      <c r="G269" s="88" t="s">
        <v>154</v>
      </c>
      <c r="H269" s="81" t="s">
        <v>220</v>
      </c>
      <c r="I269" s="98" t="s">
        <v>656</v>
      </c>
      <c r="J269" s="75">
        <f t="shared" si="22"/>
        <v>1</v>
      </c>
      <c r="K269" s="76" t="s">
        <v>211</v>
      </c>
      <c r="L269" s="99" t="s">
        <v>2201</v>
      </c>
      <c r="M269" s="81">
        <v>0</v>
      </c>
      <c r="N269" s="78" t="s">
        <v>17</v>
      </c>
      <c r="O269" s="114">
        <v>46346.19</v>
      </c>
      <c r="Q269" s="78" t="s">
        <v>2130</v>
      </c>
      <c r="R269" s="75">
        <f t="shared" si="23"/>
        <v>1</v>
      </c>
      <c r="S269" s="263" t="s">
        <v>1991</v>
      </c>
      <c r="T269" s="263"/>
      <c r="U269" s="263"/>
      <c r="V269" s="263"/>
      <c r="W269" s="263"/>
      <c r="X269" s="263"/>
      <c r="Y269" s="575"/>
      <c r="Z269" s="575"/>
      <c r="AA269" s="576">
        <f t="shared" si="24"/>
        <v>0</v>
      </c>
      <c r="AB269" s="722"/>
    </row>
    <row r="270" spans="1:28" ht="15.75" customHeight="1" x14ac:dyDescent="0.35">
      <c r="A270" s="68" t="s">
        <v>2149</v>
      </c>
      <c r="C270" s="83">
        <v>43787</v>
      </c>
      <c r="D270" s="112">
        <v>43808</v>
      </c>
      <c r="E270" s="570"/>
      <c r="F270" s="88" t="s">
        <v>2150</v>
      </c>
      <c r="G270" s="88" t="s">
        <v>191</v>
      </c>
      <c r="H270" s="81" t="s">
        <v>220</v>
      </c>
      <c r="I270" s="98" t="s">
        <v>1113</v>
      </c>
      <c r="J270" s="75">
        <f t="shared" si="22"/>
        <v>1</v>
      </c>
      <c r="K270" s="76" t="s">
        <v>211</v>
      </c>
      <c r="L270" s="99" t="s">
        <v>2210</v>
      </c>
      <c r="M270" s="81">
        <v>0</v>
      </c>
      <c r="N270" s="78" t="s">
        <v>19</v>
      </c>
      <c r="Q270" s="78" t="s">
        <v>2130</v>
      </c>
      <c r="R270" s="75">
        <f t="shared" si="23"/>
        <v>1</v>
      </c>
      <c r="S270" s="263" t="s">
        <v>1991</v>
      </c>
      <c r="T270" s="263"/>
      <c r="U270" s="263"/>
      <c r="V270" s="263"/>
      <c r="W270" s="263"/>
      <c r="X270" s="263"/>
      <c r="Y270" s="575"/>
      <c r="Z270" s="575"/>
      <c r="AA270" s="576">
        <f t="shared" si="24"/>
        <v>0</v>
      </c>
      <c r="AB270" s="722"/>
    </row>
    <row r="271" spans="1:28" ht="15.75" customHeight="1" x14ac:dyDescent="0.35">
      <c r="A271" s="68" t="s">
        <v>2151</v>
      </c>
      <c r="C271" s="83">
        <v>43789</v>
      </c>
      <c r="D271" s="112">
        <v>43810</v>
      </c>
      <c r="E271" s="570"/>
      <c r="F271" s="88" t="s">
        <v>2152</v>
      </c>
      <c r="G271" s="88" t="s">
        <v>162</v>
      </c>
      <c r="H271" s="81" t="s">
        <v>220</v>
      </c>
      <c r="I271" s="98" t="s">
        <v>1865</v>
      </c>
      <c r="J271" s="75">
        <f t="shared" si="22"/>
        <v>1</v>
      </c>
      <c r="K271" s="76" t="s">
        <v>211</v>
      </c>
      <c r="L271" s="99" t="s">
        <v>1353</v>
      </c>
      <c r="N271" s="78" t="s">
        <v>19</v>
      </c>
      <c r="Q271" s="78" t="s">
        <v>2130</v>
      </c>
      <c r="R271" s="75">
        <f t="shared" si="23"/>
        <v>1</v>
      </c>
      <c r="S271" s="263" t="s">
        <v>1991</v>
      </c>
      <c r="T271" s="263"/>
      <c r="U271" s="263"/>
      <c r="V271" s="263"/>
      <c r="W271" s="263"/>
      <c r="X271" s="263"/>
      <c r="Y271" s="575"/>
      <c r="Z271" s="575"/>
      <c r="AA271" s="576">
        <f t="shared" si="24"/>
        <v>0</v>
      </c>
      <c r="AB271" s="722"/>
    </row>
    <row r="272" spans="1:28" ht="15.75" customHeight="1" x14ac:dyDescent="0.35">
      <c r="A272" s="68" t="s">
        <v>2153</v>
      </c>
      <c r="C272" s="83">
        <v>43789</v>
      </c>
      <c r="D272" s="112">
        <v>43810</v>
      </c>
      <c r="E272" s="570"/>
      <c r="F272" s="88" t="s">
        <v>2154</v>
      </c>
      <c r="G272" s="88" t="s">
        <v>162</v>
      </c>
      <c r="H272" s="81" t="s">
        <v>220</v>
      </c>
      <c r="J272" s="75">
        <f t="shared" si="22"/>
        <v>1</v>
      </c>
      <c r="K272" s="76" t="s">
        <v>211</v>
      </c>
      <c r="L272" s="99" t="s">
        <v>2220</v>
      </c>
      <c r="M272" s="81">
        <v>0</v>
      </c>
      <c r="N272" s="78" t="s">
        <v>17</v>
      </c>
      <c r="Q272" s="78" t="s">
        <v>2130</v>
      </c>
      <c r="R272" s="75">
        <f t="shared" si="23"/>
        <v>1</v>
      </c>
      <c r="S272" s="263" t="s">
        <v>1991</v>
      </c>
      <c r="T272" s="263"/>
      <c r="U272" s="263"/>
      <c r="V272" s="263"/>
      <c r="W272" s="263"/>
      <c r="X272" s="263"/>
      <c r="Y272" s="575"/>
      <c r="Z272" s="575"/>
      <c r="AA272" s="576">
        <f t="shared" si="24"/>
        <v>0</v>
      </c>
      <c r="AB272" s="722"/>
    </row>
    <row r="273" spans="1:28" ht="15.75" customHeight="1" x14ac:dyDescent="0.35">
      <c r="A273" s="68" t="s">
        <v>2159</v>
      </c>
      <c r="C273" s="83">
        <v>43791</v>
      </c>
      <c r="D273" s="112">
        <v>43812</v>
      </c>
      <c r="E273" s="570"/>
      <c r="F273" s="88" t="s">
        <v>2160</v>
      </c>
      <c r="G273" s="88" t="s">
        <v>162</v>
      </c>
      <c r="H273" s="81" t="s">
        <v>220</v>
      </c>
      <c r="I273" s="98" t="s">
        <v>1294</v>
      </c>
      <c r="J273" s="75">
        <f t="shared" si="22"/>
        <v>1</v>
      </c>
      <c r="K273" s="76" t="s">
        <v>211</v>
      </c>
      <c r="N273" s="78" t="s">
        <v>19</v>
      </c>
      <c r="Q273" s="78" t="s">
        <v>2130</v>
      </c>
      <c r="R273" s="75">
        <f t="shared" si="23"/>
        <v>1</v>
      </c>
      <c r="S273" s="263" t="s">
        <v>1991</v>
      </c>
      <c r="T273" s="263"/>
      <c r="U273" s="263"/>
      <c r="V273" s="263"/>
      <c r="W273" s="263"/>
      <c r="X273" s="263"/>
      <c r="Y273" s="575"/>
      <c r="Z273" s="575"/>
      <c r="AA273" s="576">
        <f t="shared" si="24"/>
        <v>0</v>
      </c>
      <c r="AB273" s="722"/>
    </row>
    <row r="274" spans="1:28" ht="15.75" customHeight="1" x14ac:dyDescent="0.35">
      <c r="A274" s="68" t="s">
        <v>2161</v>
      </c>
      <c r="C274" s="83">
        <v>43761</v>
      </c>
      <c r="D274" s="112">
        <v>43812</v>
      </c>
      <c r="E274" s="570"/>
      <c r="F274" s="88" t="s">
        <v>2162</v>
      </c>
      <c r="G274" s="88" t="s">
        <v>158</v>
      </c>
      <c r="H274" s="81" t="s">
        <v>220</v>
      </c>
      <c r="J274" s="75">
        <f t="shared" si="22"/>
        <v>1</v>
      </c>
      <c r="K274" s="76" t="s">
        <v>211</v>
      </c>
      <c r="Q274" s="78" t="s">
        <v>2163</v>
      </c>
      <c r="R274" s="75">
        <f t="shared" si="23"/>
        <v>1</v>
      </c>
      <c r="S274" s="263" t="s">
        <v>1991</v>
      </c>
      <c r="T274" s="263"/>
      <c r="U274" s="263"/>
      <c r="V274" s="263"/>
      <c r="W274" s="263"/>
      <c r="X274" s="263"/>
      <c r="Y274" s="575"/>
      <c r="Z274" s="575"/>
      <c r="AA274" s="576">
        <f t="shared" si="24"/>
        <v>0</v>
      </c>
      <c r="AB274" s="722"/>
    </row>
    <row r="275" spans="1:28" ht="15.75" customHeight="1" x14ac:dyDescent="0.35">
      <c r="A275" s="68" t="s">
        <v>2164</v>
      </c>
      <c r="C275" s="83">
        <v>43762</v>
      </c>
      <c r="D275" s="112">
        <v>43808</v>
      </c>
      <c r="E275" s="570"/>
      <c r="F275" s="88" t="s">
        <v>2060</v>
      </c>
      <c r="G275" s="88" t="s">
        <v>154</v>
      </c>
      <c r="H275" s="81" t="s">
        <v>220</v>
      </c>
      <c r="I275" s="98" t="s">
        <v>656</v>
      </c>
      <c r="J275" s="75">
        <f t="shared" si="22"/>
        <v>1</v>
      </c>
      <c r="K275" s="76" t="s">
        <v>211</v>
      </c>
      <c r="L275" s="99" t="s">
        <v>2202</v>
      </c>
      <c r="M275" s="81">
        <v>0</v>
      </c>
      <c r="N275" s="78" t="s">
        <v>17</v>
      </c>
      <c r="O275" s="114">
        <v>207538.95</v>
      </c>
      <c r="Q275" s="78" t="s">
        <v>2163</v>
      </c>
      <c r="R275" s="75">
        <f t="shared" si="23"/>
        <v>1</v>
      </c>
      <c r="S275" s="263" t="s">
        <v>1991</v>
      </c>
      <c r="T275" s="263"/>
      <c r="U275" s="263"/>
      <c r="V275" s="263"/>
      <c r="W275" s="263"/>
      <c r="X275" s="263"/>
      <c r="Y275" s="575"/>
      <c r="Z275" s="575"/>
      <c r="AA275" s="576">
        <f t="shared" si="24"/>
        <v>0</v>
      </c>
      <c r="AB275" s="722"/>
    </row>
    <row r="276" spans="1:28" ht="15.75" customHeight="1" x14ac:dyDescent="0.35">
      <c r="A276" s="68" t="s">
        <v>2165</v>
      </c>
      <c r="C276" s="83">
        <v>43762</v>
      </c>
      <c r="D276" s="112">
        <v>43808</v>
      </c>
      <c r="E276" s="570"/>
      <c r="F276" s="88" t="s">
        <v>2060</v>
      </c>
      <c r="G276" s="88" t="s">
        <v>154</v>
      </c>
      <c r="H276" s="81" t="s">
        <v>220</v>
      </c>
      <c r="J276" s="75">
        <f t="shared" si="22"/>
        <v>1</v>
      </c>
      <c r="K276" s="76" t="s">
        <v>211</v>
      </c>
      <c r="M276" s="81">
        <v>0</v>
      </c>
      <c r="N276" s="78" t="s">
        <v>17</v>
      </c>
      <c r="Q276" s="78" t="s">
        <v>2163</v>
      </c>
      <c r="R276" s="75">
        <f t="shared" si="23"/>
        <v>1</v>
      </c>
      <c r="S276" s="263" t="s">
        <v>1991</v>
      </c>
      <c r="T276" s="263"/>
      <c r="U276" s="263"/>
      <c r="V276" s="263"/>
      <c r="W276" s="263"/>
      <c r="X276" s="263"/>
      <c r="Y276" s="575"/>
      <c r="Z276" s="575"/>
      <c r="AA276" s="576">
        <f t="shared" si="24"/>
        <v>0</v>
      </c>
      <c r="AB276" s="722"/>
    </row>
    <row r="277" spans="1:28" ht="15.75" customHeight="1" x14ac:dyDescent="0.35">
      <c r="A277" s="68" t="s">
        <v>2166</v>
      </c>
      <c r="C277" s="83">
        <v>43763</v>
      </c>
      <c r="D277" s="112">
        <v>43809</v>
      </c>
      <c r="E277" s="570"/>
      <c r="F277" s="88" t="s">
        <v>2167</v>
      </c>
      <c r="G277" s="88" t="s">
        <v>149</v>
      </c>
      <c r="H277" s="81" t="s">
        <v>220</v>
      </c>
      <c r="I277" s="98" t="s">
        <v>656</v>
      </c>
      <c r="J277" s="75">
        <f t="shared" si="22"/>
        <v>1</v>
      </c>
      <c r="K277" s="76" t="s">
        <v>211</v>
      </c>
      <c r="L277" s="99" t="s">
        <v>1353</v>
      </c>
      <c r="M277" s="81">
        <v>0</v>
      </c>
      <c r="N277" s="78" t="s">
        <v>17</v>
      </c>
      <c r="Q277" s="78" t="s">
        <v>2163</v>
      </c>
      <c r="R277" s="75">
        <f t="shared" si="23"/>
        <v>1</v>
      </c>
      <c r="S277" s="263" t="s">
        <v>1991</v>
      </c>
      <c r="T277" s="263"/>
      <c r="U277" s="263"/>
      <c r="V277" s="263"/>
      <c r="W277" s="263"/>
      <c r="X277" s="263"/>
      <c r="Y277" s="575"/>
      <c r="Z277" s="575"/>
      <c r="AA277" s="576">
        <f t="shared" si="24"/>
        <v>0</v>
      </c>
      <c r="AB277" s="722"/>
    </row>
    <row r="278" spans="1:28" ht="15.75" customHeight="1" x14ac:dyDescent="0.35">
      <c r="A278" s="68" t="s">
        <v>2168</v>
      </c>
      <c r="C278" s="83">
        <v>43763</v>
      </c>
      <c r="D278" s="112">
        <v>43809</v>
      </c>
      <c r="E278" s="570"/>
      <c r="F278" s="99" t="s">
        <v>2230</v>
      </c>
      <c r="G278" s="88" t="s">
        <v>154</v>
      </c>
      <c r="H278" s="81" t="s">
        <v>220</v>
      </c>
      <c r="I278" s="98" t="s">
        <v>2213</v>
      </c>
      <c r="J278" s="75">
        <f t="shared" si="22"/>
        <v>1</v>
      </c>
      <c r="K278" s="76" t="s">
        <v>211</v>
      </c>
      <c r="L278" s="99" t="s">
        <v>2218</v>
      </c>
      <c r="M278" s="81">
        <v>0</v>
      </c>
      <c r="N278" s="78" t="s">
        <v>18</v>
      </c>
      <c r="Q278" s="78" t="s">
        <v>2163</v>
      </c>
      <c r="R278" s="75">
        <f t="shared" si="23"/>
        <v>1</v>
      </c>
      <c r="S278" s="263" t="s">
        <v>1991</v>
      </c>
      <c r="T278" s="263"/>
      <c r="U278" s="263"/>
      <c r="V278" s="263"/>
      <c r="W278" s="263"/>
      <c r="X278" s="263"/>
      <c r="Y278" s="575"/>
      <c r="Z278" s="575"/>
      <c r="AA278" s="576">
        <f t="shared" si="24"/>
        <v>0</v>
      </c>
      <c r="AB278" s="722"/>
    </row>
    <row r="279" spans="1:28" ht="15.75" customHeight="1" x14ac:dyDescent="0.35">
      <c r="A279" s="68" t="s">
        <v>2169</v>
      </c>
      <c r="C279" s="83">
        <v>43770</v>
      </c>
      <c r="D279" s="112">
        <v>43809</v>
      </c>
      <c r="E279" s="570"/>
      <c r="F279" s="88" t="s">
        <v>2170</v>
      </c>
      <c r="G279" s="88" t="s">
        <v>162</v>
      </c>
      <c r="H279" s="81" t="s">
        <v>220</v>
      </c>
      <c r="I279" s="98" t="s">
        <v>649</v>
      </c>
      <c r="J279" s="75">
        <f t="shared" si="22"/>
        <v>1</v>
      </c>
      <c r="K279" s="76" t="s">
        <v>211</v>
      </c>
      <c r="L279" s="99" t="s">
        <v>2214</v>
      </c>
      <c r="M279" s="81">
        <v>1</v>
      </c>
      <c r="N279" s="78" t="s">
        <v>17</v>
      </c>
      <c r="Q279" s="78" t="s">
        <v>2163</v>
      </c>
      <c r="R279" s="75">
        <f t="shared" si="23"/>
        <v>1</v>
      </c>
      <c r="S279" s="263" t="s">
        <v>1991</v>
      </c>
      <c r="T279" s="263"/>
      <c r="U279" s="263"/>
      <c r="V279" s="263"/>
      <c r="W279" s="263"/>
      <c r="X279" s="263"/>
      <c r="Y279" s="575"/>
      <c r="Z279" s="575"/>
      <c r="AA279" s="576">
        <f t="shared" si="24"/>
        <v>0</v>
      </c>
      <c r="AB279" s="722"/>
    </row>
    <row r="280" spans="1:28" ht="15.75" customHeight="1" x14ac:dyDescent="0.35">
      <c r="A280" s="68" t="s">
        <v>2171</v>
      </c>
      <c r="C280" s="83">
        <v>43770</v>
      </c>
      <c r="D280" s="112">
        <v>43808</v>
      </c>
      <c r="E280" s="570"/>
      <c r="F280" s="88" t="s">
        <v>2172</v>
      </c>
      <c r="G280" s="88" t="s">
        <v>149</v>
      </c>
      <c r="H280" s="81" t="s">
        <v>220</v>
      </c>
      <c r="I280" s="98" t="s">
        <v>649</v>
      </c>
      <c r="J280" s="75">
        <f t="shared" si="22"/>
        <v>1</v>
      </c>
      <c r="K280" s="76" t="s">
        <v>211</v>
      </c>
      <c r="L280" s="99" t="s">
        <v>2207</v>
      </c>
      <c r="M280" s="81">
        <v>1</v>
      </c>
      <c r="N280" s="78" t="s">
        <v>18</v>
      </c>
      <c r="Q280" s="78" t="s">
        <v>2163</v>
      </c>
      <c r="R280" s="75">
        <f t="shared" si="23"/>
        <v>1</v>
      </c>
      <c r="S280" s="263" t="s">
        <v>1991</v>
      </c>
      <c r="T280" s="263"/>
      <c r="U280" s="263"/>
      <c r="V280" s="263"/>
      <c r="W280" s="263"/>
      <c r="X280" s="263"/>
      <c r="Y280" s="575"/>
      <c r="Z280" s="575"/>
      <c r="AA280" s="576">
        <f t="shared" si="24"/>
        <v>0</v>
      </c>
      <c r="AB280" s="722"/>
    </row>
    <row r="281" spans="1:28" ht="15.75" customHeight="1" x14ac:dyDescent="0.35">
      <c r="A281" s="68" t="s">
        <v>1792</v>
      </c>
      <c r="B281" s="23" t="s">
        <v>1840</v>
      </c>
      <c r="C281" s="83">
        <v>43770</v>
      </c>
      <c r="D281" s="112">
        <v>43808</v>
      </c>
      <c r="E281" s="570"/>
      <c r="F281" s="88" t="s">
        <v>1793</v>
      </c>
      <c r="G281" s="88" t="s">
        <v>162</v>
      </c>
      <c r="H281" s="81" t="s">
        <v>220</v>
      </c>
      <c r="I281" s="98" t="s">
        <v>649</v>
      </c>
      <c r="J281" s="75">
        <f t="shared" si="22"/>
        <v>1</v>
      </c>
      <c r="K281" s="76" t="s">
        <v>211</v>
      </c>
      <c r="L281" s="99" t="s">
        <v>2208</v>
      </c>
      <c r="M281" s="81">
        <v>1</v>
      </c>
      <c r="N281" s="78" t="s">
        <v>18</v>
      </c>
      <c r="Q281" s="78" t="s">
        <v>2163</v>
      </c>
      <c r="R281" s="75">
        <f t="shared" si="23"/>
        <v>1</v>
      </c>
      <c r="S281" s="263" t="s">
        <v>1991</v>
      </c>
      <c r="T281" s="263"/>
      <c r="U281" s="263"/>
      <c r="V281" s="263"/>
      <c r="W281" s="263"/>
      <c r="X281" s="263"/>
      <c r="Y281" s="575"/>
      <c r="Z281" s="575"/>
      <c r="AA281" s="576">
        <f t="shared" si="24"/>
        <v>0</v>
      </c>
      <c r="AB281" s="722"/>
    </row>
    <row r="282" spans="1:28" ht="15.75" customHeight="1" x14ac:dyDescent="0.35">
      <c r="A282" s="68" t="s">
        <v>2173</v>
      </c>
      <c r="C282" s="83">
        <v>43774</v>
      </c>
      <c r="D282" s="83">
        <v>43810</v>
      </c>
      <c r="E282" s="570"/>
      <c r="F282" s="88" t="s">
        <v>2174</v>
      </c>
      <c r="G282" s="88" t="s">
        <v>198</v>
      </c>
      <c r="H282" s="81" t="s">
        <v>220</v>
      </c>
      <c r="J282" s="75">
        <f t="shared" si="22"/>
        <v>1</v>
      </c>
      <c r="K282" s="76" t="s">
        <v>211</v>
      </c>
      <c r="Q282" s="78" t="s">
        <v>2163</v>
      </c>
      <c r="R282" s="75">
        <f t="shared" si="23"/>
        <v>1</v>
      </c>
      <c r="S282" s="263" t="s">
        <v>1991</v>
      </c>
      <c r="T282" s="263"/>
      <c r="U282" s="263"/>
      <c r="V282" s="263"/>
      <c r="W282" s="263"/>
      <c r="X282" s="263"/>
      <c r="Y282" s="575"/>
      <c r="Z282" s="575"/>
      <c r="AA282" s="576">
        <f t="shared" si="24"/>
        <v>0</v>
      </c>
      <c r="AB282" s="722"/>
    </row>
    <row r="283" spans="1:28" ht="15.75" customHeight="1" x14ac:dyDescent="0.35">
      <c r="A283" s="68" t="s">
        <v>2175</v>
      </c>
      <c r="C283" s="83">
        <v>43774</v>
      </c>
      <c r="D283" s="112">
        <v>43810</v>
      </c>
      <c r="E283" s="570"/>
      <c r="F283" s="88" t="s">
        <v>2176</v>
      </c>
      <c r="G283" s="88" t="s">
        <v>417</v>
      </c>
      <c r="H283" s="81" t="s">
        <v>220</v>
      </c>
      <c r="J283" s="75">
        <f t="shared" si="22"/>
        <v>1</v>
      </c>
      <c r="K283" s="76" t="s">
        <v>211</v>
      </c>
      <c r="Q283" s="78" t="s">
        <v>2163</v>
      </c>
      <c r="R283" s="75">
        <f t="shared" si="23"/>
        <v>1</v>
      </c>
      <c r="S283" s="263" t="s">
        <v>1991</v>
      </c>
      <c r="T283" s="263"/>
      <c r="U283" s="263"/>
      <c r="V283" s="263"/>
      <c r="W283" s="263"/>
      <c r="X283" s="263"/>
      <c r="Y283" s="575"/>
      <c r="Z283" s="575"/>
      <c r="AA283" s="576">
        <f t="shared" si="24"/>
        <v>0</v>
      </c>
      <c r="AB283" s="722"/>
    </row>
    <row r="284" spans="1:28" ht="15.75" customHeight="1" x14ac:dyDescent="0.35">
      <c r="A284" s="68" t="s">
        <v>1804</v>
      </c>
      <c r="B284" s="23" t="s">
        <v>1850</v>
      </c>
      <c r="C284" s="83">
        <v>43775</v>
      </c>
      <c r="D284" s="112">
        <v>43810</v>
      </c>
      <c r="E284" s="570"/>
      <c r="F284" s="88" t="s">
        <v>1805</v>
      </c>
      <c r="G284" s="88" t="s">
        <v>149</v>
      </c>
      <c r="I284" s="81" t="s">
        <v>722</v>
      </c>
      <c r="J284" s="75">
        <f t="shared" si="22"/>
        <v>1</v>
      </c>
      <c r="K284" s="76" t="s">
        <v>211</v>
      </c>
      <c r="L284" s="99" t="s">
        <v>2197</v>
      </c>
      <c r="Q284" s="78" t="s">
        <v>2163</v>
      </c>
      <c r="R284" s="75">
        <f t="shared" si="23"/>
        <v>1</v>
      </c>
      <c r="S284" s="263" t="s">
        <v>1991</v>
      </c>
      <c r="T284" s="263"/>
      <c r="U284" s="263"/>
      <c r="V284" s="263"/>
      <c r="W284" s="263"/>
      <c r="X284" s="263"/>
      <c r="Y284" s="575"/>
      <c r="Z284" s="575"/>
      <c r="AA284" s="576">
        <f t="shared" si="24"/>
        <v>0</v>
      </c>
      <c r="AB284" s="722"/>
    </row>
    <row r="285" spans="1:28" ht="15.75" customHeight="1" x14ac:dyDescent="0.35">
      <c r="A285" s="68" t="s">
        <v>2177</v>
      </c>
      <c r="C285" s="83">
        <v>43775</v>
      </c>
      <c r="D285" s="112">
        <v>43811</v>
      </c>
      <c r="E285" s="570"/>
      <c r="F285" s="88" t="s">
        <v>2178</v>
      </c>
      <c r="G285" s="88" t="s">
        <v>154</v>
      </c>
      <c r="H285" s="81" t="s">
        <v>220</v>
      </c>
      <c r="J285" s="75">
        <f t="shared" ref="J285:J313" si="25">IF(OR(K285="Документы готовы",K285="Запрос в ФО",K285="ЭЗ",K285="РЕШ",K285="РЕШ шаблон"),0.1,IF(OR(K285="ЭЗ согласование",K285="РЕШ согласование"),0.3,IF(OR(K285="ЭЗ согласовано",K285="РЕШ согласовано",K285="РЕШ подписано"),0.6,IF(OR(K285="ЭЗ ПР согласование",K285="РЕШ УВ согласование"),0.9,IF(OR(K285="ЭЗ ПР DONE",K285="РЕШ УВ DONE"),1,0)))))</f>
        <v>1</v>
      </c>
      <c r="K285" s="76" t="s">
        <v>211</v>
      </c>
      <c r="Q285" s="78" t="s">
        <v>2163</v>
      </c>
      <c r="R285" s="75">
        <f t="shared" ref="R285:R313" si="26">IF(S285="В работе",0.3,IF(S285="Отписано",0.6,IF(S285="На доработку",0.9,IF(S285="Согласовано",1,0))))</f>
        <v>1</v>
      </c>
      <c r="S285" s="263" t="s">
        <v>1991</v>
      </c>
      <c r="T285" s="263"/>
      <c r="U285" s="263"/>
      <c r="V285" s="263"/>
      <c r="W285" s="263"/>
      <c r="X285" s="263"/>
      <c r="Y285" s="575"/>
      <c r="Z285" s="575"/>
      <c r="AA285" s="576">
        <f t="shared" si="24"/>
        <v>0</v>
      </c>
      <c r="AB285" s="722"/>
    </row>
    <row r="286" spans="1:28" ht="15.75" customHeight="1" x14ac:dyDescent="0.35">
      <c r="A286" s="68" t="s">
        <v>2179</v>
      </c>
      <c r="C286" s="83">
        <v>43775</v>
      </c>
      <c r="D286" s="112">
        <v>43811</v>
      </c>
      <c r="E286" s="570"/>
      <c r="F286" s="88" t="s">
        <v>2180</v>
      </c>
      <c r="G286" s="88" t="s">
        <v>162</v>
      </c>
      <c r="H286" s="81" t="s">
        <v>220</v>
      </c>
      <c r="J286" s="75">
        <f t="shared" si="25"/>
        <v>1</v>
      </c>
      <c r="K286" s="76" t="s">
        <v>211</v>
      </c>
      <c r="Q286" s="78" t="s">
        <v>2163</v>
      </c>
      <c r="R286" s="75">
        <f t="shared" si="26"/>
        <v>1</v>
      </c>
      <c r="S286" s="263" t="s">
        <v>1991</v>
      </c>
      <c r="T286" s="263"/>
      <c r="U286" s="263"/>
      <c r="V286" s="263"/>
      <c r="W286" s="263"/>
      <c r="X286" s="263"/>
      <c r="Y286" s="575"/>
      <c r="Z286" s="575"/>
      <c r="AA286" s="576">
        <f t="shared" si="24"/>
        <v>0</v>
      </c>
      <c r="AB286" s="722"/>
    </row>
    <row r="287" spans="1:28" ht="15.75" customHeight="1" x14ac:dyDescent="0.35">
      <c r="A287" s="68" t="s">
        <v>2181</v>
      </c>
      <c r="C287" s="83">
        <v>43776</v>
      </c>
      <c r="D287" s="112">
        <v>43812</v>
      </c>
      <c r="E287" s="570"/>
      <c r="F287" s="88" t="s">
        <v>2182</v>
      </c>
      <c r="G287" s="88" t="s">
        <v>154</v>
      </c>
      <c r="H287" s="81" t="s">
        <v>220</v>
      </c>
      <c r="J287" s="75">
        <f t="shared" si="25"/>
        <v>1</v>
      </c>
      <c r="K287" s="76" t="s">
        <v>211</v>
      </c>
      <c r="Q287" s="78" t="s">
        <v>2163</v>
      </c>
      <c r="R287" s="75">
        <f t="shared" si="26"/>
        <v>1</v>
      </c>
      <c r="S287" s="263" t="s">
        <v>1991</v>
      </c>
      <c r="T287" s="263"/>
      <c r="U287" s="263"/>
      <c r="V287" s="263"/>
      <c r="W287" s="263"/>
      <c r="X287" s="263"/>
      <c r="Y287" s="575"/>
      <c r="Z287" s="575"/>
      <c r="AA287" s="576">
        <f t="shared" si="24"/>
        <v>0</v>
      </c>
      <c r="AB287" s="722"/>
    </row>
    <row r="288" spans="1:28" ht="15.75" customHeight="1" x14ac:dyDescent="0.35">
      <c r="A288" s="68" t="s">
        <v>2183</v>
      </c>
      <c r="C288" s="83">
        <v>43788</v>
      </c>
      <c r="D288" s="112">
        <v>43809</v>
      </c>
      <c r="E288" s="570"/>
      <c r="F288" s="88" t="s">
        <v>2184</v>
      </c>
      <c r="G288" s="88" t="s">
        <v>156</v>
      </c>
      <c r="H288" s="81" t="s">
        <v>220</v>
      </c>
      <c r="I288" s="98" t="s">
        <v>2215</v>
      </c>
      <c r="J288" s="75">
        <f t="shared" si="25"/>
        <v>1</v>
      </c>
      <c r="K288" s="76" t="s">
        <v>211</v>
      </c>
      <c r="L288" s="99" t="s">
        <v>2216</v>
      </c>
      <c r="M288" s="81">
        <v>0</v>
      </c>
      <c r="N288" s="78" t="s">
        <v>18</v>
      </c>
      <c r="Q288" s="78" t="s">
        <v>2163</v>
      </c>
      <c r="R288" s="75">
        <f t="shared" si="26"/>
        <v>1</v>
      </c>
      <c r="S288" s="263" t="s">
        <v>1991</v>
      </c>
      <c r="T288" s="263"/>
      <c r="U288" s="263"/>
      <c r="V288" s="263"/>
      <c r="W288" s="263"/>
      <c r="X288" s="263"/>
      <c r="Y288" s="575"/>
      <c r="Z288" s="575"/>
      <c r="AA288" s="576">
        <f t="shared" si="24"/>
        <v>0</v>
      </c>
      <c r="AB288" s="722"/>
    </row>
    <row r="289" spans="1:32" ht="15.75" customHeight="1" x14ac:dyDescent="0.35">
      <c r="A289" s="68" t="s">
        <v>2187</v>
      </c>
      <c r="C289" s="83">
        <v>43790</v>
      </c>
      <c r="D289" s="112">
        <v>43811</v>
      </c>
      <c r="E289" s="570"/>
      <c r="F289" s="88" t="s">
        <v>2188</v>
      </c>
      <c r="G289" s="88" t="s">
        <v>162</v>
      </c>
      <c r="H289" s="81" t="s">
        <v>220</v>
      </c>
      <c r="J289" s="75">
        <f t="shared" si="25"/>
        <v>1</v>
      </c>
      <c r="K289" s="76" t="s">
        <v>211</v>
      </c>
      <c r="Q289" s="78" t="s">
        <v>2163</v>
      </c>
      <c r="R289" s="75">
        <f t="shared" si="26"/>
        <v>1</v>
      </c>
      <c r="S289" s="263" t="s">
        <v>1991</v>
      </c>
      <c r="T289" s="263"/>
      <c r="U289" s="263"/>
      <c r="V289" s="263"/>
      <c r="W289" s="263"/>
      <c r="X289" s="263"/>
      <c r="Y289" s="575"/>
      <c r="Z289" s="575"/>
      <c r="AA289" s="576">
        <f t="shared" si="24"/>
        <v>0</v>
      </c>
      <c r="AB289" s="722"/>
    </row>
    <row r="290" spans="1:32" ht="15.75" customHeight="1" x14ac:dyDescent="0.35">
      <c r="A290" s="68" t="s">
        <v>2189</v>
      </c>
      <c r="C290" s="83">
        <v>43790</v>
      </c>
      <c r="D290" s="112">
        <v>43811</v>
      </c>
      <c r="E290" s="570"/>
      <c r="F290" s="88" t="s">
        <v>2190</v>
      </c>
      <c r="G290" s="88" t="s">
        <v>152</v>
      </c>
      <c r="H290" s="81" t="s">
        <v>220</v>
      </c>
      <c r="J290" s="75">
        <f t="shared" si="25"/>
        <v>1</v>
      </c>
      <c r="K290" s="76" t="s">
        <v>211</v>
      </c>
      <c r="Q290" s="78" t="s">
        <v>2163</v>
      </c>
      <c r="R290" s="75">
        <f t="shared" si="26"/>
        <v>1</v>
      </c>
      <c r="S290" s="263" t="s">
        <v>1991</v>
      </c>
      <c r="T290" s="263"/>
      <c r="U290" s="263"/>
      <c r="V290" s="263"/>
      <c r="W290" s="263"/>
      <c r="X290" s="263"/>
      <c r="Y290" s="575"/>
      <c r="Z290" s="575"/>
      <c r="AA290" s="576">
        <f t="shared" si="24"/>
        <v>0</v>
      </c>
      <c r="AB290" s="722"/>
    </row>
    <row r="291" spans="1:32" ht="15.75" customHeight="1" x14ac:dyDescent="0.35">
      <c r="A291" s="68" t="s">
        <v>2191</v>
      </c>
      <c r="C291" s="83">
        <v>43790</v>
      </c>
      <c r="D291" s="112">
        <v>43811</v>
      </c>
      <c r="E291" s="570"/>
      <c r="F291" s="88" t="s">
        <v>2192</v>
      </c>
      <c r="G291" s="88" t="s">
        <v>176</v>
      </c>
      <c r="H291" s="81" t="s">
        <v>220</v>
      </c>
      <c r="J291" s="75">
        <f t="shared" si="25"/>
        <v>1</v>
      </c>
      <c r="K291" s="76" t="s">
        <v>211</v>
      </c>
      <c r="Q291" s="78" t="s">
        <v>2163</v>
      </c>
      <c r="R291" s="75">
        <f t="shared" si="26"/>
        <v>1</v>
      </c>
      <c r="S291" s="263" t="s">
        <v>1991</v>
      </c>
      <c r="T291" s="263"/>
      <c r="U291" s="263"/>
      <c r="V291" s="263"/>
      <c r="W291" s="263"/>
      <c r="X291" s="263"/>
      <c r="Y291" s="575"/>
      <c r="Z291" s="575"/>
      <c r="AA291" s="576">
        <f t="shared" si="24"/>
        <v>0</v>
      </c>
      <c r="AB291" s="722"/>
    </row>
    <row r="292" spans="1:32" ht="15.75" customHeight="1" x14ac:dyDescent="0.35">
      <c r="A292" s="68" t="s">
        <v>2193</v>
      </c>
      <c r="C292" s="83">
        <v>43791</v>
      </c>
      <c r="D292" s="112">
        <v>43812</v>
      </c>
      <c r="E292" s="570"/>
      <c r="F292" s="88" t="s">
        <v>2194</v>
      </c>
      <c r="G292" s="88" t="s">
        <v>170</v>
      </c>
      <c r="H292" s="81" t="s">
        <v>275</v>
      </c>
      <c r="J292" s="75">
        <f t="shared" si="25"/>
        <v>1</v>
      </c>
      <c r="K292" s="76" t="s">
        <v>211</v>
      </c>
      <c r="Q292" s="78" t="s">
        <v>2163</v>
      </c>
      <c r="R292" s="75">
        <f t="shared" si="26"/>
        <v>1</v>
      </c>
      <c r="S292" s="263" t="s">
        <v>1991</v>
      </c>
      <c r="T292" s="263"/>
      <c r="U292" s="263"/>
      <c r="V292" s="263"/>
      <c r="W292" s="263"/>
      <c r="X292" s="263"/>
      <c r="Y292" s="575"/>
      <c r="Z292" s="575"/>
      <c r="AA292" s="576">
        <f t="shared" si="24"/>
        <v>0</v>
      </c>
      <c r="AB292" s="722"/>
    </row>
    <row r="293" spans="1:32" ht="15.75" customHeight="1" x14ac:dyDescent="0.35">
      <c r="A293" s="95" t="s">
        <v>2224</v>
      </c>
      <c r="C293" s="118">
        <v>43769</v>
      </c>
      <c r="D293" s="318">
        <v>43815</v>
      </c>
      <c r="E293" s="570"/>
      <c r="F293" s="88" t="s">
        <v>2227</v>
      </c>
      <c r="G293" s="88" t="s">
        <v>158</v>
      </c>
      <c r="H293" s="81" t="s">
        <v>220</v>
      </c>
      <c r="J293" s="75">
        <f t="shared" si="25"/>
        <v>1</v>
      </c>
      <c r="K293" s="76" t="s">
        <v>211</v>
      </c>
      <c r="L293" s="99"/>
      <c r="Q293" s="304" t="s">
        <v>2097</v>
      </c>
      <c r="R293" s="75">
        <f t="shared" si="26"/>
        <v>1</v>
      </c>
      <c r="S293" s="263" t="s">
        <v>1991</v>
      </c>
      <c r="T293" s="263"/>
      <c r="U293" s="263"/>
      <c r="V293" s="263"/>
      <c r="W293" s="263"/>
      <c r="X293" s="263"/>
      <c r="Y293" s="575"/>
      <c r="Z293" s="575"/>
      <c r="AA293" s="576">
        <f t="shared" si="24"/>
        <v>0</v>
      </c>
      <c r="AB293" s="722"/>
    </row>
    <row r="294" spans="1:32" ht="15.75" customHeight="1" x14ac:dyDescent="0.35">
      <c r="A294" s="95" t="s">
        <v>2225</v>
      </c>
      <c r="C294" s="118">
        <v>43791</v>
      </c>
      <c r="D294" s="318">
        <v>43815</v>
      </c>
      <c r="E294" s="570"/>
      <c r="F294" s="88" t="s">
        <v>2228</v>
      </c>
      <c r="G294" s="88" t="s">
        <v>179</v>
      </c>
      <c r="H294" s="81" t="s">
        <v>220</v>
      </c>
      <c r="J294" s="75">
        <f t="shared" si="25"/>
        <v>1</v>
      </c>
      <c r="K294" s="76" t="s">
        <v>211</v>
      </c>
      <c r="Q294" s="304" t="s">
        <v>2056</v>
      </c>
      <c r="R294" s="75">
        <f t="shared" si="26"/>
        <v>1</v>
      </c>
      <c r="S294" s="263" t="s">
        <v>1991</v>
      </c>
      <c r="T294" s="263"/>
      <c r="U294" s="263"/>
      <c r="V294" s="263"/>
      <c r="W294" s="263"/>
      <c r="X294" s="263"/>
      <c r="Y294" s="575"/>
      <c r="Z294" s="575"/>
      <c r="AA294" s="576">
        <f t="shared" si="24"/>
        <v>0</v>
      </c>
      <c r="AB294" s="722"/>
    </row>
    <row r="295" spans="1:32" ht="15.75" customHeight="1" x14ac:dyDescent="0.35">
      <c r="A295" s="68" t="s">
        <v>2231</v>
      </c>
      <c r="C295" s="83">
        <v>43756</v>
      </c>
      <c r="D295" s="112">
        <v>43815</v>
      </c>
      <c r="E295" s="570"/>
      <c r="F295" s="88" t="s">
        <v>2232</v>
      </c>
      <c r="G295" s="88" t="s">
        <v>152</v>
      </c>
      <c r="H295" s="81" t="s">
        <v>220</v>
      </c>
      <c r="J295" s="75">
        <f>IF(OR(K295="Документы готовы",K295="Запрос в ФО",K295="ЭЗ",K295="РЕШ",K295="РЕШ шаблон"),0.1,IF(OR(K295="ЭЗ согласование",K295="РЕШ согласование"),0.3,IF(OR(K295="ЭЗ согласовано",K295="РЕШ согласовано",K295="РЕШ подписано"),0.6,IF(OR(K295="ЭЗ ПР согласование",K295="РЕШ УВ согласование"),0.9,IF(OR(K295="ЭЗ ПР DONE",K295="РЕШ УВ DONE"),1,0)))))</f>
        <v>1</v>
      </c>
      <c r="K295" s="76" t="s">
        <v>211</v>
      </c>
      <c r="L295" s="99" t="s">
        <v>2456</v>
      </c>
      <c r="Q295" s="304" t="s">
        <v>2056</v>
      </c>
      <c r="R295" s="75">
        <f t="shared" si="26"/>
        <v>1</v>
      </c>
      <c r="S295" s="263" t="s">
        <v>1991</v>
      </c>
      <c r="T295" s="263"/>
      <c r="U295" s="263"/>
      <c r="V295" s="263"/>
      <c r="W295" s="263"/>
      <c r="X295" s="263"/>
      <c r="Y295" s="575"/>
      <c r="Z295" s="575"/>
      <c r="AA295" s="576">
        <f t="shared" si="24"/>
        <v>0</v>
      </c>
      <c r="AB295" s="722"/>
      <c r="AF295" s="319"/>
    </row>
    <row r="296" spans="1:32" ht="15.75" customHeight="1" x14ac:dyDescent="0.35">
      <c r="A296" s="68" t="s">
        <v>2233</v>
      </c>
      <c r="C296" s="83">
        <v>43763</v>
      </c>
      <c r="D296" s="112">
        <v>43816</v>
      </c>
      <c r="E296" s="570"/>
      <c r="F296" s="88" t="s">
        <v>2234</v>
      </c>
      <c r="G296" s="88" t="s">
        <v>1393</v>
      </c>
      <c r="H296" s="81" t="s">
        <v>220</v>
      </c>
      <c r="J296" s="75">
        <f t="shared" si="25"/>
        <v>1</v>
      </c>
      <c r="K296" s="76" t="s">
        <v>211</v>
      </c>
      <c r="Q296" s="78" t="s">
        <v>2097</v>
      </c>
      <c r="R296" s="75">
        <f t="shared" si="26"/>
        <v>1</v>
      </c>
      <c r="S296" s="263" t="s">
        <v>1991</v>
      </c>
      <c r="T296" s="263"/>
      <c r="U296" s="263"/>
      <c r="V296" s="263"/>
      <c r="W296" s="263"/>
      <c r="X296" s="263"/>
      <c r="Y296" s="575"/>
      <c r="Z296" s="575"/>
      <c r="AA296" s="576">
        <f t="shared" si="24"/>
        <v>0</v>
      </c>
      <c r="AB296" s="722"/>
    </row>
    <row r="297" spans="1:32" ht="15.75" customHeight="1" x14ac:dyDescent="0.35">
      <c r="A297" s="68" t="s">
        <v>2235</v>
      </c>
      <c r="C297" s="83">
        <v>43777</v>
      </c>
      <c r="D297" s="112">
        <v>43815</v>
      </c>
      <c r="E297" s="570"/>
      <c r="F297" s="88" t="s">
        <v>2236</v>
      </c>
      <c r="G297" s="88" t="s">
        <v>158</v>
      </c>
      <c r="H297" s="81" t="s">
        <v>220</v>
      </c>
      <c r="J297" s="75">
        <f t="shared" si="25"/>
        <v>1</v>
      </c>
      <c r="K297" s="263" t="s">
        <v>211</v>
      </c>
      <c r="L297" s="99" t="s">
        <v>2450</v>
      </c>
      <c r="Q297" s="304" t="s">
        <v>2056</v>
      </c>
      <c r="R297" s="75">
        <f t="shared" si="26"/>
        <v>1</v>
      </c>
      <c r="S297" s="263" t="s">
        <v>1991</v>
      </c>
      <c r="T297" s="263"/>
      <c r="U297" s="263"/>
      <c r="V297" s="263"/>
      <c r="W297" s="263"/>
      <c r="X297" s="263"/>
      <c r="Y297" s="575"/>
      <c r="Z297" s="575"/>
      <c r="AA297" s="576">
        <f t="shared" si="24"/>
        <v>0</v>
      </c>
      <c r="AB297" s="722"/>
    </row>
    <row r="298" spans="1:32" ht="15.75" customHeight="1" x14ac:dyDescent="0.35">
      <c r="A298" s="68" t="s">
        <v>2237</v>
      </c>
      <c r="C298" s="83">
        <v>43777</v>
      </c>
      <c r="D298" s="112">
        <v>43815</v>
      </c>
      <c r="E298" s="570"/>
      <c r="F298" s="88" t="s">
        <v>2238</v>
      </c>
      <c r="G298" s="88" t="s">
        <v>152</v>
      </c>
      <c r="H298" s="81" t="s">
        <v>220</v>
      </c>
      <c r="J298" s="75">
        <f t="shared" si="25"/>
        <v>1</v>
      </c>
      <c r="K298" s="76" t="s">
        <v>211</v>
      </c>
      <c r="L298" s="99" t="s">
        <v>2457</v>
      </c>
      <c r="Q298" s="78" t="s">
        <v>2097</v>
      </c>
      <c r="R298" s="75">
        <f t="shared" si="26"/>
        <v>1</v>
      </c>
      <c r="S298" s="263" t="s">
        <v>1991</v>
      </c>
      <c r="T298" s="263"/>
      <c r="U298" s="263"/>
      <c r="V298" s="263"/>
      <c r="W298" s="263"/>
      <c r="X298" s="263"/>
      <c r="Y298" s="575"/>
      <c r="Z298" s="575"/>
      <c r="AA298" s="576">
        <f t="shared" si="24"/>
        <v>0</v>
      </c>
      <c r="AB298" s="722"/>
    </row>
    <row r="299" spans="1:32" ht="15.75" customHeight="1" x14ac:dyDescent="0.35">
      <c r="A299" s="68" t="s">
        <v>2239</v>
      </c>
      <c r="C299" s="83">
        <v>43781</v>
      </c>
      <c r="D299" s="112">
        <v>43817</v>
      </c>
      <c r="E299" s="570"/>
      <c r="F299" s="88" t="s">
        <v>2240</v>
      </c>
      <c r="G299" s="88" t="s">
        <v>186</v>
      </c>
      <c r="H299" s="81" t="s">
        <v>220</v>
      </c>
      <c r="J299" s="75">
        <f t="shared" si="25"/>
        <v>1</v>
      </c>
      <c r="K299" s="76" t="s">
        <v>211</v>
      </c>
      <c r="L299" s="99" t="s">
        <v>2480</v>
      </c>
      <c r="Q299" s="78" t="s">
        <v>2097</v>
      </c>
      <c r="R299" s="75">
        <f t="shared" si="26"/>
        <v>1</v>
      </c>
      <c r="S299" s="263" t="s">
        <v>1991</v>
      </c>
      <c r="T299" s="263"/>
      <c r="U299" s="263"/>
      <c r="V299" s="263"/>
      <c r="W299" s="263"/>
      <c r="X299" s="263"/>
      <c r="Y299" s="575"/>
      <c r="Z299" s="575"/>
      <c r="AA299" s="576">
        <f t="shared" si="24"/>
        <v>0</v>
      </c>
      <c r="AB299" s="722"/>
    </row>
    <row r="300" spans="1:32" ht="15.75" customHeight="1" x14ac:dyDescent="0.35">
      <c r="A300" s="68" t="s">
        <v>2241</v>
      </c>
      <c r="C300" s="83">
        <v>43781</v>
      </c>
      <c r="D300" s="112">
        <v>43817</v>
      </c>
      <c r="E300" s="570"/>
      <c r="F300" s="88" t="s">
        <v>2242</v>
      </c>
      <c r="G300" s="88" t="s">
        <v>417</v>
      </c>
      <c r="H300" s="81" t="s">
        <v>220</v>
      </c>
      <c r="J300" s="75">
        <f t="shared" si="25"/>
        <v>1</v>
      </c>
      <c r="K300" s="76" t="s">
        <v>211</v>
      </c>
      <c r="Q300" s="78" t="s">
        <v>2097</v>
      </c>
      <c r="R300" s="75">
        <f t="shared" si="26"/>
        <v>1</v>
      </c>
      <c r="S300" s="263" t="s">
        <v>1991</v>
      </c>
      <c r="T300" s="263"/>
      <c r="U300" s="263"/>
      <c r="V300" s="263"/>
      <c r="W300" s="263"/>
      <c r="X300" s="263"/>
      <c r="Y300" s="575"/>
      <c r="Z300" s="575"/>
      <c r="AA300" s="576">
        <f t="shared" si="24"/>
        <v>0</v>
      </c>
      <c r="AB300" s="722"/>
    </row>
    <row r="301" spans="1:32" ht="15.75" customHeight="1" x14ac:dyDescent="0.35">
      <c r="A301" s="68" t="s">
        <v>2243</v>
      </c>
      <c r="C301" s="83">
        <v>43781</v>
      </c>
      <c r="D301" s="112">
        <v>43816</v>
      </c>
      <c r="E301" s="570"/>
      <c r="F301" s="88" t="s">
        <v>2244</v>
      </c>
      <c r="G301" s="88" t="s">
        <v>195</v>
      </c>
      <c r="H301" s="81" t="s">
        <v>220</v>
      </c>
      <c r="J301" s="75">
        <f t="shared" si="25"/>
        <v>1</v>
      </c>
      <c r="K301" s="76" t="s">
        <v>211</v>
      </c>
      <c r="Q301" s="78" t="s">
        <v>2097</v>
      </c>
      <c r="R301" s="75">
        <f t="shared" si="26"/>
        <v>1</v>
      </c>
      <c r="S301" s="263" t="s">
        <v>1991</v>
      </c>
      <c r="T301" s="263"/>
      <c r="U301" s="263"/>
      <c r="V301" s="263"/>
      <c r="W301" s="263"/>
      <c r="X301" s="263"/>
      <c r="Y301" s="575"/>
      <c r="Z301" s="575"/>
      <c r="AA301" s="576">
        <f t="shared" si="24"/>
        <v>0</v>
      </c>
      <c r="AB301" s="722"/>
    </row>
    <row r="302" spans="1:32" ht="15.75" customHeight="1" x14ac:dyDescent="0.35">
      <c r="A302" s="68" t="s">
        <v>2245</v>
      </c>
      <c r="C302" s="83">
        <v>43781</v>
      </c>
      <c r="D302" s="112">
        <v>43816</v>
      </c>
      <c r="E302" s="570"/>
      <c r="F302" s="88" t="s">
        <v>2246</v>
      </c>
      <c r="G302" s="88" t="s">
        <v>149</v>
      </c>
      <c r="H302" s="81" t="s">
        <v>220</v>
      </c>
      <c r="J302" s="75">
        <f t="shared" si="25"/>
        <v>1</v>
      </c>
      <c r="K302" s="76" t="s">
        <v>211</v>
      </c>
      <c r="Q302" s="78" t="s">
        <v>2097</v>
      </c>
      <c r="R302" s="75">
        <f t="shared" si="26"/>
        <v>1</v>
      </c>
      <c r="S302" s="263" t="s">
        <v>1991</v>
      </c>
      <c r="T302" s="263"/>
      <c r="U302" s="263"/>
      <c r="V302" s="263"/>
      <c r="W302" s="263"/>
      <c r="X302" s="263"/>
      <c r="Y302" s="575"/>
      <c r="Z302" s="575"/>
      <c r="AA302" s="576">
        <f t="shared" si="24"/>
        <v>0</v>
      </c>
      <c r="AB302" s="722"/>
    </row>
    <row r="303" spans="1:32" ht="15.75" customHeight="1" x14ac:dyDescent="0.35">
      <c r="A303" s="68" t="s">
        <v>2247</v>
      </c>
      <c r="C303" s="83">
        <v>43782</v>
      </c>
      <c r="D303" s="112">
        <v>43817</v>
      </c>
      <c r="E303" s="570"/>
      <c r="F303" s="88" t="s">
        <v>2248</v>
      </c>
      <c r="G303" s="88" t="s">
        <v>152</v>
      </c>
      <c r="H303" s="81" t="s">
        <v>220</v>
      </c>
      <c r="J303" s="75">
        <f t="shared" si="25"/>
        <v>1</v>
      </c>
      <c r="K303" s="76" t="s">
        <v>211</v>
      </c>
      <c r="Q303" s="78" t="s">
        <v>2097</v>
      </c>
      <c r="R303" s="75">
        <f t="shared" si="26"/>
        <v>1</v>
      </c>
      <c r="S303" s="263" t="s">
        <v>1991</v>
      </c>
      <c r="T303" s="263"/>
      <c r="U303" s="263"/>
      <c r="V303" s="263"/>
      <c r="W303" s="263"/>
      <c r="X303" s="263"/>
      <c r="Y303" s="575"/>
      <c r="Z303" s="575"/>
      <c r="AA303" s="576">
        <f t="shared" si="24"/>
        <v>0</v>
      </c>
      <c r="AB303" s="722"/>
    </row>
    <row r="304" spans="1:32" ht="15.75" customHeight="1" x14ac:dyDescent="0.35">
      <c r="A304" s="68" t="s">
        <v>2249</v>
      </c>
      <c r="C304" s="83">
        <v>43783</v>
      </c>
      <c r="D304" s="112">
        <v>43818</v>
      </c>
      <c r="E304" s="570"/>
      <c r="F304" s="88" t="s">
        <v>2250</v>
      </c>
      <c r="G304" s="88" t="s">
        <v>152</v>
      </c>
      <c r="H304" s="81" t="s">
        <v>220</v>
      </c>
      <c r="J304" s="75">
        <f t="shared" si="25"/>
        <v>1</v>
      </c>
      <c r="K304" s="76" t="s">
        <v>211</v>
      </c>
      <c r="L304" s="99" t="s">
        <v>2518</v>
      </c>
      <c r="Q304" s="78" t="s">
        <v>2097</v>
      </c>
      <c r="R304" s="75">
        <f t="shared" si="26"/>
        <v>1</v>
      </c>
      <c r="S304" s="263" t="s">
        <v>1991</v>
      </c>
      <c r="T304" s="263"/>
      <c r="U304" s="263"/>
      <c r="V304" s="263"/>
      <c r="W304" s="263"/>
      <c r="X304" s="263"/>
      <c r="Y304" s="575"/>
      <c r="Z304" s="575"/>
      <c r="AA304" s="576">
        <f t="shared" si="24"/>
        <v>0</v>
      </c>
      <c r="AB304" s="722"/>
    </row>
    <row r="305" spans="1:28" ht="15.75" customHeight="1" x14ac:dyDescent="0.35">
      <c r="A305" s="68" t="s">
        <v>2251</v>
      </c>
      <c r="C305" s="83">
        <v>43784</v>
      </c>
      <c r="D305" s="112">
        <v>43819</v>
      </c>
      <c r="E305" s="570"/>
      <c r="F305" s="88" t="s">
        <v>2252</v>
      </c>
      <c r="G305" s="88" t="s">
        <v>149</v>
      </c>
      <c r="H305" s="81" t="s">
        <v>220</v>
      </c>
      <c r="J305" s="75">
        <f t="shared" si="25"/>
        <v>1</v>
      </c>
      <c r="K305" s="76" t="s">
        <v>211</v>
      </c>
      <c r="Q305" s="78" t="s">
        <v>2097</v>
      </c>
      <c r="R305" s="75">
        <f t="shared" si="26"/>
        <v>1</v>
      </c>
      <c r="S305" s="263" t="s">
        <v>1991</v>
      </c>
      <c r="T305" s="263"/>
      <c r="U305" s="263"/>
      <c r="V305" s="263"/>
      <c r="W305" s="263"/>
      <c r="X305" s="263"/>
      <c r="Y305" s="575"/>
      <c r="Z305" s="575"/>
      <c r="AA305" s="576">
        <f t="shared" si="24"/>
        <v>0</v>
      </c>
      <c r="AB305" s="722"/>
    </row>
    <row r="306" spans="1:28" ht="15.75" customHeight="1" x14ac:dyDescent="0.35">
      <c r="A306" s="68" t="s">
        <v>2253</v>
      </c>
      <c r="C306" s="83">
        <v>43784</v>
      </c>
      <c r="D306" s="112">
        <v>43819</v>
      </c>
      <c r="E306" s="570"/>
      <c r="F306" s="88" t="s">
        <v>2254</v>
      </c>
      <c r="G306" s="88" t="s">
        <v>154</v>
      </c>
      <c r="H306" s="81" t="s">
        <v>220</v>
      </c>
      <c r="J306" s="75">
        <f t="shared" si="25"/>
        <v>1</v>
      </c>
      <c r="K306" s="76" t="s">
        <v>211</v>
      </c>
      <c r="Q306" s="304" t="s">
        <v>2097</v>
      </c>
      <c r="R306" s="75">
        <f t="shared" si="26"/>
        <v>1</v>
      </c>
      <c r="S306" s="263" t="s">
        <v>1991</v>
      </c>
      <c r="T306" s="263"/>
      <c r="U306" s="263"/>
      <c r="V306" s="263"/>
      <c r="W306" s="263"/>
      <c r="X306" s="263"/>
      <c r="Y306" s="575"/>
      <c r="Z306" s="575"/>
      <c r="AA306" s="576">
        <f t="shared" si="24"/>
        <v>0</v>
      </c>
      <c r="AB306" s="722"/>
    </row>
    <row r="307" spans="1:28" ht="15.75" customHeight="1" x14ac:dyDescent="0.35">
      <c r="A307" s="68" t="s">
        <v>2257</v>
      </c>
      <c r="C307" s="83">
        <v>43794</v>
      </c>
      <c r="D307" s="112">
        <v>43816</v>
      </c>
      <c r="E307" s="570"/>
      <c r="F307" s="88" t="s">
        <v>2258</v>
      </c>
      <c r="G307" s="88" t="s">
        <v>1692</v>
      </c>
      <c r="H307" s="81" t="s">
        <v>220</v>
      </c>
      <c r="J307" s="75">
        <f t="shared" si="25"/>
        <v>1</v>
      </c>
      <c r="K307" s="76" t="s">
        <v>211</v>
      </c>
      <c r="Q307" s="78" t="s">
        <v>2097</v>
      </c>
      <c r="R307" s="75">
        <f t="shared" si="26"/>
        <v>1</v>
      </c>
      <c r="S307" s="263" t="s">
        <v>1991</v>
      </c>
      <c r="T307" s="263"/>
      <c r="U307" s="263"/>
      <c r="V307" s="263"/>
      <c r="W307" s="263"/>
      <c r="X307" s="263"/>
      <c r="Y307" s="575"/>
      <c r="Z307" s="575"/>
      <c r="AA307" s="576">
        <f t="shared" si="24"/>
        <v>0</v>
      </c>
      <c r="AB307" s="722"/>
    </row>
    <row r="308" spans="1:28" ht="15.75" customHeight="1" x14ac:dyDescent="0.35">
      <c r="A308" s="68" t="s">
        <v>2261</v>
      </c>
      <c r="C308" s="83">
        <v>43794</v>
      </c>
      <c r="D308" s="112">
        <v>43816</v>
      </c>
      <c r="E308" s="570"/>
      <c r="F308" s="88" t="s">
        <v>2262</v>
      </c>
      <c r="G308" s="88" t="s">
        <v>152</v>
      </c>
      <c r="H308" s="81" t="s">
        <v>220</v>
      </c>
      <c r="I308" s="98" t="s">
        <v>2471</v>
      </c>
      <c r="J308" s="75">
        <f t="shared" si="25"/>
        <v>1</v>
      </c>
      <c r="K308" s="76" t="s">
        <v>211</v>
      </c>
      <c r="Q308" s="78" t="s">
        <v>2097</v>
      </c>
      <c r="R308" s="75">
        <f t="shared" si="26"/>
        <v>1</v>
      </c>
      <c r="S308" s="263" t="s">
        <v>1991</v>
      </c>
      <c r="T308" s="263"/>
      <c r="U308" s="263"/>
      <c r="V308" s="263"/>
      <c r="W308" s="263"/>
      <c r="X308" s="263"/>
      <c r="Y308" s="575"/>
      <c r="Z308" s="575"/>
      <c r="AA308" s="576">
        <f t="shared" si="24"/>
        <v>0</v>
      </c>
      <c r="AB308" s="722"/>
    </row>
    <row r="309" spans="1:28" ht="15.75" customHeight="1" x14ac:dyDescent="0.35">
      <c r="A309" s="68" t="s">
        <v>2265</v>
      </c>
      <c r="C309" s="83">
        <v>43794</v>
      </c>
      <c r="D309" s="112">
        <v>43815</v>
      </c>
      <c r="E309" s="570"/>
      <c r="F309" s="88" t="s">
        <v>2266</v>
      </c>
      <c r="G309" s="88" t="s">
        <v>162</v>
      </c>
      <c r="H309" s="81" t="s">
        <v>220</v>
      </c>
      <c r="J309" s="75">
        <f t="shared" si="25"/>
        <v>1</v>
      </c>
      <c r="K309" s="76" t="s">
        <v>211</v>
      </c>
      <c r="Q309" s="78" t="s">
        <v>2097</v>
      </c>
      <c r="R309" s="75">
        <f t="shared" si="26"/>
        <v>1</v>
      </c>
      <c r="S309" s="263" t="s">
        <v>1991</v>
      </c>
      <c r="T309" s="263"/>
      <c r="U309" s="263"/>
      <c r="V309" s="263"/>
      <c r="W309" s="263"/>
      <c r="X309" s="263"/>
      <c r="Y309" s="575"/>
      <c r="Z309" s="575"/>
      <c r="AA309" s="576">
        <f t="shared" si="24"/>
        <v>0</v>
      </c>
      <c r="AB309" s="722"/>
    </row>
    <row r="310" spans="1:28" ht="15.75" customHeight="1" x14ac:dyDescent="0.35">
      <c r="A310" s="68" t="s">
        <v>2267</v>
      </c>
      <c r="C310" s="83">
        <v>43794</v>
      </c>
      <c r="D310" s="112">
        <v>43815</v>
      </c>
      <c r="E310" s="570"/>
      <c r="F310" s="88" t="s">
        <v>2268</v>
      </c>
      <c r="G310" s="88" t="s">
        <v>154</v>
      </c>
      <c r="H310" s="81" t="s">
        <v>220</v>
      </c>
      <c r="I310" s="98" t="s">
        <v>656</v>
      </c>
      <c r="J310" s="75">
        <f t="shared" si="25"/>
        <v>1</v>
      </c>
      <c r="K310" s="76" t="s">
        <v>211</v>
      </c>
      <c r="Q310" s="304" t="s">
        <v>2056</v>
      </c>
      <c r="R310" s="75">
        <f t="shared" si="26"/>
        <v>1</v>
      </c>
      <c r="S310" s="263" t="s">
        <v>1991</v>
      </c>
      <c r="T310" s="263"/>
      <c r="U310" s="263"/>
      <c r="V310" s="263"/>
      <c r="W310" s="263"/>
      <c r="X310" s="263"/>
      <c r="Y310" s="575"/>
      <c r="Z310" s="575"/>
      <c r="AA310" s="576">
        <f t="shared" si="24"/>
        <v>0</v>
      </c>
      <c r="AB310" s="722"/>
    </row>
    <row r="311" spans="1:28" ht="15.75" customHeight="1" x14ac:dyDescent="0.35">
      <c r="A311" s="68" t="s">
        <v>2275</v>
      </c>
      <c r="C311" s="83">
        <v>43796</v>
      </c>
      <c r="D311" s="112">
        <v>43818</v>
      </c>
      <c r="E311" s="570"/>
      <c r="F311" s="88" t="s">
        <v>2276</v>
      </c>
      <c r="G311" s="88" t="s">
        <v>154</v>
      </c>
      <c r="H311" s="81" t="s">
        <v>220</v>
      </c>
      <c r="J311" s="75">
        <f t="shared" si="25"/>
        <v>1</v>
      </c>
      <c r="K311" s="76" t="s">
        <v>211</v>
      </c>
      <c r="L311" s="99" t="s">
        <v>2521</v>
      </c>
      <c r="Q311" s="78" t="s">
        <v>2097</v>
      </c>
      <c r="R311" s="75">
        <f t="shared" si="26"/>
        <v>1</v>
      </c>
      <c r="S311" s="263" t="s">
        <v>1991</v>
      </c>
      <c r="T311" s="263"/>
      <c r="U311" s="263"/>
      <c r="V311" s="263"/>
      <c r="W311" s="263"/>
      <c r="X311" s="263"/>
      <c r="Y311" s="575"/>
      <c r="Z311" s="575"/>
      <c r="AA311" s="576">
        <f t="shared" si="24"/>
        <v>0</v>
      </c>
      <c r="AB311" s="722"/>
    </row>
    <row r="312" spans="1:28" ht="15.75" customHeight="1" x14ac:dyDescent="0.35">
      <c r="A312" s="68" t="s">
        <v>2277</v>
      </c>
      <c r="C312" s="83">
        <v>43796</v>
      </c>
      <c r="D312" s="112">
        <v>43817</v>
      </c>
      <c r="E312" s="570"/>
      <c r="F312" s="88" t="s">
        <v>2278</v>
      </c>
      <c r="G312" s="88" t="s">
        <v>149</v>
      </c>
      <c r="H312" s="81" t="s">
        <v>220</v>
      </c>
      <c r="I312" s="98" t="s">
        <v>2510</v>
      </c>
      <c r="J312" s="75">
        <f t="shared" si="25"/>
        <v>1</v>
      </c>
      <c r="K312" s="76" t="s">
        <v>211</v>
      </c>
      <c r="L312" s="99" t="s">
        <v>2511</v>
      </c>
      <c r="N312" s="78" t="s">
        <v>18</v>
      </c>
      <c r="Q312" s="78" t="s">
        <v>2097</v>
      </c>
      <c r="R312" s="75">
        <f t="shared" si="26"/>
        <v>1</v>
      </c>
      <c r="S312" s="263" t="s">
        <v>1991</v>
      </c>
      <c r="T312" s="263"/>
      <c r="U312" s="263"/>
      <c r="V312" s="263"/>
      <c r="W312" s="263"/>
      <c r="X312" s="263"/>
      <c r="Y312" s="575"/>
      <c r="Z312" s="575"/>
      <c r="AA312" s="576">
        <f t="shared" si="24"/>
        <v>0</v>
      </c>
      <c r="AB312" s="722"/>
    </row>
    <row r="313" spans="1:28" ht="15.75" customHeight="1" x14ac:dyDescent="0.35">
      <c r="A313" s="68" t="s">
        <v>2279</v>
      </c>
      <c r="C313" s="83">
        <v>43796</v>
      </c>
      <c r="D313" s="112">
        <v>43818</v>
      </c>
      <c r="E313" s="570"/>
      <c r="F313" s="88" t="s">
        <v>2280</v>
      </c>
      <c r="G313" s="88" t="s">
        <v>162</v>
      </c>
      <c r="H313" s="81" t="s">
        <v>220</v>
      </c>
      <c r="J313" s="75">
        <f t="shared" si="25"/>
        <v>1</v>
      </c>
      <c r="K313" s="76" t="s">
        <v>211</v>
      </c>
      <c r="Q313" s="78" t="s">
        <v>2097</v>
      </c>
      <c r="R313" s="75">
        <f t="shared" si="26"/>
        <v>1</v>
      </c>
      <c r="S313" s="263" t="s">
        <v>1991</v>
      </c>
      <c r="T313" s="263"/>
      <c r="U313" s="263"/>
      <c r="V313" s="263"/>
      <c r="W313" s="263"/>
      <c r="X313" s="263"/>
      <c r="Y313" s="575"/>
      <c r="Z313" s="575"/>
      <c r="AA313" s="576">
        <f t="shared" si="24"/>
        <v>0</v>
      </c>
      <c r="AB313" s="722"/>
    </row>
    <row r="314" spans="1:28" ht="15.75" customHeight="1" x14ac:dyDescent="0.35">
      <c r="A314" s="68" t="s">
        <v>2289</v>
      </c>
      <c r="C314" s="83">
        <v>43798</v>
      </c>
      <c r="D314" s="112">
        <v>43819</v>
      </c>
      <c r="E314" s="570"/>
      <c r="F314" s="88" t="s">
        <v>2290</v>
      </c>
      <c r="G314" s="88" t="s">
        <v>2125</v>
      </c>
      <c r="H314" s="81" t="s">
        <v>220</v>
      </c>
      <c r="J314" s="75">
        <f t="shared" ref="J314:J343" si="27">IF(OR(K314="Документы готовы",K314="Запрос в ФО",K314="ЭЗ",K314="РЕШ",K314="РЕШ шаблон"),0.1,IF(OR(K314="ЭЗ согласование",K314="РЕШ согласование"),0.3,IF(OR(K314="ЭЗ согласовано",K314="РЕШ согласовано",K314="РЕШ подписано"),0.6,IF(OR(K314="ЭЗ ПР согласование",K314="РЕШ УВ согласование"),0.9,IF(OR(K314="ЭЗ ПР DONE",K314="РЕШ УВ DONE"),1,0)))))</f>
        <v>1</v>
      </c>
      <c r="K314" s="76" t="s">
        <v>211</v>
      </c>
      <c r="Q314" s="78" t="s">
        <v>2097</v>
      </c>
      <c r="R314" s="75">
        <f t="shared" ref="R314:R343" si="28">IF(S314="В работе",0.3,IF(S314="Отписано",0.6,IF(S314="На доработку",0.9,IF(S314="Согласовано",1,0))))</f>
        <v>1</v>
      </c>
      <c r="S314" s="263" t="s">
        <v>1991</v>
      </c>
      <c r="T314" s="263"/>
      <c r="U314" s="263"/>
      <c r="V314" s="263"/>
      <c r="W314" s="263"/>
      <c r="X314" s="263"/>
      <c r="Y314" s="575"/>
      <c r="Z314" s="575"/>
      <c r="AA314" s="576">
        <f t="shared" si="24"/>
        <v>0</v>
      </c>
      <c r="AB314" s="722"/>
    </row>
    <row r="315" spans="1:28" ht="15.75" customHeight="1" x14ac:dyDescent="0.35">
      <c r="A315" s="68" t="s">
        <v>2291</v>
      </c>
      <c r="C315" s="83">
        <v>43777</v>
      </c>
      <c r="D315" s="112">
        <v>43815</v>
      </c>
      <c r="E315" s="570"/>
      <c r="F315" s="88" t="s">
        <v>2292</v>
      </c>
      <c r="G315" s="88" t="s">
        <v>158</v>
      </c>
      <c r="H315" s="81" t="s">
        <v>220</v>
      </c>
      <c r="J315" s="75">
        <f t="shared" si="27"/>
        <v>1</v>
      </c>
      <c r="K315" s="76" t="s">
        <v>211</v>
      </c>
      <c r="L315" s="99"/>
      <c r="Q315" s="304" t="s">
        <v>2130</v>
      </c>
      <c r="R315" s="75">
        <f t="shared" si="28"/>
        <v>1</v>
      </c>
      <c r="S315" s="263" t="s">
        <v>1991</v>
      </c>
      <c r="T315" s="263"/>
      <c r="U315" s="263"/>
      <c r="V315" s="263"/>
      <c r="W315" s="263"/>
      <c r="X315" s="263"/>
      <c r="Y315" s="575"/>
      <c r="Z315" s="575"/>
      <c r="AA315" s="576">
        <f t="shared" si="24"/>
        <v>0</v>
      </c>
      <c r="AB315" s="722"/>
    </row>
    <row r="316" spans="1:28" ht="15.75" customHeight="1" x14ac:dyDescent="0.35">
      <c r="A316" s="68" t="s">
        <v>2293</v>
      </c>
      <c r="C316" s="83">
        <v>43777</v>
      </c>
      <c r="D316" s="112">
        <v>43815</v>
      </c>
      <c r="E316" s="570"/>
      <c r="F316" s="88" t="s">
        <v>2294</v>
      </c>
      <c r="G316" s="88" t="s">
        <v>186</v>
      </c>
      <c r="H316" s="81" t="s">
        <v>220</v>
      </c>
      <c r="J316" s="75">
        <f t="shared" si="27"/>
        <v>1</v>
      </c>
      <c r="K316" s="76" t="s">
        <v>211</v>
      </c>
      <c r="L316" s="99" t="s">
        <v>2452</v>
      </c>
      <c r="N316" s="78" t="s">
        <v>19</v>
      </c>
      <c r="Q316" s="304" t="s">
        <v>2056</v>
      </c>
      <c r="R316" s="75">
        <f t="shared" si="28"/>
        <v>1</v>
      </c>
      <c r="S316" s="263" t="s">
        <v>1991</v>
      </c>
      <c r="T316" s="263"/>
      <c r="U316" s="263"/>
      <c r="V316" s="263"/>
      <c r="W316" s="263"/>
      <c r="X316" s="263"/>
      <c r="Y316" s="575"/>
      <c r="Z316" s="575"/>
      <c r="AA316" s="576">
        <f t="shared" si="24"/>
        <v>0</v>
      </c>
      <c r="AB316" s="722"/>
    </row>
    <row r="317" spans="1:28" ht="15.75" customHeight="1" x14ac:dyDescent="0.35">
      <c r="A317" s="68" t="s">
        <v>2295</v>
      </c>
      <c r="C317" s="83">
        <v>43780</v>
      </c>
      <c r="D317" s="112">
        <v>43816</v>
      </c>
      <c r="E317" s="570"/>
      <c r="F317" s="88" t="s">
        <v>2296</v>
      </c>
      <c r="G317" s="88" t="s">
        <v>152</v>
      </c>
      <c r="H317" s="81" t="s">
        <v>220</v>
      </c>
      <c r="J317" s="75">
        <f t="shared" si="27"/>
        <v>1</v>
      </c>
      <c r="K317" s="76" t="s">
        <v>211</v>
      </c>
      <c r="Q317" s="78" t="s">
        <v>2130</v>
      </c>
      <c r="R317" s="75">
        <f t="shared" si="28"/>
        <v>1</v>
      </c>
      <c r="S317" s="263" t="s">
        <v>1991</v>
      </c>
      <c r="T317" s="263"/>
      <c r="U317" s="263"/>
      <c r="V317" s="263"/>
      <c r="W317" s="263"/>
      <c r="X317" s="263"/>
      <c r="Y317" s="575"/>
      <c r="Z317" s="575"/>
      <c r="AA317" s="576">
        <f t="shared" si="24"/>
        <v>0</v>
      </c>
      <c r="AB317" s="722"/>
    </row>
    <row r="318" spans="1:28" ht="15.75" customHeight="1" x14ac:dyDescent="0.35">
      <c r="A318" s="68" t="s">
        <v>2297</v>
      </c>
      <c r="C318" s="83">
        <v>43780</v>
      </c>
      <c r="D318" s="112">
        <v>43816</v>
      </c>
      <c r="E318" s="570"/>
      <c r="F318" s="88" t="s">
        <v>2298</v>
      </c>
      <c r="G318" s="88" t="s">
        <v>1393</v>
      </c>
      <c r="H318" s="81" t="s">
        <v>220</v>
      </c>
      <c r="J318" s="75">
        <f t="shared" si="27"/>
        <v>1</v>
      </c>
      <c r="K318" s="76" t="s">
        <v>211</v>
      </c>
      <c r="Q318" s="78" t="s">
        <v>2130</v>
      </c>
      <c r="R318" s="75">
        <f t="shared" si="28"/>
        <v>1</v>
      </c>
      <c r="S318" s="263" t="s">
        <v>1991</v>
      </c>
      <c r="T318" s="263"/>
      <c r="U318" s="263"/>
      <c r="V318" s="263"/>
      <c r="W318" s="263"/>
      <c r="X318" s="263"/>
      <c r="Y318" s="575"/>
      <c r="Z318" s="575"/>
      <c r="AA318" s="576">
        <f t="shared" si="24"/>
        <v>0</v>
      </c>
      <c r="AB318" s="722"/>
    </row>
    <row r="319" spans="1:28" ht="15.75" customHeight="1" x14ac:dyDescent="0.35">
      <c r="A319" s="68" t="s">
        <v>2299</v>
      </c>
      <c r="C319" s="83">
        <v>43780</v>
      </c>
      <c r="D319" s="112">
        <v>43816</v>
      </c>
      <c r="E319" s="570"/>
      <c r="F319" s="88" t="s">
        <v>2300</v>
      </c>
      <c r="G319" s="88" t="s">
        <v>156</v>
      </c>
      <c r="H319" s="81" t="s">
        <v>220</v>
      </c>
      <c r="I319" s="98" t="s">
        <v>611</v>
      </c>
      <c r="J319" s="75">
        <f t="shared" si="27"/>
        <v>1</v>
      </c>
      <c r="K319" s="76" t="s">
        <v>211</v>
      </c>
      <c r="L319" s="99" t="s">
        <v>2478</v>
      </c>
      <c r="N319" s="78" t="s">
        <v>19</v>
      </c>
      <c r="Q319" s="78" t="s">
        <v>2130</v>
      </c>
      <c r="R319" s="75">
        <f t="shared" si="28"/>
        <v>1</v>
      </c>
      <c r="S319" s="263" t="s">
        <v>1991</v>
      </c>
      <c r="T319" s="263"/>
      <c r="U319" s="263"/>
      <c r="V319" s="263"/>
      <c r="W319" s="263"/>
      <c r="X319" s="263"/>
      <c r="Y319" s="575"/>
      <c r="Z319" s="575"/>
      <c r="AA319" s="576">
        <f t="shared" si="24"/>
        <v>0</v>
      </c>
      <c r="AB319" s="722"/>
    </row>
    <row r="320" spans="1:28" ht="15.75" customHeight="1" x14ac:dyDescent="0.35">
      <c r="A320" s="68" t="s">
        <v>2301</v>
      </c>
      <c r="C320" s="83">
        <v>43781</v>
      </c>
      <c r="D320" s="112">
        <v>43817</v>
      </c>
      <c r="E320" s="570"/>
      <c r="F320" s="88" t="s">
        <v>2302</v>
      </c>
      <c r="G320" s="88" t="s">
        <v>149</v>
      </c>
      <c r="H320" s="81" t="s">
        <v>220</v>
      </c>
      <c r="J320" s="75">
        <f t="shared" si="27"/>
        <v>1</v>
      </c>
      <c r="K320" s="76" t="s">
        <v>211</v>
      </c>
      <c r="Q320" s="78" t="s">
        <v>2130</v>
      </c>
      <c r="R320" s="75">
        <f t="shared" si="28"/>
        <v>1</v>
      </c>
      <c r="S320" s="263" t="s">
        <v>1991</v>
      </c>
      <c r="T320" s="263"/>
      <c r="U320" s="263"/>
      <c r="V320" s="263"/>
      <c r="W320" s="263"/>
      <c r="X320" s="263"/>
      <c r="Y320" s="575"/>
      <c r="Z320" s="575"/>
      <c r="AA320" s="576">
        <f t="shared" si="24"/>
        <v>0</v>
      </c>
      <c r="AB320" s="722"/>
    </row>
    <row r="321" spans="1:28" ht="15.75" customHeight="1" x14ac:dyDescent="0.35">
      <c r="A321" s="68" t="s">
        <v>2303</v>
      </c>
      <c r="C321" s="83">
        <v>43782</v>
      </c>
      <c r="D321" s="112">
        <v>43817</v>
      </c>
      <c r="E321" s="570"/>
      <c r="F321" s="88" t="s">
        <v>2304</v>
      </c>
      <c r="G321" s="88" t="s">
        <v>154</v>
      </c>
      <c r="H321" s="81" t="s">
        <v>220</v>
      </c>
      <c r="J321" s="75">
        <f t="shared" si="27"/>
        <v>1</v>
      </c>
      <c r="K321" s="76" t="s">
        <v>211</v>
      </c>
      <c r="Q321" s="78" t="s">
        <v>2130</v>
      </c>
      <c r="R321" s="75">
        <f t="shared" si="28"/>
        <v>1</v>
      </c>
      <c r="S321" s="263" t="s">
        <v>1991</v>
      </c>
      <c r="T321" s="263"/>
      <c r="U321" s="263"/>
      <c r="V321" s="263"/>
      <c r="W321" s="263"/>
      <c r="X321" s="263"/>
      <c r="Y321" s="575"/>
      <c r="Z321" s="575"/>
      <c r="AA321" s="576">
        <f t="shared" si="24"/>
        <v>0</v>
      </c>
      <c r="AB321" s="722"/>
    </row>
    <row r="322" spans="1:28" ht="15.75" customHeight="1" x14ac:dyDescent="0.35">
      <c r="A322" s="68" t="s">
        <v>2305</v>
      </c>
      <c r="C322" s="83">
        <v>43783</v>
      </c>
      <c r="D322" s="112">
        <v>43818</v>
      </c>
      <c r="E322" s="570"/>
      <c r="F322" s="88" t="s">
        <v>2306</v>
      </c>
      <c r="G322" s="88" t="s">
        <v>149</v>
      </c>
      <c r="H322" s="81" t="s">
        <v>220</v>
      </c>
      <c r="J322" s="75">
        <f t="shared" si="27"/>
        <v>1</v>
      </c>
      <c r="K322" s="76" t="s">
        <v>211</v>
      </c>
      <c r="Q322" s="78" t="s">
        <v>2130</v>
      </c>
      <c r="R322" s="75">
        <f t="shared" si="28"/>
        <v>1</v>
      </c>
      <c r="S322" s="263" t="s">
        <v>1991</v>
      </c>
      <c r="T322" s="263"/>
      <c r="U322" s="263"/>
      <c r="V322" s="263"/>
      <c r="W322" s="263"/>
      <c r="X322" s="263"/>
      <c r="Y322" s="575"/>
      <c r="Z322" s="575"/>
      <c r="AA322" s="576">
        <f t="shared" si="24"/>
        <v>0</v>
      </c>
      <c r="AB322" s="722"/>
    </row>
    <row r="323" spans="1:28" ht="15.75" customHeight="1" x14ac:dyDescent="0.35">
      <c r="A323" s="68" t="s">
        <v>2307</v>
      </c>
      <c r="C323" s="83">
        <v>43783</v>
      </c>
      <c r="D323" s="112">
        <v>43818</v>
      </c>
      <c r="E323" s="570"/>
      <c r="F323" s="88" t="s">
        <v>2308</v>
      </c>
      <c r="G323" s="88" t="s">
        <v>149</v>
      </c>
      <c r="H323" s="81" t="s">
        <v>220</v>
      </c>
      <c r="J323" s="75">
        <f t="shared" si="27"/>
        <v>1</v>
      </c>
      <c r="K323" s="76" t="s">
        <v>211</v>
      </c>
      <c r="Q323" s="78" t="s">
        <v>2130</v>
      </c>
      <c r="R323" s="75">
        <f t="shared" si="28"/>
        <v>1</v>
      </c>
      <c r="S323" s="263" t="s">
        <v>1991</v>
      </c>
      <c r="T323" s="263"/>
      <c r="U323" s="263"/>
      <c r="V323" s="263"/>
      <c r="W323" s="263"/>
      <c r="X323" s="263"/>
      <c r="Y323" s="575"/>
      <c r="Z323" s="575"/>
      <c r="AA323" s="576">
        <f t="shared" ref="AA323:AA386" si="29">Z323-Y323</f>
        <v>0</v>
      </c>
      <c r="AB323" s="722"/>
    </row>
    <row r="324" spans="1:28" ht="15.75" customHeight="1" x14ac:dyDescent="0.35">
      <c r="A324" s="68" t="s">
        <v>2309</v>
      </c>
      <c r="C324" s="83">
        <v>43784</v>
      </c>
      <c r="D324" s="112">
        <v>43819</v>
      </c>
      <c r="E324" s="570"/>
      <c r="F324" s="88" t="s">
        <v>2310</v>
      </c>
      <c r="G324" s="88" t="s">
        <v>162</v>
      </c>
      <c r="H324" s="81" t="s">
        <v>275</v>
      </c>
      <c r="I324" s="98" t="s">
        <v>664</v>
      </c>
      <c r="J324" s="75">
        <f t="shared" si="27"/>
        <v>1</v>
      </c>
      <c r="K324" s="76" t="s">
        <v>211</v>
      </c>
      <c r="L324" s="99" t="s">
        <v>2522</v>
      </c>
      <c r="Q324" s="78" t="s">
        <v>2130</v>
      </c>
      <c r="R324" s="75">
        <f t="shared" si="28"/>
        <v>1</v>
      </c>
      <c r="S324" s="263" t="s">
        <v>1991</v>
      </c>
      <c r="T324" s="263"/>
      <c r="U324" s="263"/>
      <c r="V324" s="263"/>
      <c r="W324" s="263"/>
      <c r="X324" s="263"/>
      <c r="Y324" s="575"/>
      <c r="Z324" s="575"/>
      <c r="AA324" s="576">
        <f t="shared" si="29"/>
        <v>0</v>
      </c>
      <c r="AB324" s="722"/>
    </row>
    <row r="325" spans="1:28" ht="15.75" customHeight="1" x14ac:dyDescent="0.35">
      <c r="A325" s="68" t="s">
        <v>2311</v>
      </c>
      <c r="C325" s="83">
        <v>43791</v>
      </c>
      <c r="D325" s="112">
        <v>43815</v>
      </c>
      <c r="E325" s="570"/>
      <c r="F325" s="88" t="s">
        <v>2312</v>
      </c>
      <c r="G325" s="88" t="s">
        <v>158</v>
      </c>
      <c r="H325" s="81" t="s">
        <v>220</v>
      </c>
      <c r="J325" s="75">
        <f t="shared" si="27"/>
        <v>1</v>
      </c>
      <c r="K325" s="76" t="s">
        <v>211</v>
      </c>
      <c r="Q325" s="78" t="s">
        <v>2130</v>
      </c>
      <c r="R325" s="75">
        <f t="shared" si="28"/>
        <v>1</v>
      </c>
      <c r="S325" s="263" t="s">
        <v>1991</v>
      </c>
      <c r="T325" s="263"/>
      <c r="U325" s="263"/>
      <c r="V325" s="263"/>
      <c r="W325" s="263"/>
      <c r="X325" s="263"/>
      <c r="Y325" s="575"/>
      <c r="Z325" s="575"/>
      <c r="AA325" s="576">
        <f t="shared" si="29"/>
        <v>0</v>
      </c>
      <c r="AB325" s="722"/>
    </row>
    <row r="326" spans="1:28" ht="15.75" customHeight="1" x14ac:dyDescent="0.35">
      <c r="A326" s="68" t="s">
        <v>2313</v>
      </c>
      <c r="C326" s="83">
        <v>43791</v>
      </c>
      <c r="D326" s="112">
        <v>43815</v>
      </c>
      <c r="E326" s="570"/>
      <c r="F326" s="88" t="s">
        <v>2314</v>
      </c>
      <c r="G326" s="88" t="s">
        <v>154</v>
      </c>
      <c r="H326" s="81" t="s">
        <v>220</v>
      </c>
      <c r="J326" s="75">
        <f t="shared" si="27"/>
        <v>1</v>
      </c>
      <c r="K326" s="76" t="s">
        <v>221</v>
      </c>
      <c r="Q326" s="78" t="s">
        <v>2130</v>
      </c>
      <c r="R326" s="75">
        <f t="shared" si="28"/>
        <v>1</v>
      </c>
      <c r="S326" s="263" t="s">
        <v>1991</v>
      </c>
      <c r="T326" s="263"/>
      <c r="U326" s="263"/>
      <c r="V326" s="263"/>
      <c r="W326" s="263"/>
      <c r="X326" s="263"/>
      <c r="Y326" s="575"/>
      <c r="Z326" s="575"/>
      <c r="AA326" s="576">
        <f t="shared" si="29"/>
        <v>0</v>
      </c>
      <c r="AB326" s="722"/>
    </row>
    <row r="327" spans="1:28" ht="15.75" customHeight="1" x14ac:dyDescent="0.35">
      <c r="A327" s="68" t="s">
        <v>2315</v>
      </c>
      <c r="C327" s="83">
        <v>43791</v>
      </c>
      <c r="D327" s="112">
        <v>43815</v>
      </c>
      <c r="E327" s="570"/>
      <c r="F327" s="88" t="s">
        <v>2316</v>
      </c>
      <c r="G327" s="88" t="s">
        <v>195</v>
      </c>
      <c r="H327" s="81" t="s">
        <v>275</v>
      </c>
      <c r="J327" s="75">
        <f t="shared" si="27"/>
        <v>1</v>
      </c>
      <c r="K327" s="76" t="s">
        <v>211</v>
      </c>
      <c r="Q327" s="78" t="s">
        <v>2130</v>
      </c>
      <c r="R327" s="75">
        <f t="shared" si="28"/>
        <v>1</v>
      </c>
      <c r="S327" s="263" t="s">
        <v>1991</v>
      </c>
      <c r="T327" s="263"/>
      <c r="U327" s="263"/>
      <c r="V327" s="263"/>
      <c r="W327" s="263"/>
      <c r="X327" s="263"/>
      <c r="Y327" s="575"/>
      <c r="Z327" s="575"/>
      <c r="AA327" s="576">
        <f t="shared" si="29"/>
        <v>0</v>
      </c>
      <c r="AB327" s="722"/>
    </row>
    <row r="328" spans="1:28" ht="15.75" customHeight="1" x14ac:dyDescent="0.35">
      <c r="A328" s="68" t="s">
        <v>2317</v>
      </c>
      <c r="C328" s="83">
        <v>43791</v>
      </c>
      <c r="D328" s="112">
        <v>43815</v>
      </c>
      <c r="E328" s="570"/>
      <c r="F328" s="88" t="s">
        <v>2318</v>
      </c>
      <c r="G328" s="88" t="s">
        <v>156</v>
      </c>
      <c r="H328" s="81" t="s">
        <v>220</v>
      </c>
      <c r="J328" s="75">
        <f t="shared" si="27"/>
        <v>1</v>
      </c>
      <c r="K328" s="76" t="s">
        <v>221</v>
      </c>
      <c r="Q328" s="78" t="s">
        <v>2130</v>
      </c>
      <c r="R328" s="75">
        <f t="shared" si="28"/>
        <v>1</v>
      </c>
      <c r="S328" s="263" t="s">
        <v>1991</v>
      </c>
      <c r="T328" s="263"/>
      <c r="U328" s="263"/>
      <c r="V328" s="263"/>
      <c r="W328" s="263"/>
      <c r="X328" s="263"/>
      <c r="Y328" s="575"/>
      <c r="Z328" s="575"/>
      <c r="AA328" s="576">
        <f t="shared" si="29"/>
        <v>0</v>
      </c>
      <c r="AB328" s="722"/>
    </row>
    <row r="329" spans="1:28" ht="15.75" customHeight="1" x14ac:dyDescent="0.35">
      <c r="A329" s="68" t="s">
        <v>2325</v>
      </c>
      <c r="C329" s="83">
        <v>43795</v>
      </c>
      <c r="D329" s="112">
        <v>43816</v>
      </c>
      <c r="E329" s="570"/>
      <c r="F329" s="88" t="s">
        <v>2326</v>
      </c>
      <c r="G329" s="88" t="s">
        <v>162</v>
      </c>
      <c r="H329" s="81" t="s">
        <v>220</v>
      </c>
      <c r="J329" s="75">
        <f t="shared" si="27"/>
        <v>1</v>
      </c>
      <c r="K329" s="76" t="s">
        <v>211</v>
      </c>
      <c r="L329" s="99" t="s">
        <v>2470</v>
      </c>
      <c r="Q329" s="78" t="s">
        <v>2130</v>
      </c>
      <c r="R329" s="75">
        <f t="shared" si="28"/>
        <v>1</v>
      </c>
      <c r="S329" s="263" t="s">
        <v>1991</v>
      </c>
      <c r="T329" s="263"/>
      <c r="U329" s="263"/>
      <c r="V329" s="263"/>
      <c r="W329" s="263"/>
      <c r="X329" s="263"/>
      <c r="Y329" s="575"/>
      <c r="Z329" s="575"/>
      <c r="AA329" s="576">
        <f t="shared" si="29"/>
        <v>0</v>
      </c>
      <c r="AB329" s="722"/>
    </row>
    <row r="330" spans="1:28" ht="15.75" customHeight="1" x14ac:dyDescent="0.35">
      <c r="A330" s="68" t="s">
        <v>2327</v>
      </c>
      <c r="C330" s="83">
        <v>43795</v>
      </c>
      <c r="D330" s="112">
        <v>43817</v>
      </c>
      <c r="E330" s="570"/>
      <c r="F330" s="88" t="s">
        <v>2328</v>
      </c>
      <c r="G330" s="88" t="s">
        <v>154</v>
      </c>
      <c r="H330" s="81" t="s">
        <v>220</v>
      </c>
      <c r="J330" s="75">
        <f t="shared" si="27"/>
        <v>1</v>
      </c>
      <c r="K330" s="76" t="s">
        <v>211</v>
      </c>
      <c r="Q330" s="78" t="s">
        <v>2130</v>
      </c>
      <c r="R330" s="75">
        <f t="shared" si="28"/>
        <v>1</v>
      </c>
      <c r="S330" s="263" t="s">
        <v>1991</v>
      </c>
      <c r="T330" s="263"/>
      <c r="U330" s="263"/>
      <c r="V330" s="263"/>
      <c r="W330" s="263"/>
      <c r="X330" s="263"/>
      <c r="Y330" s="575"/>
      <c r="Z330" s="575"/>
      <c r="AA330" s="576">
        <f t="shared" si="29"/>
        <v>0</v>
      </c>
      <c r="AB330" s="722"/>
    </row>
    <row r="331" spans="1:28" ht="15.75" customHeight="1" x14ac:dyDescent="0.35">
      <c r="A331" s="68" t="s">
        <v>2331</v>
      </c>
      <c r="C331" s="83">
        <v>43796</v>
      </c>
      <c r="D331" s="112">
        <v>43817</v>
      </c>
      <c r="E331" s="570"/>
      <c r="F331" s="88" t="s">
        <v>2332</v>
      </c>
      <c r="G331" s="88" t="s">
        <v>154</v>
      </c>
      <c r="H331" s="81" t="s">
        <v>220</v>
      </c>
      <c r="J331" s="75">
        <f t="shared" si="27"/>
        <v>1</v>
      </c>
      <c r="K331" s="76" t="s">
        <v>211</v>
      </c>
      <c r="Q331" s="78" t="s">
        <v>2130</v>
      </c>
      <c r="R331" s="75">
        <f t="shared" si="28"/>
        <v>1</v>
      </c>
      <c r="S331" s="263" t="s">
        <v>1991</v>
      </c>
      <c r="T331" s="263"/>
      <c r="U331" s="263"/>
      <c r="V331" s="263"/>
      <c r="W331" s="263"/>
      <c r="X331" s="263"/>
      <c r="Y331" s="575"/>
      <c r="Z331" s="575"/>
      <c r="AA331" s="576">
        <f t="shared" si="29"/>
        <v>0</v>
      </c>
      <c r="AB331" s="722"/>
    </row>
    <row r="332" spans="1:28" ht="15.75" customHeight="1" x14ac:dyDescent="0.35">
      <c r="A332" s="68" t="s">
        <v>2335</v>
      </c>
      <c r="C332" s="83">
        <v>43796</v>
      </c>
      <c r="D332" s="112">
        <v>43818</v>
      </c>
      <c r="E332" s="570"/>
      <c r="F332" s="88" t="s">
        <v>2336</v>
      </c>
      <c r="G332" s="88" t="s">
        <v>154</v>
      </c>
      <c r="H332" s="81" t="s">
        <v>220</v>
      </c>
      <c r="I332" s="98" t="s">
        <v>656</v>
      </c>
      <c r="J332" s="75">
        <f t="shared" si="27"/>
        <v>1</v>
      </c>
      <c r="K332" s="76" t="s">
        <v>211</v>
      </c>
      <c r="L332" s="99" t="s">
        <v>2513</v>
      </c>
      <c r="Q332" s="78" t="s">
        <v>2130</v>
      </c>
      <c r="R332" s="75">
        <f t="shared" si="28"/>
        <v>1</v>
      </c>
      <c r="S332" s="263" t="s">
        <v>1991</v>
      </c>
      <c r="T332" s="263"/>
      <c r="U332" s="263"/>
      <c r="V332" s="263"/>
      <c r="W332" s="263"/>
      <c r="X332" s="263"/>
      <c r="Y332" s="575"/>
      <c r="Z332" s="575"/>
      <c r="AA332" s="576">
        <f t="shared" si="29"/>
        <v>0</v>
      </c>
      <c r="AB332" s="722"/>
    </row>
    <row r="333" spans="1:28" ht="15.75" customHeight="1" x14ac:dyDescent="0.35">
      <c r="A333" s="68" t="s">
        <v>2345</v>
      </c>
      <c r="C333" s="83">
        <v>43798</v>
      </c>
      <c r="D333" s="112">
        <v>43819</v>
      </c>
      <c r="E333" s="570"/>
      <c r="F333" s="88" t="s">
        <v>2346</v>
      </c>
      <c r="G333" s="88" t="s">
        <v>162</v>
      </c>
      <c r="H333" s="81" t="s">
        <v>220</v>
      </c>
      <c r="J333" s="75">
        <f t="shared" si="27"/>
        <v>1</v>
      </c>
      <c r="K333" s="76" t="s">
        <v>211</v>
      </c>
      <c r="Q333" s="304" t="s">
        <v>2130</v>
      </c>
      <c r="R333" s="75">
        <f t="shared" si="28"/>
        <v>1</v>
      </c>
      <c r="S333" s="263" t="s">
        <v>1991</v>
      </c>
      <c r="T333" s="263"/>
      <c r="U333" s="263"/>
      <c r="V333" s="263"/>
      <c r="W333" s="263"/>
      <c r="X333" s="263"/>
      <c r="Y333" s="575"/>
      <c r="Z333" s="575"/>
      <c r="AA333" s="576">
        <f t="shared" si="29"/>
        <v>0</v>
      </c>
      <c r="AB333" s="722"/>
    </row>
    <row r="334" spans="1:28" ht="15.75" customHeight="1" x14ac:dyDescent="0.35">
      <c r="A334" s="68" t="s">
        <v>2349</v>
      </c>
      <c r="C334" s="83">
        <v>43763</v>
      </c>
      <c r="D334" s="112">
        <v>43815</v>
      </c>
      <c r="E334" s="570"/>
      <c r="F334" s="88" t="s">
        <v>2350</v>
      </c>
      <c r="G334" s="88" t="s">
        <v>158</v>
      </c>
      <c r="H334" s="81" t="s">
        <v>220</v>
      </c>
      <c r="J334" s="75">
        <f t="shared" si="27"/>
        <v>1</v>
      </c>
      <c r="K334" s="76" t="s">
        <v>211</v>
      </c>
      <c r="Q334" s="78" t="s">
        <v>2163</v>
      </c>
      <c r="R334" s="75">
        <f t="shared" si="28"/>
        <v>1</v>
      </c>
      <c r="S334" s="263" t="s">
        <v>1991</v>
      </c>
      <c r="T334" s="263"/>
      <c r="U334" s="263"/>
      <c r="V334" s="263"/>
      <c r="W334" s="263"/>
      <c r="X334" s="263"/>
      <c r="Y334" s="575"/>
      <c r="Z334" s="575"/>
      <c r="AA334" s="576">
        <f t="shared" si="29"/>
        <v>0</v>
      </c>
      <c r="AB334" s="722"/>
    </row>
    <row r="335" spans="1:28" ht="15.75" customHeight="1" x14ac:dyDescent="0.35">
      <c r="A335" s="68" t="s">
        <v>2351</v>
      </c>
      <c r="C335" s="83">
        <v>43777</v>
      </c>
      <c r="D335" s="112">
        <v>43815</v>
      </c>
      <c r="E335" s="570"/>
      <c r="F335" s="88" t="s">
        <v>2352</v>
      </c>
      <c r="G335" s="88" t="s">
        <v>154</v>
      </c>
      <c r="H335" s="81" t="s">
        <v>220</v>
      </c>
      <c r="J335" s="75">
        <f t="shared" si="27"/>
        <v>1</v>
      </c>
      <c r="K335" s="76" t="s">
        <v>211</v>
      </c>
      <c r="Q335" s="78" t="s">
        <v>2163</v>
      </c>
      <c r="R335" s="75">
        <f t="shared" si="28"/>
        <v>1</v>
      </c>
      <c r="S335" s="263" t="s">
        <v>1991</v>
      </c>
      <c r="T335" s="263"/>
      <c r="U335" s="263"/>
      <c r="V335" s="263"/>
      <c r="W335" s="263"/>
      <c r="X335" s="263"/>
      <c r="Y335" s="575"/>
      <c r="Z335" s="575"/>
      <c r="AA335" s="576">
        <f t="shared" si="29"/>
        <v>0</v>
      </c>
      <c r="AB335" s="722"/>
    </row>
    <row r="336" spans="1:28" ht="15.75" customHeight="1" x14ac:dyDescent="0.35">
      <c r="A336" s="68" t="s">
        <v>2353</v>
      </c>
      <c r="C336" s="83">
        <v>43780</v>
      </c>
      <c r="D336" s="112">
        <v>43816</v>
      </c>
      <c r="E336" s="570"/>
      <c r="F336" s="88" t="s">
        <v>2354</v>
      </c>
      <c r="G336" s="88" t="s">
        <v>152</v>
      </c>
      <c r="H336" s="81" t="s">
        <v>220</v>
      </c>
      <c r="J336" s="75">
        <f t="shared" si="27"/>
        <v>1</v>
      </c>
      <c r="K336" s="76" t="s">
        <v>211</v>
      </c>
      <c r="Q336" s="78" t="s">
        <v>2163</v>
      </c>
      <c r="R336" s="75">
        <f t="shared" si="28"/>
        <v>1</v>
      </c>
      <c r="S336" s="263" t="s">
        <v>1991</v>
      </c>
      <c r="T336" s="263"/>
      <c r="U336" s="263"/>
      <c r="V336" s="263"/>
      <c r="W336" s="263"/>
      <c r="X336" s="263"/>
      <c r="Y336" s="575"/>
      <c r="Z336" s="575"/>
      <c r="AA336" s="576">
        <f t="shared" si="29"/>
        <v>0</v>
      </c>
      <c r="AB336" s="722"/>
    </row>
    <row r="337" spans="1:28" ht="15.75" customHeight="1" x14ac:dyDescent="0.35">
      <c r="A337" s="68" t="s">
        <v>2355</v>
      </c>
      <c r="C337" s="83">
        <v>43780</v>
      </c>
      <c r="D337" s="112">
        <v>43816</v>
      </c>
      <c r="E337" s="570"/>
      <c r="F337" s="88" t="s">
        <v>2356</v>
      </c>
      <c r="G337" s="88" t="s">
        <v>154</v>
      </c>
      <c r="H337" s="81" t="s">
        <v>220</v>
      </c>
      <c r="J337" s="75">
        <f t="shared" si="27"/>
        <v>1</v>
      </c>
      <c r="K337" s="76" t="s">
        <v>211</v>
      </c>
      <c r="Q337" s="78" t="s">
        <v>2163</v>
      </c>
      <c r="R337" s="75">
        <f t="shared" si="28"/>
        <v>1</v>
      </c>
      <c r="S337" s="263" t="s">
        <v>1991</v>
      </c>
      <c r="T337" s="263"/>
      <c r="U337" s="263"/>
      <c r="V337" s="263"/>
      <c r="W337" s="263"/>
      <c r="X337" s="263"/>
      <c r="Y337" s="575"/>
      <c r="Z337" s="575"/>
      <c r="AA337" s="576">
        <f t="shared" si="29"/>
        <v>0</v>
      </c>
      <c r="AB337" s="722"/>
    </row>
    <row r="338" spans="1:28" ht="15.75" customHeight="1" x14ac:dyDescent="0.35">
      <c r="A338" s="68" t="s">
        <v>2357</v>
      </c>
      <c r="C338" s="83">
        <v>43780</v>
      </c>
      <c r="D338" s="112">
        <v>43816</v>
      </c>
      <c r="E338" s="570"/>
      <c r="F338" s="88" t="s">
        <v>2358</v>
      </c>
      <c r="G338" s="88" t="s">
        <v>149</v>
      </c>
      <c r="H338" s="81" t="s">
        <v>220</v>
      </c>
      <c r="J338" s="75">
        <f t="shared" si="27"/>
        <v>1</v>
      </c>
      <c r="K338" s="76" t="s">
        <v>211</v>
      </c>
      <c r="Q338" s="78" t="s">
        <v>2163</v>
      </c>
      <c r="R338" s="75">
        <f t="shared" si="28"/>
        <v>1</v>
      </c>
      <c r="S338" s="263" t="s">
        <v>1991</v>
      </c>
      <c r="T338" s="263"/>
      <c r="U338" s="263"/>
      <c r="V338" s="263"/>
      <c r="W338" s="263"/>
      <c r="X338" s="263"/>
      <c r="Y338" s="575"/>
      <c r="Z338" s="575"/>
      <c r="AA338" s="576">
        <f t="shared" si="29"/>
        <v>0</v>
      </c>
      <c r="AB338" s="722"/>
    </row>
    <row r="339" spans="1:28" ht="15.75" customHeight="1" x14ac:dyDescent="0.35">
      <c r="A339" s="68" t="s">
        <v>2359</v>
      </c>
      <c r="C339" s="83">
        <v>43781</v>
      </c>
      <c r="D339" s="112">
        <v>43817</v>
      </c>
      <c r="E339" s="570"/>
      <c r="F339" s="88" t="s">
        <v>2360</v>
      </c>
      <c r="G339" s="88" t="s">
        <v>162</v>
      </c>
      <c r="H339" s="81" t="s">
        <v>220</v>
      </c>
      <c r="J339" s="75">
        <f t="shared" si="27"/>
        <v>1</v>
      </c>
      <c r="K339" s="76" t="s">
        <v>211</v>
      </c>
      <c r="L339" s="99" t="s">
        <v>2479</v>
      </c>
      <c r="Q339" s="78" t="s">
        <v>2163</v>
      </c>
      <c r="R339" s="75">
        <f t="shared" si="28"/>
        <v>1</v>
      </c>
      <c r="S339" s="263" t="s">
        <v>1991</v>
      </c>
      <c r="T339" s="263"/>
      <c r="U339" s="263"/>
      <c r="V339" s="263"/>
      <c r="W339" s="263"/>
      <c r="X339" s="263"/>
      <c r="Y339" s="575"/>
      <c r="Z339" s="575"/>
      <c r="AA339" s="576">
        <f t="shared" si="29"/>
        <v>0</v>
      </c>
      <c r="AB339" s="722"/>
    </row>
    <row r="340" spans="1:28" ht="15.75" customHeight="1" x14ac:dyDescent="0.35">
      <c r="A340" s="68" t="s">
        <v>2361</v>
      </c>
      <c r="C340" s="83">
        <v>43781</v>
      </c>
      <c r="D340" s="112">
        <v>43817</v>
      </c>
      <c r="E340" s="570"/>
      <c r="F340" s="88" t="s">
        <v>2362</v>
      </c>
      <c r="G340" s="88" t="s">
        <v>195</v>
      </c>
      <c r="H340" s="81" t="s">
        <v>220</v>
      </c>
      <c r="J340" s="75">
        <f t="shared" si="27"/>
        <v>1</v>
      </c>
      <c r="K340" s="76" t="s">
        <v>211</v>
      </c>
      <c r="Q340" s="78" t="s">
        <v>2163</v>
      </c>
      <c r="R340" s="75">
        <f t="shared" si="28"/>
        <v>1</v>
      </c>
      <c r="S340" s="263" t="s">
        <v>1991</v>
      </c>
      <c r="T340" s="263"/>
      <c r="U340" s="263"/>
      <c r="V340" s="263"/>
      <c r="W340" s="263"/>
      <c r="X340" s="263"/>
      <c r="Y340" s="575"/>
      <c r="Z340" s="575"/>
      <c r="AA340" s="576">
        <f t="shared" si="29"/>
        <v>0</v>
      </c>
      <c r="AB340" s="722"/>
    </row>
    <row r="341" spans="1:28" ht="15.75" customHeight="1" x14ac:dyDescent="0.35">
      <c r="A341" s="68" t="s">
        <v>1972</v>
      </c>
      <c r="C341" s="83">
        <v>43783</v>
      </c>
      <c r="D341" s="112">
        <v>43818</v>
      </c>
      <c r="E341" s="570"/>
      <c r="F341" s="88" t="s">
        <v>1973</v>
      </c>
      <c r="G341" s="88" t="s">
        <v>152</v>
      </c>
      <c r="H341" s="81" t="s">
        <v>220</v>
      </c>
      <c r="I341" s="98" t="s">
        <v>649</v>
      </c>
      <c r="J341" s="75">
        <f t="shared" si="27"/>
        <v>1</v>
      </c>
      <c r="K341" s="76" t="s">
        <v>211</v>
      </c>
      <c r="Q341" s="78" t="s">
        <v>2163</v>
      </c>
      <c r="R341" s="75">
        <f t="shared" si="28"/>
        <v>1</v>
      </c>
      <c r="S341" s="263" t="s">
        <v>1991</v>
      </c>
      <c r="T341" s="263"/>
      <c r="U341" s="263"/>
      <c r="V341" s="263"/>
      <c r="W341" s="263"/>
      <c r="X341" s="263"/>
      <c r="Y341" s="575"/>
      <c r="Z341" s="575"/>
      <c r="AA341" s="576">
        <f t="shared" si="29"/>
        <v>0</v>
      </c>
      <c r="AB341" s="722"/>
    </row>
    <row r="342" spans="1:28" ht="15.75" customHeight="1" x14ac:dyDescent="0.35">
      <c r="A342" s="68" t="s">
        <v>1974</v>
      </c>
      <c r="C342" s="83">
        <v>43783</v>
      </c>
      <c r="D342" s="112">
        <v>43818</v>
      </c>
      <c r="E342" s="570"/>
      <c r="F342" s="88" t="s">
        <v>1975</v>
      </c>
      <c r="G342" s="88" t="s">
        <v>160</v>
      </c>
      <c r="H342" s="81" t="s">
        <v>220</v>
      </c>
      <c r="J342" s="75">
        <f t="shared" si="27"/>
        <v>1</v>
      </c>
      <c r="K342" s="76" t="s">
        <v>211</v>
      </c>
      <c r="Q342" s="78" t="s">
        <v>2163</v>
      </c>
      <c r="R342" s="75">
        <f t="shared" si="28"/>
        <v>1</v>
      </c>
      <c r="S342" s="263" t="s">
        <v>1991</v>
      </c>
      <c r="T342" s="263"/>
      <c r="U342" s="263"/>
      <c r="V342" s="263"/>
      <c r="W342" s="263"/>
      <c r="X342" s="263"/>
      <c r="Y342" s="575"/>
      <c r="Z342" s="575"/>
      <c r="AA342" s="576">
        <f t="shared" si="29"/>
        <v>0</v>
      </c>
      <c r="AB342" s="722"/>
    </row>
    <row r="343" spans="1:28" ht="15.75" customHeight="1" x14ac:dyDescent="0.35">
      <c r="A343" s="68" t="s">
        <v>2369</v>
      </c>
      <c r="C343" s="83">
        <v>43794</v>
      </c>
      <c r="D343" s="112">
        <v>43815</v>
      </c>
      <c r="E343" s="570"/>
      <c r="F343" s="88" t="s">
        <v>2370</v>
      </c>
      <c r="G343" s="88" t="s">
        <v>158</v>
      </c>
      <c r="H343" s="81" t="s">
        <v>220</v>
      </c>
      <c r="J343" s="75">
        <f t="shared" si="27"/>
        <v>1</v>
      </c>
      <c r="K343" s="76" t="s">
        <v>211</v>
      </c>
      <c r="Q343" s="78" t="s">
        <v>2163</v>
      </c>
      <c r="R343" s="75">
        <f t="shared" si="28"/>
        <v>1</v>
      </c>
      <c r="S343" s="263" t="s">
        <v>1991</v>
      </c>
      <c r="T343" s="263"/>
      <c r="U343" s="263"/>
      <c r="V343" s="263"/>
      <c r="W343" s="263"/>
      <c r="X343" s="263"/>
      <c r="Y343" s="575"/>
      <c r="Z343" s="575"/>
      <c r="AA343" s="576">
        <f t="shared" si="29"/>
        <v>0</v>
      </c>
      <c r="AB343" s="722"/>
    </row>
    <row r="344" spans="1:28" ht="15.75" customHeight="1" x14ac:dyDescent="0.35">
      <c r="A344" s="68" t="s">
        <v>2373</v>
      </c>
      <c r="C344" s="83">
        <v>43794</v>
      </c>
      <c r="D344" s="112">
        <v>43815</v>
      </c>
      <c r="E344" s="570"/>
      <c r="F344" s="88" t="s">
        <v>2374</v>
      </c>
      <c r="G344" s="88" t="s">
        <v>417</v>
      </c>
      <c r="H344" s="81" t="s">
        <v>220</v>
      </c>
      <c r="J344" s="75">
        <f t="shared" ref="J344:J390" si="30">IF(OR(K344="Документы готовы",K344="Запрос в ФО",K344="ЭЗ",K344="РЕШ",K344="РЕШ шаблон"),0.1,IF(OR(K344="ЭЗ согласование",K344="РЕШ согласование"),0.3,IF(OR(K344="ЭЗ согласовано",K344="РЕШ согласовано",K344="РЕШ подписано"),0.6,IF(OR(K344="ЭЗ ПР согласование",K344="РЕШ УВ согласование"),0.9,IF(OR(K344="ЭЗ ПР DONE",K344="РЕШ УВ DONE"),1,0)))))</f>
        <v>1</v>
      </c>
      <c r="K344" s="76" t="s">
        <v>211</v>
      </c>
      <c r="L344" s="99" t="s">
        <v>2453</v>
      </c>
      <c r="N344" s="78" t="s">
        <v>18</v>
      </c>
      <c r="Q344" s="78" t="s">
        <v>2163</v>
      </c>
      <c r="R344" s="75">
        <f t="shared" ref="R344:R390" si="31">IF(S344="В работе",0.3,IF(S344="Отписано",0.6,IF(S344="На доработку",0.9,IF(S344="Согласовано",1,0))))</f>
        <v>1</v>
      </c>
      <c r="S344" s="263" t="s">
        <v>1991</v>
      </c>
      <c r="T344" s="263"/>
      <c r="U344" s="263"/>
      <c r="V344" s="263"/>
      <c r="W344" s="263"/>
      <c r="X344" s="263"/>
      <c r="Y344" s="575"/>
      <c r="Z344" s="575"/>
      <c r="AA344" s="576">
        <f t="shared" si="29"/>
        <v>0</v>
      </c>
      <c r="AB344" s="722"/>
    </row>
    <row r="345" spans="1:28" ht="15.75" customHeight="1" x14ac:dyDescent="0.35">
      <c r="A345" s="68" t="s">
        <v>2377</v>
      </c>
      <c r="C345" s="83">
        <v>43794</v>
      </c>
      <c r="D345" s="112">
        <v>43816</v>
      </c>
      <c r="E345" s="570"/>
      <c r="F345" s="88" t="s">
        <v>2378</v>
      </c>
      <c r="G345" s="88" t="s">
        <v>162</v>
      </c>
      <c r="H345" s="81" t="s">
        <v>220</v>
      </c>
      <c r="J345" s="75">
        <f t="shared" si="30"/>
        <v>1</v>
      </c>
      <c r="K345" s="76" t="s">
        <v>211</v>
      </c>
      <c r="Q345" s="78" t="s">
        <v>2163</v>
      </c>
      <c r="R345" s="75">
        <f t="shared" si="31"/>
        <v>1</v>
      </c>
      <c r="S345" s="263" t="s">
        <v>1991</v>
      </c>
      <c r="T345" s="263"/>
      <c r="U345" s="263"/>
      <c r="V345" s="263"/>
      <c r="W345" s="263"/>
      <c r="X345" s="263"/>
      <c r="Y345" s="575"/>
      <c r="Z345" s="575"/>
      <c r="AA345" s="576">
        <f t="shared" si="29"/>
        <v>0</v>
      </c>
      <c r="AB345" s="722"/>
    </row>
    <row r="346" spans="1:28" ht="15.75" customHeight="1" x14ac:dyDescent="0.35">
      <c r="A346" s="68" t="s">
        <v>2383</v>
      </c>
      <c r="C346" s="83">
        <v>43794</v>
      </c>
      <c r="D346" s="112">
        <v>43816</v>
      </c>
      <c r="E346" s="570"/>
      <c r="F346" s="88" t="s">
        <v>2384</v>
      </c>
      <c r="G346" s="88" t="s">
        <v>156</v>
      </c>
      <c r="H346" s="81" t="s">
        <v>220</v>
      </c>
      <c r="J346" s="75">
        <f t="shared" si="30"/>
        <v>1</v>
      </c>
      <c r="K346" s="76" t="s">
        <v>211</v>
      </c>
      <c r="Q346" s="78" t="s">
        <v>2163</v>
      </c>
      <c r="R346" s="75">
        <f t="shared" si="31"/>
        <v>1</v>
      </c>
      <c r="S346" s="263" t="s">
        <v>1991</v>
      </c>
      <c r="T346" s="263"/>
      <c r="U346" s="263"/>
      <c r="V346" s="263"/>
      <c r="W346" s="263"/>
      <c r="X346" s="263"/>
      <c r="Y346" s="575"/>
      <c r="Z346" s="575"/>
      <c r="AA346" s="576">
        <f t="shared" si="29"/>
        <v>0</v>
      </c>
      <c r="AB346" s="722"/>
    </row>
    <row r="347" spans="1:28" ht="15.75" customHeight="1" x14ac:dyDescent="0.35">
      <c r="A347" s="68" t="s">
        <v>2387</v>
      </c>
      <c r="C347" s="83">
        <v>43796</v>
      </c>
      <c r="D347" s="112">
        <v>43818</v>
      </c>
      <c r="E347" s="570"/>
      <c r="F347" s="88" t="s">
        <v>2388</v>
      </c>
      <c r="G347" s="88" t="s">
        <v>181</v>
      </c>
      <c r="H347" s="81" t="s">
        <v>220</v>
      </c>
      <c r="J347" s="75">
        <f t="shared" si="30"/>
        <v>1</v>
      </c>
      <c r="K347" s="76" t="s">
        <v>211</v>
      </c>
      <c r="Q347" s="78" t="s">
        <v>2163</v>
      </c>
      <c r="R347" s="75">
        <f t="shared" si="31"/>
        <v>1</v>
      </c>
      <c r="S347" s="263" t="s">
        <v>1991</v>
      </c>
      <c r="T347" s="263"/>
      <c r="U347" s="263"/>
      <c r="V347" s="263"/>
      <c r="W347" s="263"/>
      <c r="X347" s="263"/>
      <c r="Y347" s="575"/>
      <c r="Z347" s="575"/>
      <c r="AA347" s="576">
        <f t="shared" si="29"/>
        <v>0</v>
      </c>
      <c r="AB347" s="722"/>
    </row>
    <row r="348" spans="1:28" ht="15.75" customHeight="1" x14ac:dyDescent="0.35">
      <c r="A348" s="327" t="s">
        <v>2391</v>
      </c>
      <c r="C348" s="83">
        <v>43796</v>
      </c>
      <c r="D348" s="112">
        <v>43818</v>
      </c>
      <c r="E348" s="570"/>
      <c r="F348" s="88" t="s">
        <v>2392</v>
      </c>
      <c r="G348" s="88" t="s">
        <v>149</v>
      </c>
      <c r="H348" s="81" t="s">
        <v>220</v>
      </c>
      <c r="J348" s="75">
        <f t="shared" si="30"/>
        <v>1</v>
      </c>
      <c r="K348" s="76" t="s">
        <v>211</v>
      </c>
      <c r="L348" s="99" t="s">
        <v>2519</v>
      </c>
      <c r="Q348" s="78" t="s">
        <v>2163</v>
      </c>
      <c r="R348" s="75">
        <f t="shared" si="31"/>
        <v>1</v>
      </c>
      <c r="S348" s="263" t="s">
        <v>1991</v>
      </c>
      <c r="T348" s="263"/>
      <c r="U348" s="263"/>
      <c r="V348" s="263"/>
      <c r="W348" s="263"/>
      <c r="X348" s="263"/>
      <c r="Y348" s="575"/>
      <c r="Z348" s="575"/>
      <c r="AA348" s="576">
        <f t="shared" si="29"/>
        <v>0</v>
      </c>
      <c r="AB348" s="722"/>
    </row>
    <row r="349" spans="1:28" ht="15.75" customHeight="1" x14ac:dyDescent="0.35">
      <c r="A349" s="68" t="s">
        <v>2393</v>
      </c>
      <c r="C349" s="83">
        <v>43796</v>
      </c>
      <c r="D349" s="112">
        <v>43818</v>
      </c>
      <c r="E349" s="570"/>
      <c r="F349" s="88" t="s">
        <v>2394</v>
      </c>
      <c r="G349" s="88" t="s">
        <v>160</v>
      </c>
      <c r="H349" s="81" t="s">
        <v>220</v>
      </c>
      <c r="J349" s="75">
        <f t="shared" si="30"/>
        <v>1</v>
      </c>
      <c r="K349" s="76" t="s">
        <v>211</v>
      </c>
      <c r="Q349" s="78" t="s">
        <v>2163</v>
      </c>
      <c r="R349" s="75">
        <f t="shared" si="31"/>
        <v>1</v>
      </c>
      <c r="S349" s="263" t="s">
        <v>1991</v>
      </c>
      <c r="T349" s="263"/>
      <c r="U349" s="263"/>
      <c r="V349" s="263"/>
      <c r="W349" s="263"/>
      <c r="X349" s="263"/>
      <c r="Y349" s="575"/>
      <c r="Z349" s="575"/>
      <c r="AA349" s="576">
        <f t="shared" si="29"/>
        <v>0</v>
      </c>
      <c r="AB349" s="722"/>
    </row>
    <row r="350" spans="1:28" ht="15.75" customHeight="1" x14ac:dyDescent="0.35">
      <c r="A350" s="68" t="s">
        <v>2397</v>
      </c>
      <c r="C350" s="83">
        <v>43796</v>
      </c>
      <c r="D350" s="112">
        <v>43818</v>
      </c>
      <c r="E350" s="570"/>
      <c r="F350" s="88" t="s">
        <v>2398</v>
      </c>
      <c r="G350" s="88" t="s">
        <v>162</v>
      </c>
      <c r="H350" s="81" t="s">
        <v>220</v>
      </c>
      <c r="J350" s="75">
        <f t="shared" si="30"/>
        <v>1</v>
      </c>
      <c r="K350" s="76" t="s">
        <v>211</v>
      </c>
      <c r="L350" s="99" t="s">
        <v>2520</v>
      </c>
      <c r="Q350" s="78" t="s">
        <v>2163</v>
      </c>
      <c r="R350" s="75">
        <f t="shared" si="31"/>
        <v>1</v>
      </c>
      <c r="S350" s="263" t="s">
        <v>1991</v>
      </c>
      <c r="T350" s="263"/>
      <c r="U350" s="263"/>
      <c r="V350" s="263"/>
      <c r="W350" s="263"/>
      <c r="X350" s="263"/>
      <c r="Y350" s="575"/>
      <c r="Z350" s="575"/>
      <c r="AA350" s="576">
        <f t="shared" si="29"/>
        <v>0</v>
      </c>
      <c r="AB350" s="722"/>
    </row>
    <row r="351" spans="1:28" ht="15.75" customHeight="1" x14ac:dyDescent="0.35">
      <c r="A351" s="68" t="s">
        <v>2399</v>
      </c>
      <c r="C351" s="83">
        <v>43796</v>
      </c>
      <c r="D351" s="112">
        <v>43817</v>
      </c>
      <c r="E351" s="570"/>
      <c r="F351" s="88" t="s">
        <v>2400</v>
      </c>
      <c r="G351" s="88" t="s">
        <v>158</v>
      </c>
      <c r="H351" s="81" t="s">
        <v>220</v>
      </c>
      <c r="J351" s="75">
        <f t="shared" si="30"/>
        <v>1</v>
      </c>
      <c r="K351" s="76" t="s">
        <v>211</v>
      </c>
      <c r="Q351" s="78" t="s">
        <v>2163</v>
      </c>
      <c r="R351" s="75">
        <f t="shared" si="31"/>
        <v>1</v>
      </c>
      <c r="S351" s="263" t="s">
        <v>1991</v>
      </c>
      <c r="T351" s="263"/>
      <c r="U351" s="263"/>
      <c r="V351" s="263"/>
      <c r="W351" s="263"/>
      <c r="X351" s="263"/>
      <c r="Y351" s="575"/>
      <c r="Z351" s="575"/>
      <c r="AA351" s="576">
        <f t="shared" si="29"/>
        <v>0</v>
      </c>
      <c r="AB351" s="722"/>
    </row>
    <row r="352" spans="1:28" ht="15.75" customHeight="1" x14ac:dyDescent="0.35">
      <c r="A352" s="68" t="s">
        <v>2407</v>
      </c>
      <c r="C352" s="83">
        <v>43767</v>
      </c>
      <c r="D352" s="112">
        <v>43818</v>
      </c>
      <c r="E352" s="570"/>
      <c r="F352" s="88" t="s">
        <v>2408</v>
      </c>
      <c r="G352" s="88" t="s">
        <v>158</v>
      </c>
      <c r="H352" s="81" t="s">
        <v>220</v>
      </c>
      <c r="J352" s="75">
        <f t="shared" si="30"/>
        <v>1</v>
      </c>
      <c r="K352" s="76" t="s">
        <v>211</v>
      </c>
      <c r="Q352" s="78" t="s">
        <v>2409</v>
      </c>
      <c r="R352" s="75">
        <f t="shared" si="31"/>
        <v>1</v>
      </c>
      <c r="S352" s="263" t="s">
        <v>1991</v>
      </c>
      <c r="T352" s="263"/>
      <c r="U352" s="263"/>
      <c r="V352" s="263"/>
      <c r="W352" s="263"/>
      <c r="X352" s="263"/>
      <c r="Y352" s="575"/>
      <c r="Z352" s="575"/>
      <c r="AA352" s="576">
        <f t="shared" si="29"/>
        <v>0</v>
      </c>
      <c r="AB352" s="722"/>
    </row>
    <row r="353" spans="1:28" ht="15.75" customHeight="1" x14ac:dyDescent="0.35">
      <c r="A353" s="68" t="s">
        <v>2410</v>
      </c>
      <c r="C353" s="83">
        <v>43769</v>
      </c>
      <c r="D353" s="112">
        <v>43815</v>
      </c>
      <c r="E353" s="570"/>
      <c r="F353" s="88" t="s">
        <v>2411</v>
      </c>
      <c r="G353" s="88" t="s">
        <v>158</v>
      </c>
      <c r="H353" s="81" t="s">
        <v>220</v>
      </c>
      <c r="J353" s="75">
        <f t="shared" si="30"/>
        <v>1</v>
      </c>
      <c r="K353" s="76" t="s">
        <v>211</v>
      </c>
      <c r="Q353" s="78" t="s">
        <v>2409</v>
      </c>
      <c r="R353" s="75">
        <f t="shared" si="31"/>
        <v>1</v>
      </c>
      <c r="S353" s="263" t="s">
        <v>1991</v>
      </c>
      <c r="T353" s="263"/>
      <c r="U353" s="263"/>
      <c r="V353" s="263"/>
      <c r="W353" s="263"/>
      <c r="X353" s="263"/>
      <c r="Y353" s="575"/>
      <c r="Z353" s="575"/>
      <c r="AA353" s="576">
        <f t="shared" si="29"/>
        <v>0</v>
      </c>
      <c r="AB353" s="722"/>
    </row>
    <row r="354" spans="1:28" ht="15.75" customHeight="1" x14ac:dyDescent="0.35">
      <c r="A354" s="68" t="s">
        <v>2412</v>
      </c>
      <c r="C354" s="83">
        <v>43777</v>
      </c>
      <c r="D354" s="112">
        <v>43815</v>
      </c>
      <c r="E354" s="570"/>
      <c r="F354" s="88" t="s">
        <v>2413</v>
      </c>
      <c r="G354" s="88" t="s">
        <v>162</v>
      </c>
      <c r="H354" s="81" t="s">
        <v>220</v>
      </c>
      <c r="J354" s="75">
        <f t="shared" si="30"/>
        <v>1</v>
      </c>
      <c r="K354" s="76" t="s">
        <v>211</v>
      </c>
      <c r="Q354" s="78" t="s">
        <v>2409</v>
      </c>
      <c r="R354" s="75">
        <f t="shared" si="31"/>
        <v>1</v>
      </c>
      <c r="S354" s="263" t="s">
        <v>1991</v>
      </c>
      <c r="T354" s="263"/>
      <c r="U354" s="263"/>
      <c r="V354" s="263"/>
      <c r="W354" s="263"/>
      <c r="X354" s="263"/>
      <c r="Y354" s="575"/>
      <c r="Z354" s="575"/>
      <c r="AA354" s="576">
        <f t="shared" si="29"/>
        <v>0</v>
      </c>
      <c r="AB354" s="722"/>
    </row>
    <row r="355" spans="1:28" ht="15.75" customHeight="1" x14ac:dyDescent="0.35">
      <c r="A355" s="68" t="s">
        <v>2414</v>
      </c>
      <c r="C355" s="83">
        <v>43780</v>
      </c>
      <c r="D355" s="112">
        <v>43816</v>
      </c>
      <c r="E355" s="570"/>
      <c r="F355" s="88" t="s">
        <v>2415</v>
      </c>
      <c r="G355" s="88" t="s">
        <v>152</v>
      </c>
      <c r="H355" s="81" t="s">
        <v>220</v>
      </c>
      <c r="J355" s="75">
        <f t="shared" si="30"/>
        <v>1</v>
      </c>
      <c r="K355" s="76" t="s">
        <v>211</v>
      </c>
      <c r="Q355" s="78" t="s">
        <v>2409</v>
      </c>
      <c r="R355" s="75">
        <f t="shared" si="31"/>
        <v>1</v>
      </c>
      <c r="S355" s="263" t="s">
        <v>1991</v>
      </c>
      <c r="T355" s="263"/>
      <c r="U355" s="263"/>
      <c r="V355" s="263"/>
      <c r="W355" s="263"/>
      <c r="X355" s="263"/>
      <c r="Y355" s="575"/>
      <c r="Z355" s="575"/>
      <c r="AA355" s="576">
        <f t="shared" si="29"/>
        <v>0</v>
      </c>
      <c r="AB355" s="722"/>
    </row>
    <row r="356" spans="1:28" ht="15.75" customHeight="1" x14ac:dyDescent="0.35">
      <c r="A356" s="68" t="s">
        <v>2416</v>
      </c>
      <c r="C356" s="83">
        <v>43780</v>
      </c>
      <c r="D356" s="112">
        <v>43816</v>
      </c>
      <c r="E356" s="570"/>
      <c r="F356" s="88" t="s">
        <v>2417</v>
      </c>
      <c r="G356" s="88" t="s">
        <v>162</v>
      </c>
      <c r="H356" s="81" t="s">
        <v>220</v>
      </c>
      <c r="J356" s="75">
        <f t="shared" si="30"/>
        <v>1</v>
      </c>
      <c r="K356" s="76" t="s">
        <v>211</v>
      </c>
      <c r="Q356" s="78" t="s">
        <v>2409</v>
      </c>
      <c r="R356" s="75">
        <f t="shared" si="31"/>
        <v>1</v>
      </c>
      <c r="S356" s="263" t="s">
        <v>1991</v>
      </c>
      <c r="T356" s="263"/>
      <c r="U356" s="263"/>
      <c r="V356" s="263"/>
      <c r="W356" s="263"/>
      <c r="X356" s="263"/>
      <c r="Y356" s="575"/>
      <c r="Z356" s="575"/>
      <c r="AA356" s="576">
        <f t="shared" si="29"/>
        <v>0</v>
      </c>
      <c r="AB356" s="722"/>
    </row>
    <row r="357" spans="1:28" ht="15.75" customHeight="1" x14ac:dyDescent="0.35">
      <c r="A357" s="68" t="s">
        <v>2418</v>
      </c>
      <c r="C357" s="83">
        <v>43782</v>
      </c>
      <c r="D357" s="112">
        <v>43817</v>
      </c>
      <c r="E357" s="570"/>
      <c r="F357" s="88" t="s">
        <v>2419</v>
      </c>
      <c r="G357" s="88" t="s">
        <v>162</v>
      </c>
      <c r="H357" s="81" t="s">
        <v>220</v>
      </c>
      <c r="J357" s="75">
        <f t="shared" si="30"/>
        <v>1</v>
      </c>
      <c r="K357" s="76" t="s">
        <v>211</v>
      </c>
      <c r="Q357" s="78" t="s">
        <v>2409</v>
      </c>
      <c r="R357" s="75">
        <f t="shared" si="31"/>
        <v>1</v>
      </c>
      <c r="S357" s="263" t="s">
        <v>1991</v>
      </c>
      <c r="T357" s="263"/>
      <c r="U357" s="263"/>
      <c r="V357" s="263"/>
      <c r="W357" s="263"/>
      <c r="X357" s="263"/>
      <c r="Y357" s="575"/>
      <c r="Z357" s="575"/>
      <c r="AA357" s="576">
        <f t="shared" si="29"/>
        <v>0</v>
      </c>
      <c r="AB357" s="722"/>
    </row>
    <row r="358" spans="1:28" ht="15.75" customHeight="1" x14ac:dyDescent="0.35">
      <c r="A358" s="68" t="s">
        <v>2420</v>
      </c>
      <c r="C358" s="83">
        <v>43782</v>
      </c>
      <c r="D358" s="112">
        <v>43818</v>
      </c>
      <c r="E358" s="570"/>
      <c r="F358" s="88" t="s">
        <v>2421</v>
      </c>
      <c r="G358" s="88" t="s">
        <v>149</v>
      </c>
      <c r="H358" s="81" t="s">
        <v>220</v>
      </c>
      <c r="I358" s="98" t="s">
        <v>652</v>
      </c>
      <c r="J358" s="75">
        <f t="shared" si="30"/>
        <v>1</v>
      </c>
      <c r="K358" s="76" t="s">
        <v>211</v>
      </c>
      <c r="L358" s="99" t="s">
        <v>2514</v>
      </c>
      <c r="N358" s="78" t="s">
        <v>18</v>
      </c>
      <c r="Q358" s="78" t="s">
        <v>2409</v>
      </c>
      <c r="R358" s="75">
        <f t="shared" si="31"/>
        <v>1</v>
      </c>
      <c r="S358" s="263" t="s">
        <v>1991</v>
      </c>
      <c r="T358" s="263"/>
      <c r="U358" s="263"/>
      <c r="V358" s="263"/>
      <c r="W358" s="263"/>
      <c r="X358" s="263"/>
      <c r="Y358" s="575"/>
      <c r="Z358" s="575"/>
      <c r="AA358" s="576">
        <f t="shared" si="29"/>
        <v>0</v>
      </c>
      <c r="AB358" s="722"/>
    </row>
    <row r="359" spans="1:28" ht="15.75" customHeight="1" x14ac:dyDescent="0.35">
      <c r="A359" s="68" t="s">
        <v>2422</v>
      </c>
      <c r="C359" s="83">
        <v>43784</v>
      </c>
      <c r="D359" s="112">
        <v>43819</v>
      </c>
      <c r="E359" s="570"/>
      <c r="F359" s="88" t="s">
        <v>2423</v>
      </c>
      <c r="G359" s="99" t="s">
        <v>154</v>
      </c>
      <c r="H359" s="81" t="s">
        <v>220</v>
      </c>
      <c r="J359" s="75">
        <f t="shared" si="30"/>
        <v>1</v>
      </c>
      <c r="K359" s="76" t="s">
        <v>211</v>
      </c>
      <c r="Q359" s="78" t="s">
        <v>2409</v>
      </c>
      <c r="R359" s="75">
        <f t="shared" si="31"/>
        <v>1</v>
      </c>
      <c r="S359" s="263" t="s">
        <v>1991</v>
      </c>
      <c r="T359" s="263"/>
      <c r="U359" s="263"/>
      <c r="V359" s="263"/>
      <c r="W359" s="263"/>
      <c r="X359" s="263"/>
      <c r="Y359" s="575"/>
      <c r="Z359" s="575"/>
      <c r="AA359" s="576">
        <f t="shared" si="29"/>
        <v>0</v>
      </c>
      <c r="AB359" s="722"/>
    </row>
    <row r="360" spans="1:28" ht="15.75" customHeight="1" x14ac:dyDescent="0.35">
      <c r="A360" s="68" t="s">
        <v>2424</v>
      </c>
      <c r="C360" s="83">
        <v>43791</v>
      </c>
      <c r="D360" s="83">
        <v>43815</v>
      </c>
      <c r="E360" s="570"/>
      <c r="F360" s="88" t="s">
        <v>2425</v>
      </c>
      <c r="G360" s="88" t="s">
        <v>158</v>
      </c>
      <c r="H360" s="81" t="s">
        <v>220</v>
      </c>
      <c r="I360" s="98" t="s">
        <v>652</v>
      </c>
      <c r="J360" s="75">
        <f t="shared" si="30"/>
        <v>1</v>
      </c>
      <c r="K360" s="76" t="s">
        <v>221</v>
      </c>
      <c r="Q360" s="78" t="s">
        <v>2409</v>
      </c>
      <c r="R360" s="75">
        <f t="shared" si="31"/>
        <v>1</v>
      </c>
      <c r="S360" s="263" t="s">
        <v>1991</v>
      </c>
      <c r="T360" s="263"/>
      <c r="U360" s="263"/>
      <c r="V360" s="263"/>
      <c r="W360" s="263"/>
      <c r="X360" s="263"/>
      <c r="Y360" s="575"/>
      <c r="Z360" s="575"/>
      <c r="AA360" s="576">
        <f t="shared" si="29"/>
        <v>0</v>
      </c>
      <c r="AB360" s="722"/>
    </row>
    <row r="361" spans="1:28" ht="15.75" customHeight="1" x14ac:dyDescent="0.35">
      <c r="A361" s="68" t="s">
        <v>2428</v>
      </c>
      <c r="C361" s="83">
        <v>43794</v>
      </c>
      <c r="D361" s="83">
        <v>43816</v>
      </c>
      <c r="E361" s="570"/>
      <c r="F361" s="88" t="s">
        <v>2429</v>
      </c>
      <c r="G361" s="88" t="s">
        <v>1051</v>
      </c>
      <c r="H361" s="81" t="s">
        <v>220</v>
      </c>
      <c r="J361" s="75">
        <f t="shared" si="30"/>
        <v>1</v>
      </c>
      <c r="K361" s="76" t="s">
        <v>221</v>
      </c>
      <c r="Q361" s="78" t="s">
        <v>2409</v>
      </c>
      <c r="R361" s="75">
        <f t="shared" si="31"/>
        <v>1</v>
      </c>
      <c r="S361" s="263" t="s">
        <v>1991</v>
      </c>
      <c r="T361" s="263"/>
      <c r="U361" s="263"/>
      <c r="V361" s="263"/>
      <c r="W361" s="263"/>
      <c r="X361" s="263"/>
      <c r="Y361" s="575"/>
      <c r="Z361" s="575"/>
      <c r="AA361" s="576">
        <f t="shared" si="29"/>
        <v>0</v>
      </c>
      <c r="AB361" s="722"/>
    </row>
    <row r="362" spans="1:28" ht="15.75" customHeight="1" x14ac:dyDescent="0.35">
      <c r="A362" s="68" t="s">
        <v>2430</v>
      </c>
      <c r="C362" s="83">
        <v>43794</v>
      </c>
      <c r="D362" s="112">
        <v>43816</v>
      </c>
      <c r="E362" s="570"/>
      <c r="F362" s="88" t="s">
        <v>2431</v>
      </c>
      <c r="G362" s="88" t="s">
        <v>170</v>
      </c>
      <c r="H362" s="81" t="s">
        <v>220</v>
      </c>
      <c r="J362" s="75">
        <f t="shared" si="30"/>
        <v>1</v>
      </c>
      <c r="K362" s="76" t="s">
        <v>211</v>
      </c>
      <c r="Q362" s="78" t="s">
        <v>2409</v>
      </c>
      <c r="R362" s="75">
        <f t="shared" si="31"/>
        <v>1</v>
      </c>
      <c r="S362" s="263" t="s">
        <v>1991</v>
      </c>
      <c r="T362" s="263"/>
      <c r="U362" s="263"/>
      <c r="V362" s="263"/>
      <c r="W362" s="263"/>
      <c r="X362" s="263"/>
      <c r="Y362" s="575"/>
      <c r="Z362" s="575"/>
      <c r="AA362" s="576">
        <f t="shared" si="29"/>
        <v>0</v>
      </c>
      <c r="AB362" s="722"/>
    </row>
    <row r="363" spans="1:28" ht="15.75" customHeight="1" x14ac:dyDescent="0.35">
      <c r="A363" s="68" t="s">
        <v>2432</v>
      </c>
      <c r="C363" s="83">
        <v>43795</v>
      </c>
      <c r="D363" s="112">
        <v>43817</v>
      </c>
      <c r="E363" s="570"/>
      <c r="F363" s="88" t="s">
        <v>2433</v>
      </c>
      <c r="G363" s="99" t="s">
        <v>158</v>
      </c>
      <c r="H363" s="81" t="s">
        <v>220</v>
      </c>
      <c r="J363" s="75">
        <f t="shared" si="30"/>
        <v>1</v>
      </c>
      <c r="K363" s="76" t="s">
        <v>211</v>
      </c>
      <c r="Q363" s="78" t="s">
        <v>2409</v>
      </c>
      <c r="R363" s="75">
        <f t="shared" si="31"/>
        <v>1</v>
      </c>
      <c r="S363" s="263" t="s">
        <v>1991</v>
      </c>
      <c r="T363" s="263"/>
      <c r="U363" s="263"/>
      <c r="V363" s="263"/>
      <c r="W363" s="263"/>
      <c r="X363" s="263"/>
      <c r="Y363" s="575"/>
      <c r="Z363" s="575"/>
      <c r="AA363" s="576">
        <f t="shared" si="29"/>
        <v>0</v>
      </c>
      <c r="AB363" s="722"/>
    </row>
    <row r="364" spans="1:28" ht="15.75" customHeight="1" x14ac:dyDescent="0.35">
      <c r="A364" s="68" t="s">
        <v>2436</v>
      </c>
      <c r="C364" s="83">
        <v>43796</v>
      </c>
      <c r="D364" s="112">
        <v>43818</v>
      </c>
      <c r="E364" s="570"/>
      <c r="F364" s="88" t="s">
        <v>2437</v>
      </c>
      <c r="G364" s="88" t="s">
        <v>149</v>
      </c>
      <c r="H364" s="81" t="s">
        <v>220</v>
      </c>
      <c r="I364" s="98" t="s">
        <v>863</v>
      </c>
      <c r="J364" s="75">
        <f t="shared" si="30"/>
        <v>1</v>
      </c>
      <c r="K364" s="76" t="s">
        <v>211</v>
      </c>
      <c r="Q364" s="78" t="s">
        <v>2409</v>
      </c>
      <c r="R364" s="75">
        <f t="shared" si="31"/>
        <v>1</v>
      </c>
      <c r="S364" s="263" t="s">
        <v>1991</v>
      </c>
      <c r="T364" s="263"/>
      <c r="U364" s="263"/>
      <c r="V364" s="263"/>
      <c r="W364" s="263"/>
      <c r="X364" s="263"/>
      <c r="Y364" s="575"/>
      <c r="Z364" s="575"/>
      <c r="AA364" s="576">
        <f t="shared" si="29"/>
        <v>0</v>
      </c>
      <c r="AB364" s="722"/>
    </row>
    <row r="365" spans="1:28" ht="15.75" customHeight="1" x14ac:dyDescent="0.35">
      <c r="A365" s="68" t="s">
        <v>2440</v>
      </c>
      <c r="C365" s="83">
        <v>43797</v>
      </c>
      <c r="D365" s="112">
        <v>43819</v>
      </c>
      <c r="E365" s="570"/>
      <c r="F365" s="88" t="s">
        <v>2441</v>
      </c>
      <c r="G365" s="88" t="s">
        <v>176</v>
      </c>
      <c r="H365" s="81" t="s">
        <v>220</v>
      </c>
      <c r="J365" s="75">
        <f t="shared" si="30"/>
        <v>1</v>
      </c>
      <c r="K365" s="76" t="s">
        <v>211</v>
      </c>
      <c r="Q365" s="78" t="s">
        <v>2409</v>
      </c>
      <c r="R365" s="75">
        <f t="shared" si="31"/>
        <v>1</v>
      </c>
      <c r="S365" s="263" t="s">
        <v>1991</v>
      </c>
      <c r="T365" s="263"/>
      <c r="U365" s="263"/>
      <c r="V365" s="263"/>
      <c r="W365" s="263"/>
      <c r="X365" s="263"/>
      <c r="Y365" s="575"/>
      <c r="Z365" s="575"/>
      <c r="AA365" s="576">
        <f t="shared" si="29"/>
        <v>0</v>
      </c>
      <c r="AB365" s="722"/>
    </row>
    <row r="366" spans="1:28" ht="15.75" customHeight="1" x14ac:dyDescent="0.35">
      <c r="A366" s="68" t="s">
        <v>2445</v>
      </c>
      <c r="C366" s="83">
        <v>43794</v>
      </c>
      <c r="D366" s="112">
        <v>43816</v>
      </c>
      <c r="E366" s="570"/>
      <c r="F366" s="99" t="s">
        <v>2449</v>
      </c>
      <c r="G366" s="88" t="s">
        <v>154</v>
      </c>
      <c r="H366" s="98" t="s">
        <v>220</v>
      </c>
      <c r="J366" s="75">
        <f t="shared" si="30"/>
        <v>1</v>
      </c>
      <c r="K366" s="76" t="s">
        <v>211</v>
      </c>
      <c r="Q366" s="304" t="s">
        <v>2447</v>
      </c>
      <c r="R366" s="75">
        <f t="shared" si="31"/>
        <v>1</v>
      </c>
      <c r="S366" s="263" t="s">
        <v>1991</v>
      </c>
      <c r="T366" s="263"/>
      <c r="U366" s="263"/>
      <c r="V366" s="263"/>
      <c r="W366" s="263"/>
      <c r="X366" s="263"/>
      <c r="Y366" s="575"/>
      <c r="Z366" s="575"/>
      <c r="AA366" s="576">
        <f t="shared" si="29"/>
        <v>0</v>
      </c>
      <c r="AB366" s="722"/>
    </row>
    <row r="367" spans="1:28" ht="15.75" customHeight="1" x14ac:dyDescent="0.35">
      <c r="A367" s="68" t="s">
        <v>2446</v>
      </c>
      <c r="C367" s="83">
        <v>43777</v>
      </c>
      <c r="D367" s="112">
        <v>43815</v>
      </c>
      <c r="E367" s="570"/>
      <c r="F367" s="99" t="s">
        <v>2448</v>
      </c>
      <c r="G367" s="99" t="s">
        <v>154</v>
      </c>
      <c r="H367" s="98" t="s">
        <v>220</v>
      </c>
      <c r="J367" s="75">
        <f t="shared" si="30"/>
        <v>1</v>
      </c>
      <c r="K367" s="76" t="s">
        <v>211</v>
      </c>
      <c r="Q367" s="304" t="s">
        <v>2447</v>
      </c>
      <c r="R367" s="75">
        <f t="shared" si="31"/>
        <v>1</v>
      </c>
      <c r="S367" s="263" t="s">
        <v>1991</v>
      </c>
      <c r="T367" s="263"/>
      <c r="U367" s="263"/>
      <c r="V367" s="263"/>
      <c r="W367" s="263"/>
      <c r="X367" s="263"/>
      <c r="Y367" s="575"/>
      <c r="Z367" s="575"/>
      <c r="AA367" s="576">
        <f t="shared" si="29"/>
        <v>0</v>
      </c>
      <c r="AB367" s="722"/>
    </row>
    <row r="368" spans="1:28" ht="15.75" customHeight="1" x14ac:dyDescent="0.35">
      <c r="A368" s="68" t="s">
        <v>2454</v>
      </c>
      <c r="C368" s="83">
        <v>43790</v>
      </c>
      <c r="D368" s="112">
        <v>43815</v>
      </c>
      <c r="E368" s="570"/>
      <c r="F368" s="99" t="s">
        <v>2455</v>
      </c>
      <c r="G368" s="88" t="s">
        <v>158</v>
      </c>
      <c r="H368" s="98" t="s">
        <v>220</v>
      </c>
      <c r="J368" s="75">
        <f t="shared" si="30"/>
        <v>1</v>
      </c>
      <c r="K368" s="76" t="s">
        <v>211</v>
      </c>
      <c r="Q368" s="304" t="s">
        <v>2447</v>
      </c>
      <c r="R368" s="75">
        <f t="shared" si="31"/>
        <v>1</v>
      </c>
      <c r="S368" s="263" t="s">
        <v>1991</v>
      </c>
      <c r="T368" s="263"/>
      <c r="U368" s="263"/>
      <c r="V368" s="263"/>
      <c r="W368" s="263"/>
      <c r="X368" s="263"/>
      <c r="Y368" s="575"/>
      <c r="Z368" s="575"/>
      <c r="AA368" s="576">
        <f t="shared" si="29"/>
        <v>0</v>
      </c>
      <c r="AB368" s="722"/>
    </row>
    <row r="369" spans="1:28" ht="15.75" customHeight="1" x14ac:dyDescent="0.35">
      <c r="A369" s="68" t="s">
        <v>2461</v>
      </c>
      <c r="C369" s="83">
        <v>43794</v>
      </c>
      <c r="D369" s="112">
        <v>43816</v>
      </c>
      <c r="E369" s="570"/>
      <c r="F369" s="99" t="s">
        <v>2462</v>
      </c>
      <c r="G369" s="99" t="s">
        <v>741</v>
      </c>
      <c r="H369" s="98" t="s">
        <v>220</v>
      </c>
      <c r="J369" s="75">
        <f t="shared" si="30"/>
        <v>1</v>
      </c>
      <c r="K369" s="76" t="s">
        <v>221</v>
      </c>
      <c r="Q369" s="304" t="s">
        <v>2447</v>
      </c>
      <c r="R369" s="75">
        <f t="shared" si="31"/>
        <v>1</v>
      </c>
      <c r="S369" s="263" t="s">
        <v>1991</v>
      </c>
      <c r="T369" s="263"/>
      <c r="U369" s="263"/>
      <c r="V369" s="263"/>
      <c r="W369" s="263"/>
      <c r="X369" s="263"/>
      <c r="Y369" s="575"/>
      <c r="Z369" s="575"/>
      <c r="AA369" s="576">
        <f t="shared" si="29"/>
        <v>0</v>
      </c>
      <c r="AB369" s="722"/>
    </row>
    <row r="370" spans="1:28" ht="15.75" customHeight="1" x14ac:dyDescent="0.35">
      <c r="A370" s="68" t="s">
        <v>2463</v>
      </c>
      <c r="C370" s="83">
        <v>43780</v>
      </c>
      <c r="D370" s="112">
        <v>43816</v>
      </c>
      <c r="E370" s="570"/>
      <c r="F370" s="99" t="s">
        <v>2464</v>
      </c>
      <c r="G370" s="99" t="s">
        <v>154</v>
      </c>
      <c r="H370" s="98" t="s">
        <v>220</v>
      </c>
      <c r="J370" s="75">
        <f t="shared" si="30"/>
        <v>1</v>
      </c>
      <c r="K370" s="76" t="s">
        <v>211</v>
      </c>
      <c r="L370" s="99" t="s">
        <v>2469</v>
      </c>
      <c r="Q370" s="304" t="s">
        <v>2447</v>
      </c>
      <c r="R370" s="75">
        <f t="shared" si="31"/>
        <v>1</v>
      </c>
      <c r="S370" s="263" t="s">
        <v>1991</v>
      </c>
      <c r="T370" s="263"/>
      <c r="U370" s="263"/>
      <c r="V370" s="263"/>
      <c r="W370" s="263"/>
      <c r="X370" s="263"/>
      <c r="Y370" s="575"/>
      <c r="Z370" s="575"/>
      <c r="AA370" s="576">
        <f t="shared" si="29"/>
        <v>0</v>
      </c>
      <c r="AB370" s="722"/>
    </row>
    <row r="371" spans="1:28" ht="15.75" customHeight="1" x14ac:dyDescent="0.35">
      <c r="A371" s="68" t="s">
        <v>2465</v>
      </c>
      <c r="C371" s="83">
        <v>43780</v>
      </c>
      <c r="D371" s="112">
        <v>43816</v>
      </c>
      <c r="E371" s="570"/>
      <c r="F371" s="99" t="s">
        <v>2466</v>
      </c>
      <c r="G371" s="99" t="s">
        <v>152</v>
      </c>
      <c r="H371" s="98" t="s">
        <v>220</v>
      </c>
      <c r="J371" s="75">
        <f t="shared" si="30"/>
        <v>1</v>
      </c>
      <c r="K371" s="76" t="s">
        <v>211</v>
      </c>
      <c r="Q371" s="304" t="s">
        <v>2447</v>
      </c>
      <c r="R371" s="75">
        <f t="shared" si="31"/>
        <v>1</v>
      </c>
      <c r="S371" s="263" t="s">
        <v>1991</v>
      </c>
      <c r="T371" s="263"/>
      <c r="U371" s="263"/>
      <c r="V371" s="263"/>
      <c r="W371" s="263"/>
      <c r="X371" s="263"/>
      <c r="Y371" s="575"/>
      <c r="Z371" s="575"/>
      <c r="AA371" s="576">
        <f t="shared" si="29"/>
        <v>0</v>
      </c>
      <c r="AB371" s="722"/>
    </row>
    <row r="372" spans="1:28" ht="15.75" customHeight="1" x14ac:dyDescent="0.35">
      <c r="A372" s="68" t="s">
        <v>2472</v>
      </c>
      <c r="C372" s="83">
        <v>43795</v>
      </c>
      <c r="D372" s="112">
        <v>43817</v>
      </c>
      <c r="E372" s="570"/>
      <c r="F372" s="99" t="s">
        <v>2473</v>
      </c>
      <c r="G372" s="99" t="s">
        <v>154</v>
      </c>
      <c r="H372" s="98" t="s">
        <v>220</v>
      </c>
      <c r="J372" s="75">
        <f t="shared" si="30"/>
        <v>1</v>
      </c>
      <c r="K372" s="76" t="s">
        <v>211</v>
      </c>
      <c r="L372" s="99" t="s">
        <v>2507</v>
      </c>
      <c r="N372" s="78" t="s">
        <v>19</v>
      </c>
      <c r="Q372" s="304" t="s">
        <v>2447</v>
      </c>
      <c r="R372" s="75">
        <f t="shared" si="31"/>
        <v>1</v>
      </c>
      <c r="S372" s="263" t="s">
        <v>1991</v>
      </c>
      <c r="T372" s="263"/>
      <c r="U372" s="263"/>
      <c r="V372" s="263"/>
      <c r="W372" s="263"/>
      <c r="X372" s="263"/>
      <c r="Y372" s="575"/>
      <c r="Z372" s="575"/>
      <c r="AA372" s="576">
        <f t="shared" si="29"/>
        <v>0</v>
      </c>
      <c r="AB372" s="722"/>
    </row>
    <row r="373" spans="1:28" ht="15.75" customHeight="1" x14ac:dyDescent="0.35">
      <c r="A373" s="68" t="s">
        <v>2474</v>
      </c>
      <c r="C373" s="83">
        <v>43795</v>
      </c>
      <c r="D373" s="112">
        <v>43817</v>
      </c>
      <c r="E373" s="570"/>
      <c r="F373" s="99" t="s">
        <v>2475</v>
      </c>
      <c r="G373" s="99" t="s">
        <v>154</v>
      </c>
      <c r="H373" s="98" t="s">
        <v>220</v>
      </c>
      <c r="J373" s="75">
        <f t="shared" si="30"/>
        <v>1</v>
      </c>
      <c r="K373" s="76" t="s">
        <v>211</v>
      </c>
      <c r="L373" s="99" t="s">
        <v>2482</v>
      </c>
      <c r="Q373" s="78" t="s">
        <v>2447</v>
      </c>
      <c r="R373" s="75">
        <f t="shared" si="31"/>
        <v>1</v>
      </c>
      <c r="S373" s="263" t="s">
        <v>1991</v>
      </c>
      <c r="T373" s="263"/>
      <c r="U373" s="263"/>
      <c r="V373" s="263"/>
      <c r="W373" s="263"/>
      <c r="X373" s="263"/>
      <c r="Y373" s="575"/>
      <c r="Z373" s="575"/>
      <c r="AA373" s="576">
        <f t="shared" si="29"/>
        <v>0</v>
      </c>
      <c r="AB373" s="722"/>
    </row>
    <row r="374" spans="1:28" ht="15.75" customHeight="1" x14ac:dyDescent="0.35">
      <c r="A374" s="68" t="s">
        <v>2476</v>
      </c>
      <c r="C374" s="83">
        <v>43795</v>
      </c>
      <c r="D374" s="112">
        <v>43817</v>
      </c>
      <c r="E374" s="570"/>
      <c r="F374" s="99" t="s">
        <v>2477</v>
      </c>
      <c r="G374" s="99" t="s">
        <v>170</v>
      </c>
      <c r="H374" s="98" t="s">
        <v>220</v>
      </c>
      <c r="J374" s="75">
        <f t="shared" si="30"/>
        <v>1</v>
      </c>
      <c r="K374" s="76" t="s">
        <v>211</v>
      </c>
      <c r="L374" s="99" t="s">
        <v>2481</v>
      </c>
      <c r="Q374" s="304" t="s">
        <v>2447</v>
      </c>
      <c r="R374" s="75">
        <f t="shared" si="31"/>
        <v>1</v>
      </c>
      <c r="S374" s="263" t="s">
        <v>1991</v>
      </c>
      <c r="T374" s="263"/>
      <c r="U374" s="263"/>
      <c r="V374" s="263"/>
      <c r="W374" s="263"/>
      <c r="X374" s="263"/>
      <c r="Y374" s="575"/>
      <c r="Z374" s="575"/>
      <c r="AA374" s="576">
        <f t="shared" si="29"/>
        <v>0</v>
      </c>
      <c r="AB374" s="722"/>
    </row>
    <row r="375" spans="1:28" ht="15.75" customHeight="1" x14ac:dyDescent="0.35">
      <c r="A375" s="95" t="s">
        <v>2483</v>
      </c>
      <c r="C375" s="118">
        <v>43782</v>
      </c>
      <c r="D375" s="112">
        <v>43817</v>
      </c>
      <c r="E375" s="570"/>
      <c r="F375" s="88" t="s">
        <v>2485</v>
      </c>
      <c r="G375" s="88" t="s">
        <v>154</v>
      </c>
      <c r="H375" s="81" t="s">
        <v>220</v>
      </c>
      <c r="J375" s="75">
        <f t="shared" si="30"/>
        <v>1</v>
      </c>
      <c r="K375" s="76" t="s">
        <v>211</v>
      </c>
      <c r="Q375" s="78" t="s">
        <v>2447</v>
      </c>
      <c r="R375" s="75">
        <f t="shared" si="31"/>
        <v>1</v>
      </c>
      <c r="S375" s="263" t="s">
        <v>1991</v>
      </c>
      <c r="T375" s="263"/>
      <c r="U375" s="263"/>
      <c r="V375" s="263"/>
      <c r="W375" s="263"/>
      <c r="X375" s="263"/>
      <c r="Y375" s="575"/>
      <c r="Z375" s="575"/>
      <c r="AA375" s="576">
        <f t="shared" si="29"/>
        <v>0</v>
      </c>
      <c r="AB375" s="722"/>
    </row>
    <row r="376" spans="1:28" ht="15.75" customHeight="1" x14ac:dyDescent="0.35">
      <c r="A376" s="95" t="s">
        <v>2484</v>
      </c>
      <c r="C376" s="118">
        <v>43795</v>
      </c>
      <c r="D376" s="112">
        <v>43817</v>
      </c>
      <c r="E376" s="570"/>
      <c r="F376" s="88" t="s">
        <v>2486</v>
      </c>
      <c r="G376" s="88" t="s">
        <v>158</v>
      </c>
      <c r="H376" s="81" t="s">
        <v>220</v>
      </c>
      <c r="I376" s="98" t="s">
        <v>656</v>
      </c>
      <c r="J376" s="75">
        <f t="shared" si="30"/>
        <v>1</v>
      </c>
      <c r="K376" s="76" t="s">
        <v>211</v>
      </c>
      <c r="L376" s="99" t="s">
        <v>2508</v>
      </c>
      <c r="N376" s="78" t="s">
        <v>19</v>
      </c>
      <c r="Q376" s="78" t="s">
        <v>2447</v>
      </c>
      <c r="R376" s="75">
        <f t="shared" si="31"/>
        <v>1</v>
      </c>
      <c r="S376" s="263" t="s">
        <v>1991</v>
      </c>
      <c r="T376" s="263"/>
      <c r="U376" s="263"/>
      <c r="V376" s="263"/>
      <c r="W376" s="263"/>
      <c r="X376" s="263"/>
      <c r="Y376" s="575"/>
      <c r="Z376" s="575"/>
      <c r="AA376" s="576">
        <f t="shared" si="29"/>
        <v>0</v>
      </c>
      <c r="AB376" s="722"/>
    </row>
    <row r="377" spans="1:28" ht="15.75" customHeight="1" x14ac:dyDescent="0.35">
      <c r="A377" s="95" t="s">
        <v>2487</v>
      </c>
      <c r="C377" s="118">
        <v>43783</v>
      </c>
      <c r="D377" s="318">
        <v>43818</v>
      </c>
      <c r="E377" s="570"/>
      <c r="F377" s="88" t="s">
        <v>2497</v>
      </c>
      <c r="G377" s="88" t="s">
        <v>172</v>
      </c>
      <c r="H377" s="81" t="s">
        <v>220</v>
      </c>
      <c r="J377" s="75">
        <f t="shared" si="30"/>
        <v>1</v>
      </c>
      <c r="K377" s="76" t="s">
        <v>211</v>
      </c>
      <c r="L377" s="99" t="s">
        <v>2512</v>
      </c>
      <c r="Q377" s="78" t="s">
        <v>2447</v>
      </c>
      <c r="R377" s="75">
        <f t="shared" si="31"/>
        <v>1</v>
      </c>
      <c r="S377" s="263" t="s">
        <v>1991</v>
      </c>
      <c r="T377" s="263"/>
      <c r="U377" s="263"/>
      <c r="V377" s="263"/>
      <c r="W377" s="263"/>
      <c r="X377" s="263"/>
      <c r="Y377" s="575"/>
      <c r="Z377" s="575"/>
      <c r="AA377" s="576">
        <f t="shared" si="29"/>
        <v>0</v>
      </c>
      <c r="AB377" s="722"/>
    </row>
    <row r="378" spans="1:28" ht="15.75" customHeight="1" x14ac:dyDescent="0.35">
      <c r="A378" s="95" t="s">
        <v>2488</v>
      </c>
      <c r="C378" s="118">
        <v>43783</v>
      </c>
      <c r="D378" s="318">
        <v>43818</v>
      </c>
      <c r="E378" s="570"/>
      <c r="F378" s="88" t="s">
        <v>2498</v>
      </c>
      <c r="G378" s="88" t="s">
        <v>160</v>
      </c>
      <c r="H378" s="81" t="s">
        <v>220</v>
      </c>
      <c r="I378" s="98" t="s">
        <v>652</v>
      </c>
      <c r="J378" s="75">
        <f t="shared" si="30"/>
        <v>1</v>
      </c>
      <c r="K378" s="76" t="s">
        <v>211</v>
      </c>
      <c r="Q378" s="78" t="s">
        <v>2447</v>
      </c>
      <c r="R378" s="75">
        <f t="shared" si="31"/>
        <v>1</v>
      </c>
      <c r="S378" s="263" t="s">
        <v>1991</v>
      </c>
      <c r="T378" s="263"/>
      <c r="U378" s="263"/>
      <c r="V378" s="263"/>
      <c r="W378" s="263"/>
      <c r="X378" s="263"/>
      <c r="Y378" s="575"/>
      <c r="Z378" s="575"/>
      <c r="AA378" s="576">
        <f t="shared" si="29"/>
        <v>0</v>
      </c>
      <c r="AB378" s="722"/>
    </row>
    <row r="379" spans="1:28" ht="15.75" customHeight="1" x14ac:dyDescent="0.35">
      <c r="A379" s="95" t="s">
        <v>2489</v>
      </c>
      <c r="C379" s="118">
        <v>43784</v>
      </c>
      <c r="D379" s="318">
        <v>43819</v>
      </c>
      <c r="E379" s="570"/>
      <c r="F379" s="88" t="s">
        <v>2499</v>
      </c>
      <c r="G379" s="88" t="s">
        <v>162</v>
      </c>
      <c r="H379" s="81" t="s">
        <v>220</v>
      </c>
      <c r="J379" s="75">
        <f t="shared" si="30"/>
        <v>1</v>
      </c>
      <c r="K379" s="76" t="s">
        <v>211</v>
      </c>
      <c r="Q379" s="304" t="s">
        <v>2447</v>
      </c>
      <c r="R379" s="75">
        <f t="shared" si="31"/>
        <v>1</v>
      </c>
      <c r="S379" s="263" t="s">
        <v>1991</v>
      </c>
      <c r="T379" s="263"/>
      <c r="U379" s="263"/>
      <c r="V379" s="263"/>
      <c r="W379" s="263"/>
      <c r="X379" s="263"/>
      <c r="Y379" s="575"/>
      <c r="Z379" s="575"/>
      <c r="AA379" s="576">
        <f t="shared" si="29"/>
        <v>0</v>
      </c>
      <c r="AB379" s="722"/>
    </row>
    <row r="380" spans="1:28" ht="15.75" customHeight="1" x14ac:dyDescent="0.35">
      <c r="A380" s="95" t="s">
        <v>2490</v>
      </c>
      <c r="C380" s="118">
        <v>43784</v>
      </c>
      <c r="D380" s="318">
        <v>43843</v>
      </c>
      <c r="E380" s="570"/>
      <c r="F380" s="88" t="s">
        <v>2500</v>
      </c>
      <c r="G380" s="88" t="s">
        <v>154</v>
      </c>
      <c r="H380" s="81" t="s">
        <v>220</v>
      </c>
      <c r="I380" s="98" t="s">
        <v>3260</v>
      </c>
      <c r="J380" s="75">
        <f t="shared" si="30"/>
        <v>1</v>
      </c>
      <c r="K380" s="76" t="s">
        <v>211</v>
      </c>
      <c r="L380" s="99"/>
      <c r="N380" s="78" t="s">
        <v>19</v>
      </c>
      <c r="Q380" s="78" t="s">
        <v>2447</v>
      </c>
      <c r="R380" s="75">
        <f t="shared" si="31"/>
        <v>1</v>
      </c>
      <c r="S380" s="263" t="s">
        <v>1991</v>
      </c>
      <c r="T380" s="263"/>
      <c r="U380" s="263"/>
      <c r="V380" s="263"/>
      <c r="W380" s="263"/>
      <c r="X380" s="263"/>
      <c r="Y380" s="575"/>
      <c r="Z380" s="575"/>
      <c r="AA380" s="576">
        <f t="shared" si="29"/>
        <v>0</v>
      </c>
      <c r="AB380" s="722"/>
    </row>
    <row r="381" spans="1:28" ht="15.75" customHeight="1" x14ac:dyDescent="0.35">
      <c r="A381" s="95" t="s">
        <v>2491</v>
      </c>
      <c r="C381" s="118">
        <v>43796</v>
      </c>
      <c r="D381" s="318">
        <v>43818</v>
      </c>
      <c r="E381" s="570"/>
      <c r="F381" s="88" t="s">
        <v>2501</v>
      </c>
      <c r="G381" s="88" t="s">
        <v>195</v>
      </c>
      <c r="H381" s="81" t="s">
        <v>220</v>
      </c>
      <c r="I381" s="98" t="s">
        <v>2516</v>
      </c>
      <c r="J381" s="75">
        <f t="shared" si="30"/>
        <v>1</v>
      </c>
      <c r="K381" s="76" t="s">
        <v>211</v>
      </c>
      <c r="L381" s="99" t="s">
        <v>2515</v>
      </c>
      <c r="N381" s="78" t="s">
        <v>19</v>
      </c>
      <c r="Q381" s="78" t="s">
        <v>2447</v>
      </c>
      <c r="R381" s="75">
        <f t="shared" si="31"/>
        <v>1</v>
      </c>
      <c r="S381" s="263" t="s">
        <v>1991</v>
      </c>
      <c r="T381" s="263"/>
      <c r="U381" s="263"/>
      <c r="V381" s="263"/>
      <c r="W381" s="263"/>
      <c r="X381" s="263"/>
      <c r="Y381" s="575"/>
      <c r="Z381" s="575"/>
      <c r="AA381" s="576">
        <f t="shared" si="29"/>
        <v>0</v>
      </c>
      <c r="AB381" s="722"/>
    </row>
    <row r="382" spans="1:28" ht="15.75" customHeight="1" x14ac:dyDescent="0.35">
      <c r="A382" s="95" t="s">
        <v>2492</v>
      </c>
      <c r="C382" s="118">
        <v>43796</v>
      </c>
      <c r="D382" s="118">
        <v>43818</v>
      </c>
      <c r="E382" s="570"/>
      <c r="F382" s="88" t="s">
        <v>2502</v>
      </c>
      <c r="G382" s="88" t="s">
        <v>152</v>
      </c>
      <c r="H382" s="81" t="s">
        <v>220</v>
      </c>
      <c r="J382" s="75">
        <f t="shared" si="30"/>
        <v>1</v>
      </c>
      <c r="K382" s="76" t="s">
        <v>221</v>
      </c>
      <c r="Q382" s="78" t="s">
        <v>2447</v>
      </c>
      <c r="R382" s="75">
        <f t="shared" si="31"/>
        <v>1</v>
      </c>
      <c r="S382" s="263" t="s">
        <v>1991</v>
      </c>
      <c r="T382" s="263"/>
      <c r="U382" s="263"/>
      <c r="V382" s="263"/>
      <c r="W382" s="263"/>
      <c r="X382" s="263"/>
      <c r="Y382" s="575"/>
      <c r="Z382" s="575"/>
      <c r="AA382" s="576">
        <f t="shared" si="29"/>
        <v>0</v>
      </c>
      <c r="AB382" s="722"/>
    </row>
    <row r="383" spans="1:28" ht="15.75" customHeight="1" x14ac:dyDescent="0.35">
      <c r="A383" s="95" t="s">
        <v>2493</v>
      </c>
      <c r="C383" s="118">
        <v>43796</v>
      </c>
      <c r="D383" s="318">
        <v>43818</v>
      </c>
      <c r="E383" s="570"/>
      <c r="F383" s="88" t="s">
        <v>2503</v>
      </c>
      <c r="G383" s="88" t="s">
        <v>158</v>
      </c>
      <c r="H383" s="81" t="s">
        <v>220</v>
      </c>
      <c r="J383" s="75">
        <f t="shared" si="30"/>
        <v>1</v>
      </c>
      <c r="K383" s="76" t="s">
        <v>211</v>
      </c>
      <c r="L383" s="99" t="s">
        <v>2509</v>
      </c>
      <c r="N383" s="78" t="s">
        <v>18</v>
      </c>
      <c r="Q383" s="78" t="s">
        <v>2447</v>
      </c>
      <c r="R383" s="75">
        <f t="shared" si="31"/>
        <v>1</v>
      </c>
      <c r="S383" s="263" t="s">
        <v>1991</v>
      </c>
      <c r="T383" s="263"/>
      <c r="U383" s="263"/>
      <c r="V383" s="263"/>
      <c r="W383" s="263"/>
      <c r="X383" s="263"/>
      <c r="Y383" s="575"/>
      <c r="Z383" s="575"/>
      <c r="AA383" s="576">
        <f t="shared" si="29"/>
        <v>0</v>
      </c>
      <c r="AB383" s="722"/>
    </row>
    <row r="384" spans="1:28" ht="15.75" customHeight="1" x14ac:dyDescent="0.35">
      <c r="A384" s="95" t="s">
        <v>2494</v>
      </c>
      <c r="C384" s="118">
        <v>43796</v>
      </c>
      <c r="D384" s="318">
        <v>43818</v>
      </c>
      <c r="E384" s="570"/>
      <c r="F384" s="88" t="s">
        <v>2504</v>
      </c>
      <c r="G384" s="88" t="s">
        <v>545</v>
      </c>
      <c r="H384" s="81" t="s">
        <v>220</v>
      </c>
      <c r="I384" s="98" t="s">
        <v>2517</v>
      </c>
      <c r="J384" s="75">
        <f t="shared" si="30"/>
        <v>1</v>
      </c>
      <c r="K384" s="76" t="s">
        <v>211</v>
      </c>
      <c r="N384" s="78" t="s">
        <v>18</v>
      </c>
      <c r="Q384" s="78" t="s">
        <v>2447</v>
      </c>
      <c r="R384" s="75">
        <f t="shared" si="31"/>
        <v>1</v>
      </c>
      <c r="S384" s="263" t="s">
        <v>1991</v>
      </c>
      <c r="T384" s="263"/>
      <c r="U384" s="263"/>
      <c r="V384" s="263"/>
      <c r="W384" s="263"/>
      <c r="X384" s="263"/>
      <c r="Y384" s="575"/>
      <c r="Z384" s="575"/>
      <c r="AA384" s="576">
        <f t="shared" si="29"/>
        <v>0</v>
      </c>
      <c r="AB384" s="722"/>
    </row>
    <row r="385" spans="1:28" ht="15.75" customHeight="1" x14ac:dyDescent="0.35">
      <c r="A385" s="95" t="s">
        <v>2495</v>
      </c>
      <c r="C385" s="118">
        <v>43797</v>
      </c>
      <c r="D385" s="318">
        <v>43819</v>
      </c>
      <c r="E385" s="570"/>
      <c r="F385" s="88" t="s">
        <v>2505</v>
      </c>
      <c r="G385" s="88" t="s">
        <v>158</v>
      </c>
      <c r="H385" s="81" t="s">
        <v>220</v>
      </c>
      <c r="I385" s="98" t="s">
        <v>1004</v>
      </c>
      <c r="J385" s="75">
        <f t="shared" si="30"/>
        <v>1</v>
      </c>
      <c r="K385" s="76" t="s">
        <v>211</v>
      </c>
      <c r="N385" s="78" t="s">
        <v>19</v>
      </c>
      <c r="Q385" s="78" t="s">
        <v>2447</v>
      </c>
      <c r="R385" s="75">
        <f t="shared" si="31"/>
        <v>1</v>
      </c>
      <c r="S385" s="263" t="s">
        <v>1991</v>
      </c>
      <c r="T385" s="263"/>
      <c r="U385" s="263"/>
      <c r="V385" s="263"/>
      <c r="W385" s="263"/>
      <c r="X385" s="263"/>
      <c r="Y385" s="575"/>
      <c r="Z385" s="575"/>
      <c r="AA385" s="576">
        <f t="shared" si="29"/>
        <v>0</v>
      </c>
      <c r="AB385" s="722"/>
    </row>
    <row r="386" spans="1:28" ht="15.75" customHeight="1" x14ac:dyDescent="0.35">
      <c r="A386" s="95" t="s">
        <v>2496</v>
      </c>
      <c r="C386" s="118">
        <v>43797</v>
      </c>
      <c r="D386" s="318">
        <v>43819</v>
      </c>
      <c r="E386" s="570"/>
      <c r="F386" s="255" t="s">
        <v>2506</v>
      </c>
      <c r="G386" s="88" t="s">
        <v>417</v>
      </c>
      <c r="H386" s="81" t="s">
        <v>220</v>
      </c>
      <c r="J386" s="75">
        <f t="shared" si="30"/>
        <v>1</v>
      </c>
      <c r="K386" s="76" t="s">
        <v>211</v>
      </c>
      <c r="Q386" s="78" t="s">
        <v>2447</v>
      </c>
      <c r="R386" s="75">
        <f t="shared" si="31"/>
        <v>1</v>
      </c>
      <c r="S386" s="263" t="s">
        <v>1991</v>
      </c>
      <c r="T386" s="263"/>
      <c r="U386" s="263"/>
      <c r="V386" s="263"/>
      <c r="W386" s="263"/>
      <c r="X386" s="263"/>
      <c r="Y386" s="575"/>
      <c r="Z386" s="575"/>
      <c r="AA386" s="576">
        <f t="shared" si="29"/>
        <v>0</v>
      </c>
      <c r="AB386" s="722"/>
    </row>
    <row r="387" spans="1:28" ht="15.75" customHeight="1" x14ac:dyDescent="0.35">
      <c r="A387" s="68" t="s">
        <v>1904</v>
      </c>
      <c r="C387" s="83">
        <v>43776</v>
      </c>
      <c r="D387" s="112">
        <v>43826</v>
      </c>
      <c r="E387" s="570"/>
      <c r="F387" s="88" t="s">
        <v>1905</v>
      </c>
      <c r="G387" s="88" t="s">
        <v>158</v>
      </c>
      <c r="H387" s="81" t="s">
        <v>220</v>
      </c>
      <c r="J387" s="75">
        <f t="shared" si="30"/>
        <v>1</v>
      </c>
      <c r="K387" s="76" t="s">
        <v>211</v>
      </c>
      <c r="Q387" s="78" t="s">
        <v>2097</v>
      </c>
      <c r="R387" s="75">
        <f t="shared" si="31"/>
        <v>1</v>
      </c>
      <c r="S387" s="263" t="s">
        <v>1991</v>
      </c>
      <c r="T387" s="263"/>
      <c r="U387" s="263"/>
      <c r="V387" s="263"/>
      <c r="W387" s="263"/>
      <c r="X387" s="263"/>
      <c r="Y387" s="575"/>
      <c r="Z387" s="575"/>
      <c r="AA387" s="576">
        <f t="shared" ref="AA387:AA450" si="32">Z387-Y387</f>
        <v>0</v>
      </c>
      <c r="AB387" s="722"/>
    </row>
    <row r="388" spans="1:28" ht="15.75" customHeight="1" x14ac:dyDescent="0.35">
      <c r="A388" s="68" t="s">
        <v>2524</v>
      </c>
      <c r="C388" s="83">
        <v>43784</v>
      </c>
      <c r="D388" s="112">
        <v>43822</v>
      </c>
      <c r="E388" s="570"/>
      <c r="F388" s="88" t="s">
        <v>2525</v>
      </c>
      <c r="G388" s="88" t="s">
        <v>158</v>
      </c>
      <c r="H388" s="81" t="s">
        <v>220</v>
      </c>
      <c r="J388" s="75">
        <f t="shared" si="30"/>
        <v>1</v>
      </c>
      <c r="K388" s="76" t="s">
        <v>211</v>
      </c>
      <c r="Q388" s="78" t="s">
        <v>2097</v>
      </c>
      <c r="R388" s="75">
        <f t="shared" si="31"/>
        <v>1</v>
      </c>
      <c r="S388" s="263" t="s">
        <v>1991</v>
      </c>
      <c r="T388" s="263"/>
      <c r="U388" s="263"/>
      <c r="V388" s="263"/>
      <c r="W388" s="263"/>
      <c r="X388" s="263"/>
      <c r="Y388" s="575"/>
      <c r="Z388" s="575"/>
      <c r="AA388" s="576">
        <f t="shared" si="32"/>
        <v>0</v>
      </c>
      <c r="AB388" s="722"/>
    </row>
    <row r="389" spans="1:28" ht="15.75" customHeight="1" x14ac:dyDescent="0.35">
      <c r="A389" s="68" t="s">
        <v>2526</v>
      </c>
      <c r="C389" s="83">
        <v>43784</v>
      </c>
      <c r="D389" s="112">
        <v>43822</v>
      </c>
      <c r="E389" s="570"/>
      <c r="F389" s="88" t="s">
        <v>2527</v>
      </c>
      <c r="G389" s="88" t="s">
        <v>152</v>
      </c>
      <c r="H389" s="81" t="s">
        <v>220</v>
      </c>
      <c r="J389" s="75">
        <f t="shared" si="30"/>
        <v>1</v>
      </c>
      <c r="K389" s="76" t="s">
        <v>211</v>
      </c>
      <c r="Q389" s="78" t="s">
        <v>2097</v>
      </c>
      <c r="R389" s="75">
        <f t="shared" si="31"/>
        <v>1</v>
      </c>
      <c r="S389" s="263" t="s">
        <v>1991</v>
      </c>
      <c r="T389" s="263"/>
      <c r="U389" s="263"/>
      <c r="V389" s="263"/>
      <c r="W389" s="263"/>
      <c r="X389" s="263"/>
      <c r="Y389" s="575"/>
      <c r="Z389" s="575"/>
      <c r="AA389" s="576">
        <f t="shared" si="32"/>
        <v>0</v>
      </c>
      <c r="AB389" s="722"/>
    </row>
    <row r="390" spans="1:28" ht="15.75" customHeight="1" x14ac:dyDescent="0.35">
      <c r="A390" s="68" t="s">
        <v>2105</v>
      </c>
      <c r="C390" s="83">
        <v>43787</v>
      </c>
      <c r="D390" s="112">
        <v>43823</v>
      </c>
      <c r="E390" s="570"/>
      <c r="F390" s="88" t="s">
        <v>2106</v>
      </c>
      <c r="G390" s="88" t="s">
        <v>154</v>
      </c>
      <c r="H390" s="81" t="s">
        <v>220</v>
      </c>
      <c r="J390" s="75">
        <f t="shared" si="30"/>
        <v>1</v>
      </c>
      <c r="K390" s="76" t="s">
        <v>211</v>
      </c>
      <c r="Q390" s="78" t="s">
        <v>2097</v>
      </c>
      <c r="R390" s="75">
        <f t="shared" si="31"/>
        <v>1</v>
      </c>
      <c r="S390" s="263" t="s">
        <v>1991</v>
      </c>
      <c r="T390" s="263"/>
      <c r="U390" s="263"/>
      <c r="V390" s="263"/>
      <c r="W390" s="263"/>
      <c r="X390" s="263"/>
      <c r="Y390" s="575"/>
      <c r="Z390" s="575"/>
      <c r="AA390" s="576">
        <f t="shared" si="32"/>
        <v>0</v>
      </c>
      <c r="AB390" s="722"/>
    </row>
    <row r="391" spans="1:28" ht="15.75" customHeight="1" x14ac:dyDescent="0.35">
      <c r="A391" s="68" t="s">
        <v>2111</v>
      </c>
      <c r="C391" s="83">
        <v>43787</v>
      </c>
      <c r="D391" s="112">
        <v>43823</v>
      </c>
      <c r="E391" s="570"/>
      <c r="F391" s="88" t="s">
        <v>2112</v>
      </c>
      <c r="G391" s="88" t="s">
        <v>162</v>
      </c>
      <c r="H391" s="81" t="s">
        <v>220</v>
      </c>
      <c r="J391" s="75">
        <f t="shared" ref="J391:J428" si="33">IF(OR(K391="Документы готовы",K391="Запрос в ФО",K391="ЭЗ",K391="РЕШ",K391="РЕШ шаблон"),0.1,IF(OR(K391="ЭЗ согласование",K391="РЕШ согласование"),0.3,IF(OR(K391="ЭЗ согласовано",K391="РЕШ согласовано",K391="РЕШ подписано"),0.6,IF(OR(K391="ЭЗ ПР согласование",K391="РЕШ УВ согласование"),0.9,IF(OR(K391="ЭЗ ПР DONE",K391="РЕШ УВ DONE"),1,0)))))</f>
        <v>1</v>
      </c>
      <c r="K391" s="263" t="s">
        <v>211</v>
      </c>
      <c r="Q391" s="78" t="s">
        <v>2097</v>
      </c>
      <c r="R391" s="75">
        <f t="shared" ref="R391:R428" si="34">IF(S391="В работе",0.3,IF(S391="Отписано",0.6,IF(S391="На доработку",0.9,IF(S391="Согласовано",1,0))))</f>
        <v>1</v>
      </c>
      <c r="S391" s="263" t="s">
        <v>1991</v>
      </c>
      <c r="T391" s="263"/>
      <c r="U391" s="263"/>
      <c r="V391" s="263"/>
      <c r="W391" s="263"/>
      <c r="X391" s="263"/>
      <c r="Y391" s="575"/>
      <c r="Z391" s="575"/>
      <c r="AA391" s="576">
        <f t="shared" si="32"/>
        <v>0</v>
      </c>
      <c r="AB391" s="722"/>
    </row>
    <row r="392" spans="1:28" ht="15.75" customHeight="1" x14ac:dyDescent="0.35">
      <c r="A392" s="68" t="s">
        <v>2113</v>
      </c>
      <c r="C392" s="83">
        <v>43788</v>
      </c>
      <c r="D392" s="112">
        <v>43824</v>
      </c>
      <c r="E392" s="570"/>
      <c r="F392" s="88" t="s">
        <v>2114</v>
      </c>
      <c r="G392" s="88" t="s">
        <v>154</v>
      </c>
      <c r="H392" s="81" t="s">
        <v>220</v>
      </c>
      <c r="J392" s="75">
        <f t="shared" si="33"/>
        <v>1</v>
      </c>
      <c r="K392" s="76" t="s">
        <v>211</v>
      </c>
      <c r="L392" s="99" t="s">
        <v>2855</v>
      </c>
      <c r="Q392" s="78" t="s">
        <v>2097</v>
      </c>
      <c r="R392" s="75">
        <f t="shared" si="34"/>
        <v>1</v>
      </c>
      <c r="S392" s="263" t="s">
        <v>1991</v>
      </c>
      <c r="T392" s="263"/>
      <c r="U392" s="263"/>
      <c r="V392" s="263"/>
      <c r="W392" s="263"/>
      <c r="X392" s="263"/>
      <c r="Y392" s="575"/>
      <c r="Z392" s="575"/>
      <c r="AA392" s="576">
        <f t="shared" si="32"/>
        <v>0</v>
      </c>
      <c r="AB392" s="722"/>
    </row>
    <row r="393" spans="1:28" ht="15.75" customHeight="1" x14ac:dyDescent="0.35">
      <c r="A393" s="68" t="s">
        <v>2115</v>
      </c>
      <c r="C393" s="83">
        <v>43788</v>
      </c>
      <c r="D393" s="112">
        <v>43824</v>
      </c>
      <c r="E393" s="570"/>
      <c r="F393" s="88" t="s">
        <v>2116</v>
      </c>
      <c r="G393" s="88" t="s">
        <v>156</v>
      </c>
      <c r="H393" s="81" t="s">
        <v>220</v>
      </c>
      <c r="J393" s="75">
        <f t="shared" si="33"/>
        <v>1</v>
      </c>
      <c r="K393" s="76" t="s">
        <v>211</v>
      </c>
      <c r="Q393" s="304" t="s">
        <v>2097</v>
      </c>
      <c r="R393" s="75">
        <f t="shared" si="34"/>
        <v>1</v>
      </c>
      <c r="S393" s="263" t="s">
        <v>1991</v>
      </c>
      <c r="T393" s="263"/>
      <c r="U393" s="263"/>
      <c r="V393" s="263"/>
      <c r="W393" s="263"/>
      <c r="X393" s="263"/>
      <c r="Y393" s="575"/>
      <c r="Z393" s="575"/>
      <c r="AA393" s="576">
        <f t="shared" si="32"/>
        <v>0</v>
      </c>
      <c r="AB393" s="722"/>
    </row>
    <row r="394" spans="1:28" ht="15.75" customHeight="1" x14ac:dyDescent="0.35">
      <c r="A394" s="68" t="s">
        <v>2528</v>
      </c>
      <c r="C394" s="83">
        <v>43788</v>
      </c>
      <c r="D394" s="112">
        <v>43823</v>
      </c>
      <c r="E394" s="570"/>
      <c r="F394" s="88" t="s">
        <v>2529</v>
      </c>
      <c r="G394" s="88" t="s">
        <v>152</v>
      </c>
      <c r="H394" s="81" t="s">
        <v>220</v>
      </c>
      <c r="J394" s="75">
        <f t="shared" si="33"/>
        <v>1</v>
      </c>
      <c r="K394" s="76" t="s">
        <v>211</v>
      </c>
      <c r="Q394" s="78" t="s">
        <v>2097</v>
      </c>
      <c r="R394" s="75">
        <f t="shared" si="34"/>
        <v>1</v>
      </c>
      <c r="S394" s="263" t="s">
        <v>1991</v>
      </c>
      <c r="T394" s="263"/>
      <c r="U394" s="263"/>
      <c r="V394" s="263"/>
      <c r="W394" s="263"/>
      <c r="X394" s="263"/>
      <c r="Y394" s="575"/>
      <c r="Z394" s="575"/>
      <c r="AA394" s="576">
        <f t="shared" si="32"/>
        <v>0</v>
      </c>
      <c r="AB394" s="722"/>
    </row>
    <row r="395" spans="1:28" ht="15.75" customHeight="1" x14ac:dyDescent="0.35">
      <c r="A395" s="68" t="s">
        <v>2117</v>
      </c>
      <c r="C395" s="83">
        <v>43789</v>
      </c>
      <c r="D395" s="112">
        <v>43824</v>
      </c>
      <c r="E395" s="570"/>
      <c r="F395" s="88" t="s">
        <v>2118</v>
      </c>
      <c r="G395" s="88" t="s">
        <v>149</v>
      </c>
      <c r="H395" s="81" t="s">
        <v>220</v>
      </c>
      <c r="J395" s="75">
        <f t="shared" si="33"/>
        <v>1</v>
      </c>
      <c r="K395" s="76" t="s">
        <v>211</v>
      </c>
      <c r="Q395" s="78" t="s">
        <v>2097</v>
      </c>
      <c r="R395" s="75">
        <f t="shared" si="34"/>
        <v>1</v>
      </c>
      <c r="S395" s="263" t="s">
        <v>1991</v>
      </c>
      <c r="T395" s="263"/>
      <c r="U395" s="263"/>
      <c r="V395" s="263"/>
      <c r="W395" s="263"/>
      <c r="X395" s="263"/>
      <c r="Y395" s="575"/>
      <c r="Z395" s="575"/>
      <c r="AA395" s="576">
        <f t="shared" si="32"/>
        <v>0</v>
      </c>
      <c r="AB395" s="722"/>
    </row>
    <row r="396" spans="1:28" ht="15.75" customHeight="1" x14ac:dyDescent="0.35">
      <c r="A396" s="68" t="s">
        <v>2121</v>
      </c>
      <c r="C396" s="83">
        <v>43790</v>
      </c>
      <c r="D396" s="112">
        <v>43825</v>
      </c>
      <c r="E396" s="570"/>
      <c r="F396" s="88" t="s">
        <v>2122</v>
      </c>
      <c r="G396" s="88" t="s">
        <v>158</v>
      </c>
      <c r="H396" s="81" t="s">
        <v>220</v>
      </c>
      <c r="J396" s="75">
        <f t="shared" si="33"/>
        <v>1</v>
      </c>
      <c r="K396" s="76" t="s">
        <v>211</v>
      </c>
      <c r="Q396" s="78" t="s">
        <v>2097</v>
      </c>
      <c r="R396" s="75">
        <f t="shared" si="34"/>
        <v>1</v>
      </c>
      <c r="S396" s="263" t="s">
        <v>1991</v>
      </c>
      <c r="T396" s="263"/>
      <c r="U396" s="263"/>
      <c r="V396" s="263"/>
      <c r="W396" s="263"/>
      <c r="X396" s="263"/>
      <c r="Y396" s="575"/>
      <c r="Z396" s="575"/>
      <c r="AA396" s="576">
        <f t="shared" si="32"/>
        <v>0</v>
      </c>
      <c r="AB396" s="722"/>
    </row>
    <row r="397" spans="1:28" ht="15.75" customHeight="1" x14ac:dyDescent="0.35">
      <c r="A397" s="68" t="s">
        <v>2123</v>
      </c>
      <c r="C397" s="83">
        <v>43790</v>
      </c>
      <c r="D397" s="112">
        <v>43825</v>
      </c>
      <c r="E397" s="570"/>
      <c r="F397" s="88" t="s">
        <v>2124</v>
      </c>
      <c r="G397" s="88" t="s">
        <v>2125</v>
      </c>
      <c r="H397" s="81" t="s">
        <v>220</v>
      </c>
      <c r="J397" s="75">
        <f t="shared" si="33"/>
        <v>1</v>
      </c>
      <c r="K397" s="76" t="s">
        <v>211</v>
      </c>
      <c r="Q397" s="78" t="s">
        <v>2097</v>
      </c>
      <c r="R397" s="75">
        <f t="shared" si="34"/>
        <v>1</v>
      </c>
      <c r="S397" s="263" t="s">
        <v>1991</v>
      </c>
      <c r="T397" s="263"/>
      <c r="U397" s="263"/>
      <c r="V397" s="263"/>
      <c r="W397" s="263"/>
      <c r="X397" s="263"/>
      <c r="Y397" s="575"/>
      <c r="Z397" s="575"/>
      <c r="AA397" s="576">
        <f t="shared" si="32"/>
        <v>0</v>
      </c>
      <c r="AB397" s="722"/>
    </row>
    <row r="398" spans="1:28" ht="15.75" customHeight="1" x14ac:dyDescent="0.35">
      <c r="A398" s="68" t="s">
        <v>2530</v>
      </c>
      <c r="C398" s="83">
        <v>43790</v>
      </c>
      <c r="D398" s="112">
        <v>43826</v>
      </c>
      <c r="E398" s="570"/>
      <c r="F398" s="88" t="s">
        <v>2531</v>
      </c>
      <c r="G398" s="88" t="s">
        <v>158</v>
      </c>
      <c r="H398" s="81" t="s">
        <v>220</v>
      </c>
      <c r="J398" s="75">
        <f t="shared" si="33"/>
        <v>1</v>
      </c>
      <c r="K398" s="76" t="s">
        <v>211</v>
      </c>
      <c r="Q398" s="78" t="s">
        <v>2097</v>
      </c>
      <c r="R398" s="75">
        <f t="shared" si="34"/>
        <v>1</v>
      </c>
      <c r="S398" s="263" t="s">
        <v>1991</v>
      </c>
      <c r="T398" s="263"/>
      <c r="U398" s="263"/>
      <c r="V398" s="263"/>
      <c r="W398" s="263"/>
      <c r="X398" s="263"/>
      <c r="Y398" s="575"/>
      <c r="Z398" s="575"/>
      <c r="AA398" s="576">
        <f t="shared" si="32"/>
        <v>0</v>
      </c>
      <c r="AB398" s="722"/>
    </row>
    <row r="399" spans="1:28" ht="15.75" customHeight="1" x14ac:dyDescent="0.35">
      <c r="A399" s="68" t="s">
        <v>2255</v>
      </c>
      <c r="C399" s="83">
        <v>43794</v>
      </c>
      <c r="D399" s="112">
        <v>43830</v>
      </c>
      <c r="E399" s="570"/>
      <c r="F399" s="88" t="s">
        <v>2256</v>
      </c>
      <c r="G399" s="88" t="s">
        <v>417</v>
      </c>
      <c r="H399" s="81" t="s">
        <v>220</v>
      </c>
      <c r="J399" s="75">
        <f t="shared" si="33"/>
        <v>1</v>
      </c>
      <c r="K399" s="76" t="s">
        <v>211</v>
      </c>
      <c r="Q399" s="78" t="s">
        <v>2097</v>
      </c>
      <c r="R399" s="75">
        <f t="shared" si="34"/>
        <v>1</v>
      </c>
      <c r="S399" s="263" t="s">
        <v>1991</v>
      </c>
      <c r="T399" s="263"/>
      <c r="U399" s="263"/>
      <c r="V399" s="263"/>
      <c r="W399" s="263"/>
      <c r="X399" s="263"/>
      <c r="Y399" s="575"/>
      <c r="Z399" s="575"/>
      <c r="AA399" s="576">
        <f t="shared" si="32"/>
        <v>0</v>
      </c>
      <c r="AB399" s="722"/>
    </row>
    <row r="400" spans="1:28" ht="15.75" customHeight="1" x14ac:dyDescent="0.35">
      <c r="A400" s="68" t="s">
        <v>2263</v>
      </c>
      <c r="C400" s="83">
        <v>43794</v>
      </c>
      <c r="D400" s="112">
        <v>43829</v>
      </c>
      <c r="E400" s="570"/>
      <c r="F400" s="88" t="s">
        <v>2264</v>
      </c>
      <c r="G400" s="88" t="s">
        <v>152</v>
      </c>
      <c r="H400" s="81" t="s">
        <v>220</v>
      </c>
      <c r="J400" s="75">
        <f t="shared" si="33"/>
        <v>1</v>
      </c>
      <c r="K400" s="76" t="s">
        <v>211</v>
      </c>
      <c r="Q400" s="78" t="s">
        <v>2097</v>
      </c>
      <c r="R400" s="75">
        <f t="shared" si="34"/>
        <v>1</v>
      </c>
      <c r="S400" s="263" t="s">
        <v>1991</v>
      </c>
      <c r="T400" s="263"/>
      <c r="U400" s="263"/>
      <c r="V400" s="263"/>
      <c r="W400" s="263"/>
      <c r="X400" s="263"/>
      <c r="Y400" s="575"/>
      <c r="Z400" s="575"/>
      <c r="AA400" s="576">
        <f t="shared" si="32"/>
        <v>0</v>
      </c>
      <c r="AB400" s="722"/>
    </row>
    <row r="401" spans="1:28" ht="15.75" customHeight="1" x14ac:dyDescent="0.35">
      <c r="A401" s="68" t="s">
        <v>2534</v>
      </c>
      <c r="C401" s="83">
        <v>43798</v>
      </c>
      <c r="D401" s="112">
        <v>43822</v>
      </c>
      <c r="E401" s="570"/>
      <c r="F401" s="88" t="s">
        <v>2535</v>
      </c>
      <c r="G401" s="88" t="s">
        <v>154</v>
      </c>
      <c r="H401" s="81" t="s">
        <v>220</v>
      </c>
      <c r="J401" s="75">
        <f t="shared" si="33"/>
        <v>1</v>
      </c>
      <c r="K401" s="76" t="s">
        <v>211</v>
      </c>
      <c r="Q401" s="78" t="s">
        <v>2097</v>
      </c>
      <c r="R401" s="75">
        <f t="shared" si="34"/>
        <v>1</v>
      </c>
      <c r="S401" s="263" t="s">
        <v>1991</v>
      </c>
      <c r="T401" s="263"/>
      <c r="U401" s="263"/>
      <c r="V401" s="263"/>
      <c r="W401" s="263"/>
      <c r="X401" s="263"/>
      <c r="Y401" s="575"/>
      <c r="Z401" s="575"/>
      <c r="AA401" s="576">
        <f t="shared" si="32"/>
        <v>0</v>
      </c>
      <c r="AB401" s="722"/>
    </row>
    <row r="402" spans="1:28" ht="15.75" customHeight="1" x14ac:dyDescent="0.35">
      <c r="A402" s="68" t="s">
        <v>2538</v>
      </c>
      <c r="C402" s="83">
        <v>43801</v>
      </c>
      <c r="D402" s="112">
        <v>43823</v>
      </c>
      <c r="E402" s="570"/>
      <c r="F402" s="88" t="s">
        <v>2539</v>
      </c>
      <c r="G402" s="88" t="s">
        <v>156</v>
      </c>
      <c r="H402" s="81" t="s">
        <v>220</v>
      </c>
      <c r="J402" s="75">
        <f t="shared" si="33"/>
        <v>1</v>
      </c>
      <c r="K402" s="76" t="s">
        <v>211</v>
      </c>
      <c r="Q402" s="78" t="s">
        <v>2097</v>
      </c>
      <c r="R402" s="75">
        <f t="shared" si="34"/>
        <v>1</v>
      </c>
      <c r="S402" s="263" t="s">
        <v>1991</v>
      </c>
      <c r="T402" s="263"/>
      <c r="U402" s="263"/>
      <c r="V402" s="263"/>
      <c r="W402" s="263"/>
      <c r="X402" s="263"/>
      <c r="Y402" s="575"/>
      <c r="Z402" s="575"/>
      <c r="AA402" s="576">
        <f t="shared" si="32"/>
        <v>0</v>
      </c>
      <c r="AB402" s="722"/>
    </row>
    <row r="403" spans="1:28" ht="15.75" customHeight="1" x14ac:dyDescent="0.35">
      <c r="A403" s="68" t="s">
        <v>2540</v>
      </c>
      <c r="C403" s="83">
        <v>43801</v>
      </c>
      <c r="D403" s="112">
        <v>43823</v>
      </c>
      <c r="E403" s="570"/>
      <c r="F403" s="88" t="s">
        <v>2541</v>
      </c>
      <c r="G403" s="88" t="s">
        <v>154</v>
      </c>
      <c r="H403" s="81" t="s">
        <v>275</v>
      </c>
      <c r="J403" s="75">
        <f t="shared" si="33"/>
        <v>1</v>
      </c>
      <c r="K403" s="76" t="s">
        <v>211</v>
      </c>
      <c r="Q403" s="78" t="s">
        <v>2097</v>
      </c>
      <c r="R403" s="75">
        <f t="shared" si="34"/>
        <v>1</v>
      </c>
      <c r="S403" s="263" t="s">
        <v>1991</v>
      </c>
      <c r="T403" s="263"/>
      <c r="U403" s="263"/>
      <c r="V403" s="263"/>
      <c r="W403" s="263"/>
      <c r="X403" s="263"/>
      <c r="Y403" s="575"/>
      <c r="Z403" s="575"/>
      <c r="AA403" s="576">
        <f t="shared" si="32"/>
        <v>0</v>
      </c>
      <c r="AB403" s="722"/>
    </row>
    <row r="404" spans="1:28" ht="15.75" customHeight="1" x14ac:dyDescent="0.35">
      <c r="A404" s="68" t="s">
        <v>2542</v>
      </c>
      <c r="C404" s="83">
        <v>43801</v>
      </c>
      <c r="D404" s="112">
        <v>43823</v>
      </c>
      <c r="E404" s="570"/>
      <c r="F404" s="88" t="s">
        <v>2543</v>
      </c>
      <c r="G404" s="88" t="s">
        <v>158</v>
      </c>
      <c r="H404" s="81" t="s">
        <v>220</v>
      </c>
      <c r="J404" s="75">
        <f t="shared" si="33"/>
        <v>1</v>
      </c>
      <c r="K404" s="76" t="s">
        <v>211</v>
      </c>
      <c r="Q404" s="78" t="s">
        <v>2097</v>
      </c>
      <c r="R404" s="75">
        <f t="shared" si="34"/>
        <v>1</v>
      </c>
      <c r="S404" s="263" t="s">
        <v>1991</v>
      </c>
      <c r="T404" s="263"/>
      <c r="U404" s="263"/>
      <c r="V404" s="263"/>
      <c r="W404" s="263"/>
      <c r="X404" s="263"/>
      <c r="Y404" s="575"/>
      <c r="Z404" s="575"/>
      <c r="AA404" s="576">
        <f t="shared" si="32"/>
        <v>0</v>
      </c>
      <c r="AB404" s="722"/>
    </row>
    <row r="405" spans="1:28" ht="15.75" customHeight="1" x14ac:dyDescent="0.35">
      <c r="A405" s="68" t="s">
        <v>2544</v>
      </c>
      <c r="C405" s="83">
        <v>43801</v>
      </c>
      <c r="D405" s="112">
        <v>43823</v>
      </c>
      <c r="E405" s="570"/>
      <c r="F405" s="88" t="s">
        <v>2545</v>
      </c>
      <c r="G405" s="88" t="s">
        <v>183</v>
      </c>
      <c r="H405" s="81" t="s">
        <v>220</v>
      </c>
      <c r="J405" s="75">
        <f t="shared" si="33"/>
        <v>1</v>
      </c>
      <c r="K405" s="76" t="s">
        <v>211</v>
      </c>
      <c r="Q405" s="78" t="s">
        <v>2097</v>
      </c>
      <c r="R405" s="75">
        <f t="shared" si="34"/>
        <v>1</v>
      </c>
      <c r="S405" s="263" t="s">
        <v>1991</v>
      </c>
      <c r="T405" s="263"/>
      <c r="U405" s="263"/>
      <c r="V405" s="263"/>
      <c r="W405" s="263"/>
      <c r="X405" s="263"/>
      <c r="Y405" s="575"/>
      <c r="Z405" s="575"/>
      <c r="AA405" s="576">
        <f t="shared" si="32"/>
        <v>0</v>
      </c>
      <c r="AB405" s="722"/>
    </row>
    <row r="406" spans="1:28" ht="15.75" customHeight="1" x14ac:dyDescent="0.35">
      <c r="A406" s="68" t="s">
        <v>2548</v>
      </c>
      <c r="C406" s="83">
        <v>43802</v>
      </c>
      <c r="D406" s="83">
        <v>43824</v>
      </c>
      <c r="E406" s="570"/>
      <c r="F406" s="88" t="s">
        <v>2549</v>
      </c>
      <c r="G406" s="88" t="s">
        <v>152</v>
      </c>
      <c r="H406" s="81" t="s">
        <v>220</v>
      </c>
      <c r="J406" s="75">
        <f t="shared" si="33"/>
        <v>1</v>
      </c>
      <c r="K406" s="76" t="s">
        <v>221</v>
      </c>
      <c r="Q406" s="78" t="s">
        <v>2097</v>
      </c>
      <c r="R406" s="75">
        <f t="shared" si="34"/>
        <v>1</v>
      </c>
      <c r="S406" s="263" t="s">
        <v>1991</v>
      </c>
      <c r="T406" s="263"/>
      <c r="U406" s="263"/>
      <c r="V406" s="263"/>
      <c r="W406" s="263"/>
      <c r="X406" s="263"/>
      <c r="Y406" s="575"/>
      <c r="Z406" s="575"/>
      <c r="AA406" s="576">
        <f t="shared" si="32"/>
        <v>0</v>
      </c>
      <c r="AB406" s="722"/>
    </row>
    <row r="407" spans="1:28" ht="15.75" customHeight="1" x14ac:dyDescent="0.35">
      <c r="A407" s="68" t="s">
        <v>2554</v>
      </c>
      <c r="C407" s="83">
        <v>43802</v>
      </c>
      <c r="D407" s="112">
        <v>43824</v>
      </c>
      <c r="E407" s="570"/>
      <c r="F407" s="88" t="s">
        <v>2555</v>
      </c>
      <c r="G407" s="88" t="s">
        <v>154</v>
      </c>
      <c r="H407" s="81" t="s">
        <v>220</v>
      </c>
      <c r="J407" s="75">
        <f t="shared" si="33"/>
        <v>1</v>
      </c>
      <c r="K407" s="76" t="s">
        <v>211</v>
      </c>
      <c r="Q407" s="78" t="s">
        <v>2097</v>
      </c>
      <c r="R407" s="75">
        <f t="shared" si="34"/>
        <v>1</v>
      </c>
      <c r="S407" s="263" t="s">
        <v>1991</v>
      </c>
      <c r="T407" s="263"/>
      <c r="U407" s="263"/>
      <c r="V407" s="263"/>
      <c r="W407" s="263"/>
      <c r="X407" s="263"/>
      <c r="Y407" s="575"/>
      <c r="Z407" s="575"/>
      <c r="AA407" s="576">
        <f t="shared" si="32"/>
        <v>0</v>
      </c>
      <c r="AB407" s="722"/>
    </row>
    <row r="408" spans="1:28" ht="15.75" customHeight="1" x14ac:dyDescent="0.35">
      <c r="A408" s="68" t="s">
        <v>2556</v>
      </c>
      <c r="C408" s="83">
        <v>43803</v>
      </c>
      <c r="D408" s="83">
        <v>43825</v>
      </c>
      <c r="E408" s="570"/>
      <c r="F408" s="88" t="s">
        <v>2557</v>
      </c>
      <c r="G408" s="88" t="s">
        <v>152</v>
      </c>
      <c r="H408" s="81" t="s">
        <v>220</v>
      </c>
      <c r="J408" s="75">
        <f t="shared" si="33"/>
        <v>1</v>
      </c>
      <c r="K408" s="76" t="s">
        <v>221</v>
      </c>
      <c r="Q408" s="78" t="s">
        <v>2097</v>
      </c>
      <c r="R408" s="75">
        <f>IF(S408="В работе",0.3,IF(S408="Отписано",0.6,IF(S408="На доработку",0.9,IF(S408="Согласовано",1,0))))</f>
        <v>1</v>
      </c>
      <c r="S408" s="263" t="s">
        <v>1991</v>
      </c>
      <c r="T408" s="263"/>
      <c r="U408" s="263"/>
      <c r="V408" s="263"/>
      <c r="W408" s="263"/>
      <c r="X408" s="263"/>
      <c r="Y408" s="575"/>
      <c r="Z408" s="575"/>
      <c r="AA408" s="576">
        <f t="shared" si="32"/>
        <v>0</v>
      </c>
      <c r="AB408" s="722"/>
    </row>
    <row r="409" spans="1:28" ht="15.75" customHeight="1" x14ac:dyDescent="0.35">
      <c r="A409" s="68" t="s">
        <v>2564</v>
      </c>
      <c r="C409" s="83">
        <v>43803</v>
      </c>
      <c r="D409" s="112">
        <v>43825</v>
      </c>
      <c r="E409" s="570"/>
      <c r="F409" s="88" t="s">
        <v>2565</v>
      </c>
      <c r="G409" s="88" t="s">
        <v>1393</v>
      </c>
      <c r="H409" s="81" t="s">
        <v>220</v>
      </c>
      <c r="J409" s="75">
        <f t="shared" si="33"/>
        <v>1</v>
      </c>
      <c r="K409" s="76" t="s">
        <v>211</v>
      </c>
      <c r="Q409" s="78" t="s">
        <v>2097</v>
      </c>
      <c r="R409" s="75">
        <f t="shared" si="34"/>
        <v>1</v>
      </c>
      <c r="S409" s="263" t="s">
        <v>1991</v>
      </c>
      <c r="T409" s="263"/>
      <c r="U409" s="263"/>
      <c r="V409" s="263"/>
      <c r="W409" s="263"/>
      <c r="X409" s="263"/>
      <c r="Y409" s="575"/>
      <c r="Z409" s="575"/>
      <c r="AA409" s="576">
        <f t="shared" si="32"/>
        <v>0</v>
      </c>
      <c r="AB409" s="722"/>
    </row>
    <row r="410" spans="1:28" ht="15.75" customHeight="1" x14ac:dyDescent="0.35">
      <c r="A410" s="68" t="s">
        <v>2568</v>
      </c>
      <c r="C410" s="83">
        <v>43804</v>
      </c>
      <c r="D410" s="112">
        <v>43826</v>
      </c>
      <c r="E410" s="570"/>
      <c r="F410" s="88" t="s">
        <v>2569</v>
      </c>
      <c r="G410" s="88" t="s">
        <v>154</v>
      </c>
      <c r="H410" s="81" t="s">
        <v>220</v>
      </c>
      <c r="J410" s="75">
        <f t="shared" si="33"/>
        <v>1</v>
      </c>
      <c r="K410" s="76" t="s">
        <v>211</v>
      </c>
      <c r="Q410" s="78" t="s">
        <v>2097</v>
      </c>
      <c r="R410" s="75">
        <f t="shared" si="34"/>
        <v>1</v>
      </c>
      <c r="S410" s="263" t="s">
        <v>1991</v>
      </c>
      <c r="T410" s="263"/>
      <c r="U410" s="263"/>
      <c r="V410" s="263"/>
      <c r="W410" s="263"/>
      <c r="X410" s="263"/>
      <c r="Y410" s="575"/>
      <c r="Z410" s="575"/>
      <c r="AA410" s="576">
        <f t="shared" si="32"/>
        <v>0</v>
      </c>
      <c r="AB410" s="722"/>
    </row>
    <row r="411" spans="1:28" ht="15.75" customHeight="1" x14ac:dyDescent="0.35">
      <c r="A411" s="68" t="s">
        <v>2572</v>
      </c>
      <c r="C411" s="83">
        <v>43804</v>
      </c>
      <c r="D411" s="112">
        <v>43826</v>
      </c>
      <c r="E411" s="570"/>
      <c r="F411" s="88" t="s">
        <v>2573</v>
      </c>
      <c r="G411" s="88" t="s">
        <v>154</v>
      </c>
      <c r="H411" s="81" t="s">
        <v>220</v>
      </c>
      <c r="J411" s="75">
        <f t="shared" si="33"/>
        <v>1</v>
      </c>
      <c r="K411" s="76" t="s">
        <v>211</v>
      </c>
      <c r="Q411" s="78" t="s">
        <v>2097</v>
      </c>
      <c r="R411" s="75">
        <f t="shared" si="34"/>
        <v>1</v>
      </c>
      <c r="S411" s="263" t="s">
        <v>1991</v>
      </c>
      <c r="T411" s="263"/>
      <c r="U411" s="263"/>
      <c r="V411" s="263"/>
      <c r="W411" s="263"/>
      <c r="X411" s="263"/>
      <c r="Y411" s="575"/>
      <c r="Z411" s="575"/>
      <c r="AA411" s="576">
        <f t="shared" si="32"/>
        <v>0</v>
      </c>
      <c r="AB411" s="722"/>
    </row>
    <row r="412" spans="1:28" ht="15.75" customHeight="1" x14ac:dyDescent="0.35">
      <c r="A412" s="68" t="s">
        <v>2574</v>
      </c>
      <c r="C412" s="83">
        <v>43805</v>
      </c>
      <c r="D412" s="112">
        <v>43829</v>
      </c>
      <c r="E412" s="570"/>
      <c r="F412" s="88" t="s">
        <v>2575</v>
      </c>
      <c r="G412" s="88" t="s">
        <v>149</v>
      </c>
      <c r="H412" s="81" t="s">
        <v>220</v>
      </c>
      <c r="I412" s="98" t="s">
        <v>2892</v>
      </c>
      <c r="J412" s="75">
        <f t="shared" si="33"/>
        <v>1</v>
      </c>
      <c r="K412" s="76" t="s">
        <v>211</v>
      </c>
      <c r="L412" s="99" t="s">
        <v>2893</v>
      </c>
      <c r="N412" s="78" t="s">
        <v>19</v>
      </c>
      <c r="Q412" s="78" t="s">
        <v>2097</v>
      </c>
      <c r="R412" s="75">
        <f t="shared" si="34"/>
        <v>1</v>
      </c>
      <c r="S412" s="263" t="s">
        <v>1991</v>
      </c>
      <c r="T412" s="263"/>
      <c r="U412" s="263"/>
      <c r="V412" s="263"/>
      <c r="W412" s="263"/>
      <c r="X412" s="263"/>
      <c r="Y412" s="575"/>
      <c r="Z412" s="575"/>
      <c r="AA412" s="576">
        <f t="shared" si="32"/>
        <v>0</v>
      </c>
      <c r="AB412" s="722"/>
    </row>
    <row r="413" spans="1:28" ht="15.75" customHeight="1" x14ac:dyDescent="0.35">
      <c r="A413" s="68" t="s">
        <v>2576</v>
      </c>
      <c r="C413" s="83">
        <v>43805</v>
      </c>
      <c r="D413" s="112">
        <v>43829</v>
      </c>
      <c r="E413" s="570"/>
      <c r="F413" s="88" t="s">
        <v>2577</v>
      </c>
      <c r="G413" s="88" t="s">
        <v>160</v>
      </c>
      <c r="H413" s="81" t="s">
        <v>220</v>
      </c>
      <c r="I413" s="98" t="s">
        <v>2895</v>
      </c>
      <c r="J413" s="75">
        <f t="shared" si="33"/>
        <v>1</v>
      </c>
      <c r="K413" s="76" t="s">
        <v>211</v>
      </c>
      <c r="L413" s="99" t="s">
        <v>2894</v>
      </c>
      <c r="Q413" s="78" t="s">
        <v>2097</v>
      </c>
      <c r="R413" s="75">
        <f t="shared" si="34"/>
        <v>1</v>
      </c>
      <c r="S413" s="263" t="s">
        <v>1991</v>
      </c>
      <c r="T413" s="263"/>
      <c r="U413" s="263"/>
      <c r="V413" s="263"/>
      <c r="W413" s="263"/>
      <c r="X413" s="263"/>
      <c r="Y413" s="575"/>
      <c r="Z413" s="575"/>
      <c r="AA413" s="576">
        <f t="shared" si="32"/>
        <v>0</v>
      </c>
      <c r="AB413" s="722"/>
    </row>
    <row r="414" spans="1:28" ht="15.75" customHeight="1" x14ac:dyDescent="0.35">
      <c r="A414" s="68" t="s">
        <v>2578</v>
      </c>
      <c r="C414" s="83">
        <v>43805</v>
      </c>
      <c r="D414" s="112">
        <v>43829</v>
      </c>
      <c r="E414" s="570"/>
      <c r="F414" s="88" t="s">
        <v>2579</v>
      </c>
      <c r="G414" s="88" t="s">
        <v>152</v>
      </c>
      <c r="H414" s="81" t="s">
        <v>220</v>
      </c>
      <c r="I414" s="98" t="s">
        <v>2027</v>
      </c>
      <c r="J414" s="75">
        <f t="shared" si="33"/>
        <v>1</v>
      </c>
      <c r="K414" s="76" t="s">
        <v>211</v>
      </c>
      <c r="L414" s="99" t="s">
        <v>2897</v>
      </c>
      <c r="Q414" s="78" t="s">
        <v>2097</v>
      </c>
      <c r="R414" s="75">
        <f t="shared" si="34"/>
        <v>1</v>
      </c>
      <c r="S414" s="263" t="s">
        <v>1991</v>
      </c>
      <c r="T414" s="263"/>
      <c r="U414" s="263"/>
      <c r="V414" s="263"/>
      <c r="W414" s="263"/>
      <c r="X414" s="263"/>
      <c r="Y414" s="575"/>
      <c r="Z414" s="575"/>
      <c r="AA414" s="576">
        <f t="shared" si="32"/>
        <v>0</v>
      </c>
      <c r="AB414" s="722"/>
    </row>
    <row r="415" spans="1:28" ht="15.75" customHeight="1" x14ac:dyDescent="0.35">
      <c r="A415" s="68" t="s">
        <v>2584</v>
      </c>
      <c r="C415" s="83">
        <v>43808</v>
      </c>
      <c r="D415" s="112">
        <v>43830</v>
      </c>
      <c r="E415" s="570"/>
      <c r="F415" s="88" t="s">
        <v>2585</v>
      </c>
      <c r="G415" s="88" t="s">
        <v>152</v>
      </c>
      <c r="H415" s="81" t="s">
        <v>220</v>
      </c>
      <c r="J415" s="75">
        <f t="shared" si="33"/>
        <v>1</v>
      </c>
      <c r="K415" s="76" t="s">
        <v>211</v>
      </c>
      <c r="L415" s="99" t="s">
        <v>2905</v>
      </c>
      <c r="Q415" s="78" t="s">
        <v>2097</v>
      </c>
      <c r="R415" s="75">
        <f t="shared" si="34"/>
        <v>1</v>
      </c>
      <c r="S415" s="263" t="s">
        <v>1991</v>
      </c>
      <c r="T415" s="263"/>
      <c r="U415" s="263"/>
      <c r="V415" s="263"/>
      <c r="W415" s="263"/>
      <c r="X415" s="263"/>
      <c r="Y415" s="575"/>
      <c r="Z415" s="575"/>
      <c r="AA415" s="576">
        <f t="shared" si="32"/>
        <v>0</v>
      </c>
      <c r="AB415" s="722"/>
    </row>
    <row r="416" spans="1:28" ht="15.75" customHeight="1" x14ac:dyDescent="0.35">
      <c r="A416" s="68" t="s">
        <v>2586</v>
      </c>
      <c r="C416" s="83">
        <v>43808</v>
      </c>
      <c r="D416" s="112">
        <v>43830</v>
      </c>
      <c r="E416" s="570"/>
      <c r="F416" s="88" t="s">
        <v>2587</v>
      </c>
      <c r="G416" s="88" t="s">
        <v>183</v>
      </c>
      <c r="H416" s="81" t="s">
        <v>220</v>
      </c>
      <c r="I416" s="98" t="s">
        <v>2904</v>
      </c>
      <c r="J416" s="75">
        <f t="shared" si="33"/>
        <v>1</v>
      </c>
      <c r="K416" s="76" t="s">
        <v>211</v>
      </c>
      <c r="Q416" s="78" t="s">
        <v>2097</v>
      </c>
      <c r="R416" s="75">
        <f t="shared" si="34"/>
        <v>1</v>
      </c>
      <c r="S416" s="263" t="s">
        <v>1991</v>
      </c>
      <c r="T416" s="263"/>
      <c r="U416" s="263"/>
      <c r="V416" s="263"/>
      <c r="W416" s="263"/>
      <c r="X416" s="263"/>
      <c r="Y416" s="575"/>
      <c r="Z416" s="575"/>
      <c r="AA416" s="576">
        <f t="shared" si="32"/>
        <v>0</v>
      </c>
      <c r="AB416" s="722"/>
    </row>
    <row r="417" spans="1:28" ht="15.75" customHeight="1" x14ac:dyDescent="0.35">
      <c r="A417" s="68" t="s">
        <v>2590</v>
      </c>
      <c r="C417" s="83">
        <v>43767</v>
      </c>
      <c r="D417" s="112">
        <v>43825</v>
      </c>
      <c r="E417" s="570"/>
      <c r="F417" s="88" t="s">
        <v>2591</v>
      </c>
      <c r="G417" s="88" t="s">
        <v>158</v>
      </c>
      <c r="H417" s="81" t="s">
        <v>220</v>
      </c>
      <c r="J417" s="75">
        <f t="shared" si="33"/>
        <v>1</v>
      </c>
      <c r="K417" s="76" t="s">
        <v>211</v>
      </c>
      <c r="Q417" s="78" t="s">
        <v>2163</v>
      </c>
      <c r="R417" s="75">
        <f t="shared" si="34"/>
        <v>1</v>
      </c>
      <c r="S417" s="263" t="s">
        <v>1991</v>
      </c>
      <c r="T417" s="263"/>
      <c r="U417" s="263"/>
      <c r="V417" s="263"/>
      <c r="W417" s="263"/>
      <c r="X417" s="263"/>
      <c r="Y417" s="575"/>
      <c r="Z417" s="575"/>
      <c r="AA417" s="576">
        <f t="shared" si="32"/>
        <v>0</v>
      </c>
      <c r="AB417" s="722"/>
    </row>
    <row r="418" spans="1:28" ht="15.75" customHeight="1" x14ac:dyDescent="0.35">
      <c r="A418" s="68" t="s">
        <v>2592</v>
      </c>
      <c r="C418" s="83">
        <v>43774</v>
      </c>
      <c r="D418" s="112">
        <v>43824</v>
      </c>
      <c r="E418" s="570"/>
      <c r="F418" s="88" t="s">
        <v>2593</v>
      </c>
      <c r="G418" s="88" t="s">
        <v>158</v>
      </c>
      <c r="H418" s="81" t="s">
        <v>220</v>
      </c>
      <c r="J418" s="75">
        <f t="shared" si="33"/>
        <v>1</v>
      </c>
      <c r="K418" s="76" t="s">
        <v>211</v>
      </c>
      <c r="Q418" s="78" t="s">
        <v>2163</v>
      </c>
      <c r="R418" s="75">
        <f t="shared" si="34"/>
        <v>1</v>
      </c>
      <c r="S418" s="263" t="s">
        <v>1991</v>
      </c>
      <c r="T418" s="263"/>
      <c r="U418" s="263"/>
      <c r="V418" s="263"/>
      <c r="W418" s="263"/>
      <c r="X418" s="263"/>
      <c r="Y418" s="575"/>
      <c r="Z418" s="575"/>
      <c r="AA418" s="576">
        <f t="shared" si="32"/>
        <v>0</v>
      </c>
      <c r="AB418" s="722"/>
    </row>
    <row r="419" spans="1:28" ht="15.75" customHeight="1" x14ac:dyDescent="0.35">
      <c r="A419" s="68" t="s">
        <v>2594</v>
      </c>
      <c r="C419" s="83">
        <v>43774</v>
      </c>
      <c r="D419" s="112">
        <v>43823</v>
      </c>
      <c r="E419" s="570"/>
      <c r="F419" s="88" t="s">
        <v>2595</v>
      </c>
      <c r="G419" s="88" t="s">
        <v>158</v>
      </c>
      <c r="H419" s="81" t="s">
        <v>220</v>
      </c>
      <c r="J419" s="75">
        <f t="shared" si="33"/>
        <v>1</v>
      </c>
      <c r="K419" s="76" t="s">
        <v>211</v>
      </c>
      <c r="Q419" s="78" t="s">
        <v>2163</v>
      </c>
      <c r="R419" s="75">
        <f t="shared" si="34"/>
        <v>1</v>
      </c>
      <c r="S419" s="263" t="s">
        <v>1991</v>
      </c>
      <c r="T419" s="263"/>
      <c r="U419" s="263"/>
      <c r="V419" s="263"/>
      <c r="W419" s="263"/>
      <c r="X419" s="263"/>
      <c r="Y419" s="575"/>
      <c r="Z419" s="575"/>
      <c r="AA419" s="576">
        <f t="shared" si="32"/>
        <v>0</v>
      </c>
      <c r="AB419" s="722"/>
    </row>
    <row r="420" spans="1:28" ht="15.75" customHeight="1" x14ac:dyDescent="0.35">
      <c r="A420" s="68" t="s">
        <v>2363</v>
      </c>
      <c r="C420" s="83">
        <v>43784</v>
      </c>
      <c r="D420" s="83">
        <v>43819</v>
      </c>
      <c r="E420" s="570"/>
      <c r="F420" s="88" t="s">
        <v>2364</v>
      </c>
      <c r="G420" s="88" t="s">
        <v>162</v>
      </c>
      <c r="H420" s="81" t="s">
        <v>220</v>
      </c>
      <c r="J420" s="75">
        <f t="shared" si="33"/>
        <v>1</v>
      </c>
      <c r="K420" s="76" t="s">
        <v>211</v>
      </c>
      <c r="Q420" s="78" t="s">
        <v>2163</v>
      </c>
      <c r="R420" s="75">
        <f t="shared" si="34"/>
        <v>0</v>
      </c>
      <c r="S420" s="263"/>
      <c r="T420" s="263"/>
      <c r="U420" s="263"/>
      <c r="V420" s="263"/>
      <c r="W420" s="263"/>
      <c r="X420" s="263"/>
      <c r="Y420" s="575"/>
      <c r="Z420" s="575"/>
      <c r="AA420" s="576">
        <f t="shared" si="32"/>
        <v>0</v>
      </c>
      <c r="AB420" s="722"/>
    </row>
    <row r="421" spans="1:28" ht="15.75" customHeight="1" x14ac:dyDescent="0.35">
      <c r="A421" s="68" t="s">
        <v>2596</v>
      </c>
      <c r="C421" s="83">
        <v>43784</v>
      </c>
      <c r="D421" s="112">
        <v>43822</v>
      </c>
      <c r="E421" s="570"/>
      <c r="F421" s="88" t="s">
        <v>2597</v>
      </c>
      <c r="G421" s="88" t="s">
        <v>149</v>
      </c>
      <c r="H421" s="81" t="s">
        <v>220</v>
      </c>
      <c r="J421" s="75">
        <f t="shared" si="33"/>
        <v>1</v>
      </c>
      <c r="K421" s="76" t="s">
        <v>211</v>
      </c>
      <c r="L421" s="99" t="s">
        <v>2787</v>
      </c>
      <c r="Q421" s="78" t="s">
        <v>2163</v>
      </c>
      <c r="R421" s="75">
        <f t="shared" si="34"/>
        <v>1</v>
      </c>
      <c r="S421" s="263" t="s">
        <v>1991</v>
      </c>
      <c r="T421" s="263"/>
      <c r="U421" s="263"/>
      <c r="V421" s="263"/>
      <c r="W421" s="263"/>
      <c r="X421" s="263"/>
      <c r="Y421" s="575"/>
      <c r="Z421" s="575"/>
      <c r="AA421" s="576">
        <f t="shared" si="32"/>
        <v>0</v>
      </c>
      <c r="AB421" s="722"/>
    </row>
    <row r="422" spans="1:28" ht="15.75" customHeight="1" x14ac:dyDescent="0.35">
      <c r="A422" s="68" t="s">
        <v>2598</v>
      </c>
      <c r="C422" s="83">
        <v>43784</v>
      </c>
      <c r="D422" s="112">
        <v>43822</v>
      </c>
      <c r="E422" s="570"/>
      <c r="F422" s="88" t="s">
        <v>2599</v>
      </c>
      <c r="G422" s="88" t="s">
        <v>154</v>
      </c>
      <c r="H422" s="81" t="s">
        <v>220</v>
      </c>
      <c r="J422" s="75">
        <f t="shared" si="33"/>
        <v>1</v>
      </c>
      <c r="K422" s="76" t="s">
        <v>211</v>
      </c>
      <c r="L422" s="99" t="s">
        <v>2713</v>
      </c>
      <c r="Q422" s="78" t="s">
        <v>2163</v>
      </c>
      <c r="R422" s="75">
        <f t="shared" si="34"/>
        <v>1</v>
      </c>
      <c r="S422" s="263" t="s">
        <v>1991</v>
      </c>
      <c r="T422" s="263"/>
      <c r="U422" s="263"/>
      <c r="V422" s="263"/>
      <c r="W422" s="263"/>
      <c r="X422" s="263"/>
      <c r="Y422" s="575"/>
      <c r="Z422" s="575"/>
      <c r="AA422" s="576">
        <f t="shared" si="32"/>
        <v>0</v>
      </c>
      <c r="AB422" s="722"/>
    </row>
    <row r="423" spans="1:28" ht="15.75" customHeight="1" x14ac:dyDescent="0.35">
      <c r="A423" s="68" t="s">
        <v>2600</v>
      </c>
      <c r="C423" s="83">
        <v>43788</v>
      </c>
      <c r="D423" s="112">
        <v>43823</v>
      </c>
      <c r="E423" s="570"/>
      <c r="F423" s="88" t="s">
        <v>2601</v>
      </c>
      <c r="G423" s="88" t="s">
        <v>156</v>
      </c>
      <c r="H423" s="81" t="s">
        <v>220</v>
      </c>
      <c r="J423" s="75">
        <f t="shared" si="33"/>
        <v>1</v>
      </c>
      <c r="K423" s="76" t="s">
        <v>211</v>
      </c>
      <c r="Q423" s="78" t="s">
        <v>2163</v>
      </c>
      <c r="R423" s="75">
        <f t="shared" si="34"/>
        <v>1</v>
      </c>
      <c r="S423" s="263" t="s">
        <v>1991</v>
      </c>
      <c r="T423" s="263"/>
      <c r="U423" s="263"/>
      <c r="V423" s="263"/>
      <c r="W423" s="263"/>
      <c r="X423" s="263"/>
      <c r="Y423" s="575"/>
      <c r="Z423" s="575"/>
      <c r="AA423" s="576">
        <f t="shared" si="32"/>
        <v>0</v>
      </c>
      <c r="AB423" s="722"/>
    </row>
    <row r="424" spans="1:28" ht="15.75" customHeight="1" x14ac:dyDescent="0.35">
      <c r="A424" s="68" t="s">
        <v>2602</v>
      </c>
      <c r="C424" s="83">
        <v>43788</v>
      </c>
      <c r="D424" s="112">
        <v>43823</v>
      </c>
      <c r="E424" s="570"/>
      <c r="F424" s="88" t="s">
        <v>2603</v>
      </c>
      <c r="G424" s="88" t="s">
        <v>149</v>
      </c>
      <c r="H424" s="81" t="s">
        <v>220</v>
      </c>
      <c r="J424" s="75">
        <f t="shared" si="33"/>
        <v>1</v>
      </c>
      <c r="K424" s="76" t="s">
        <v>211</v>
      </c>
      <c r="L424" s="99" t="s">
        <v>2846</v>
      </c>
      <c r="Q424" s="78" t="s">
        <v>2163</v>
      </c>
      <c r="R424" s="75">
        <f t="shared" si="34"/>
        <v>1</v>
      </c>
      <c r="S424" s="263" t="s">
        <v>1991</v>
      </c>
      <c r="T424" s="263"/>
      <c r="U424" s="263"/>
      <c r="V424" s="263"/>
      <c r="W424" s="263"/>
      <c r="X424" s="263"/>
      <c r="Y424" s="575"/>
      <c r="Z424" s="575"/>
      <c r="AA424" s="576">
        <f t="shared" si="32"/>
        <v>0</v>
      </c>
      <c r="AB424" s="722"/>
    </row>
    <row r="425" spans="1:28" ht="15.75" customHeight="1" x14ac:dyDescent="0.35">
      <c r="A425" s="68" t="s">
        <v>2604</v>
      </c>
      <c r="C425" s="83">
        <v>43789</v>
      </c>
      <c r="D425" s="112">
        <v>43824</v>
      </c>
      <c r="E425" s="570"/>
      <c r="F425" s="88" t="s">
        <v>2605</v>
      </c>
      <c r="G425" s="88" t="s">
        <v>154</v>
      </c>
      <c r="H425" s="81" t="s">
        <v>220</v>
      </c>
      <c r="J425" s="75">
        <f t="shared" si="33"/>
        <v>1</v>
      </c>
      <c r="K425" s="76" t="s">
        <v>211</v>
      </c>
      <c r="Q425" s="78" t="s">
        <v>2163</v>
      </c>
      <c r="R425" s="75">
        <f t="shared" si="34"/>
        <v>1</v>
      </c>
      <c r="S425" s="263" t="s">
        <v>1991</v>
      </c>
      <c r="T425" s="263"/>
      <c r="U425" s="263"/>
      <c r="V425" s="263"/>
      <c r="W425" s="263"/>
      <c r="X425" s="263"/>
      <c r="Y425" s="575"/>
      <c r="Z425" s="575"/>
      <c r="AA425" s="576">
        <f t="shared" si="32"/>
        <v>0</v>
      </c>
      <c r="AB425" s="722"/>
    </row>
    <row r="426" spans="1:28" ht="15.75" customHeight="1" x14ac:dyDescent="0.35">
      <c r="A426" s="68" t="s">
        <v>2185</v>
      </c>
      <c r="C426" s="83">
        <v>43789</v>
      </c>
      <c r="D426" s="112">
        <v>43824</v>
      </c>
      <c r="E426" s="570"/>
      <c r="F426" s="88" t="s">
        <v>2186</v>
      </c>
      <c r="G426" s="88" t="s">
        <v>154</v>
      </c>
      <c r="H426" s="81" t="s">
        <v>220</v>
      </c>
      <c r="J426" s="75">
        <f>IF(OR(K426="Документы готовы",K426="Запрос в ФО",K426="ЭЗ",K426="РЕШ",K426="РЕШ шаблон"),0.1,IF(OR(K426="ЭЗ согласование",K426="РЕШ согласование"),0.3,IF(OR(K426="ЭЗ согласовано",K426="РЕШ согласовано",K426="РЕШ подписано"),0.6,IF(OR(K426="ЭЗ ПР согласование",K426="РЕШ УВ согласование"),0.9,IF(OR(K426="ЭЗ ПР DONE",K426="РЕШ УВ DONE"),1,0)))))</f>
        <v>1</v>
      </c>
      <c r="K426" s="76" t="s">
        <v>211</v>
      </c>
      <c r="L426" s="99" t="s">
        <v>2854</v>
      </c>
      <c r="Q426" s="78" t="s">
        <v>2163</v>
      </c>
      <c r="R426" s="75">
        <f t="shared" si="34"/>
        <v>1</v>
      </c>
      <c r="S426" s="263" t="s">
        <v>1991</v>
      </c>
      <c r="T426" s="263"/>
      <c r="U426" s="263"/>
      <c r="V426" s="263"/>
      <c r="W426" s="263"/>
      <c r="X426" s="263"/>
      <c r="Y426" s="575"/>
      <c r="Z426" s="575"/>
      <c r="AA426" s="576">
        <f t="shared" si="32"/>
        <v>0</v>
      </c>
      <c r="AB426" s="722"/>
    </row>
    <row r="427" spans="1:28" ht="15.75" customHeight="1" x14ac:dyDescent="0.35">
      <c r="A427" s="68" t="s">
        <v>2606</v>
      </c>
      <c r="C427" s="83">
        <v>43790</v>
      </c>
      <c r="D427" s="112">
        <v>43825</v>
      </c>
      <c r="E427" s="570"/>
      <c r="F427" s="88" t="s">
        <v>2607</v>
      </c>
      <c r="G427" s="88" t="s">
        <v>176</v>
      </c>
      <c r="H427" s="81" t="s">
        <v>220</v>
      </c>
      <c r="J427" s="75">
        <f t="shared" si="33"/>
        <v>1</v>
      </c>
      <c r="K427" s="76" t="s">
        <v>211</v>
      </c>
      <c r="Q427" s="78" t="s">
        <v>2163</v>
      </c>
      <c r="R427" s="75">
        <f t="shared" si="34"/>
        <v>1</v>
      </c>
      <c r="S427" s="263" t="s">
        <v>1991</v>
      </c>
      <c r="T427" s="263"/>
      <c r="U427" s="263"/>
      <c r="V427" s="263"/>
      <c r="W427" s="263"/>
      <c r="X427" s="263"/>
      <c r="Y427" s="575"/>
      <c r="Z427" s="575"/>
      <c r="AA427" s="576">
        <f t="shared" si="32"/>
        <v>0</v>
      </c>
      <c r="AB427" s="722"/>
    </row>
    <row r="428" spans="1:28" ht="15.75" customHeight="1" x14ac:dyDescent="0.35">
      <c r="A428" s="68" t="s">
        <v>2608</v>
      </c>
      <c r="C428" s="83">
        <v>43790</v>
      </c>
      <c r="D428" s="112">
        <v>43825</v>
      </c>
      <c r="E428" s="570"/>
      <c r="F428" s="88" t="s">
        <v>2609</v>
      </c>
      <c r="G428" s="88" t="s">
        <v>158</v>
      </c>
      <c r="H428" s="81" t="s">
        <v>220</v>
      </c>
      <c r="J428" s="75">
        <f t="shared" si="33"/>
        <v>1</v>
      </c>
      <c r="K428" s="76" t="s">
        <v>211</v>
      </c>
      <c r="Q428" s="78" t="s">
        <v>2163</v>
      </c>
      <c r="R428" s="75">
        <f t="shared" si="34"/>
        <v>1</v>
      </c>
      <c r="S428" s="263" t="s">
        <v>1991</v>
      </c>
      <c r="T428" s="263"/>
      <c r="U428" s="263"/>
      <c r="V428" s="263"/>
      <c r="W428" s="263"/>
      <c r="X428" s="263"/>
      <c r="Y428" s="575"/>
      <c r="Z428" s="575"/>
      <c r="AA428" s="576">
        <f t="shared" si="32"/>
        <v>0</v>
      </c>
      <c r="AB428" s="722"/>
    </row>
    <row r="429" spans="1:28" ht="15.75" customHeight="1" x14ac:dyDescent="0.35">
      <c r="A429" s="68" t="s">
        <v>2195</v>
      </c>
      <c r="C429" s="83">
        <v>43791</v>
      </c>
      <c r="D429" s="83">
        <v>43826</v>
      </c>
      <c r="E429" s="570"/>
      <c r="F429" s="88" t="s">
        <v>2196</v>
      </c>
      <c r="G429" s="88" t="s">
        <v>195</v>
      </c>
      <c r="H429" s="81" t="s">
        <v>220</v>
      </c>
      <c r="J429" s="75">
        <f t="shared" ref="J429:J469" si="35">IF(OR(K429="Документы готовы",K429="Запрос в ФО",K429="ЭЗ",K429="РЕШ",K429="РЕШ шаблон"),0.1,IF(OR(K429="ЭЗ согласование",K429="РЕШ согласование"),0.3,IF(OR(K429="ЭЗ согласовано",K429="РЕШ согласовано",K429="РЕШ подписано"),0.6,IF(OR(K429="ЭЗ ПР согласование",K429="РЕШ УВ согласование"),0.9,IF(OR(K429="ЭЗ ПР DONE",K429="РЕШ УВ DONE"),1,0)))))</f>
        <v>1</v>
      </c>
      <c r="K429" s="76" t="s">
        <v>211</v>
      </c>
      <c r="Q429" s="78" t="s">
        <v>2163</v>
      </c>
      <c r="R429" s="75">
        <f t="shared" ref="R429:R469" si="36">IF(S429="В работе",0.3,IF(S429="Отписано",0.6,IF(S429="На доработку",0.9,IF(S429="Согласовано",1,0))))</f>
        <v>1</v>
      </c>
      <c r="S429" s="263" t="s">
        <v>1991</v>
      </c>
      <c r="T429" s="263"/>
      <c r="U429" s="263"/>
      <c r="V429" s="263"/>
      <c r="W429" s="263"/>
      <c r="X429" s="263"/>
      <c r="Y429" s="575"/>
      <c r="Z429" s="575"/>
      <c r="AA429" s="576">
        <f t="shared" si="32"/>
        <v>0</v>
      </c>
      <c r="AB429" s="722"/>
    </row>
    <row r="430" spans="1:28" ht="15.75" customHeight="1" x14ac:dyDescent="0.35">
      <c r="A430" s="68" t="s">
        <v>2367</v>
      </c>
      <c r="C430" s="83">
        <v>43791</v>
      </c>
      <c r="D430" s="112">
        <v>43829</v>
      </c>
      <c r="E430" s="570"/>
      <c r="F430" s="88" t="s">
        <v>2368</v>
      </c>
      <c r="G430" s="88" t="s">
        <v>152</v>
      </c>
      <c r="H430" s="81" t="s">
        <v>220</v>
      </c>
      <c r="J430" s="75">
        <f t="shared" si="35"/>
        <v>1</v>
      </c>
      <c r="K430" s="76" t="s">
        <v>211</v>
      </c>
      <c r="Q430" s="78" t="s">
        <v>2163</v>
      </c>
      <c r="R430" s="75">
        <f t="shared" si="36"/>
        <v>1</v>
      </c>
      <c r="S430" s="263" t="s">
        <v>1991</v>
      </c>
      <c r="T430" s="263"/>
      <c r="U430" s="263"/>
      <c r="V430" s="263"/>
      <c r="W430" s="263"/>
      <c r="X430" s="263"/>
      <c r="Y430" s="575"/>
      <c r="Z430" s="575"/>
      <c r="AA430" s="576">
        <f t="shared" si="32"/>
        <v>0</v>
      </c>
      <c r="AB430" s="722"/>
    </row>
    <row r="431" spans="1:28" ht="15.75" customHeight="1" x14ac:dyDescent="0.35">
      <c r="A431" s="68" t="s">
        <v>2371</v>
      </c>
      <c r="C431" s="83">
        <v>43794</v>
      </c>
      <c r="D431" s="112">
        <v>43829</v>
      </c>
      <c r="E431" s="570"/>
      <c r="F431" s="88" t="s">
        <v>2372</v>
      </c>
      <c r="G431" s="88" t="s">
        <v>193</v>
      </c>
      <c r="H431" s="81" t="s">
        <v>220</v>
      </c>
      <c r="J431" s="75">
        <f t="shared" si="35"/>
        <v>1</v>
      </c>
      <c r="K431" s="76" t="s">
        <v>211</v>
      </c>
      <c r="Q431" s="78" t="s">
        <v>2163</v>
      </c>
      <c r="R431" s="75">
        <f t="shared" si="36"/>
        <v>1</v>
      </c>
      <c r="S431" s="263" t="s">
        <v>1991</v>
      </c>
      <c r="T431" s="263"/>
      <c r="U431" s="263"/>
      <c r="V431" s="263"/>
      <c r="W431" s="263"/>
      <c r="X431" s="263"/>
      <c r="Y431" s="575"/>
      <c r="Z431" s="575"/>
      <c r="AA431" s="576">
        <f t="shared" si="32"/>
        <v>0</v>
      </c>
      <c r="AB431" s="722"/>
    </row>
    <row r="432" spans="1:28" ht="15.75" customHeight="1" x14ac:dyDescent="0.35">
      <c r="A432" s="68" t="s">
        <v>2375</v>
      </c>
      <c r="C432" s="83">
        <v>43794</v>
      </c>
      <c r="D432" s="112">
        <v>43829</v>
      </c>
      <c r="E432" s="570"/>
      <c r="F432" s="88" t="s">
        <v>2376</v>
      </c>
      <c r="G432" s="88" t="s">
        <v>195</v>
      </c>
      <c r="H432" s="81" t="s">
        <v>220</v>
      </c>
      <c r="J432" s="75">
        <f t="shared" si="35"/>
        <v>1</v>
      </c>
      <c r="K432" s="76" t="s">
        <v>211</v>
      </c>
      <c r="L432" s="99" t="s">
        <v>2885</v>
      </c>
      <c r="Q432" s="78" t="s">
        <v>2163</v>
      </c>
      <c r="R432" s="75">
        <f t="shared" si="36"/>
        <v>1</v>
      </c>
      <c r="S432" s="263" t="s">
        <v>1991</v>
      </c>
      <c r="T432" s="263"/>
      <c r="U432" s="263"/>
      <c r="V432" s="263"/>
      <c r="W432" s="263"/>
      <c r="X432" s="263"/>
      <c r="Y432" s="575"/>
      <c r="Z432" s="575"/>
      <c r="AA432" s="576">
        <f t="shared" si="32"/>
        <v>0</v>
      </c>
      <c r="AB432" s="722"/>
    </row>
    <row r="433" spans="1:28" ht="15.75" customHeight="1" x14ac:dyDescent="0.35">
      <c r="A433" s="68" t="s">
        <v>2379</v>
      </c>
      <c r="C433" s="83">
        <v>43794</v>
      </c>
      <c r="D433" s="112">
        <v>43830</v>
      </c>
      <c r="E433" s="570"/>
      <c r="F433" s="88" t="s">
        <v>2380</v>
      </c>
      <c r="G433" s="88" t="s">
        <v>154</v>
      </c>
      <c r="H433" s="81" t="s">
        <v>220</v>
      </c>
      <c r="I433" s="98" t="s">
        <v>664</v>
      </c>
      <c r="J433" s="75">
        <f t="shared" si="35"/>
        <v>1</v>
      </c>
      <c r="K433" s="76" t="s">
        <v>211</v>
      </c>
      <c r="L433" s="99" t="s">
        <v>2468</v>
      </c>
      <c r="N433" s="78" t="s">
        <v>17</v>
      </c>
      <c r="Q433" s="78" t="s">
        <v>2163</v>
      </c>
      <c r="R433" s="75">
        <f t="shared" si="36"/>
        <v>1</v>
      </c>
      <c r="S433" s="263" t="s">
        <v>1991</v>
      </c>
      <c r="T433" s="263"/>
      <c r="U433" s="263"/>
      <c r="V433" s="263"/>
      <c r="W433" s="263"/>
      <c r="X433" s="263"/>
      <c r="Y433" s="575"/>
      <c r="Z433" s="575"/>
      <c r="AA433" s="576">
        <f t="shared" si="32"/>
        <v>0</v>
      </c>
      <c r="AB433" s="722"/>
    </row>
    <row r="434" spans="1:28" ht="15.75" customHeight="1" x14ac:dyDescent="0.35">
      <c r="A434" s="68" t="s">
        <v>2381</v>
      </c>
      <c r="C434" s="83">
        <v>43794</v>
      </c>
      <c r="D434" s="112">
        <v>43830</v>
      </c>
      <c r="E434" s="570"/>
      <c r="F434" s="88" t="s">
        <v>2382</v>
      </c>
      <c r="G434" s="88" t="s">
        <v>417</v>
      </c>
      <c r="H434" s="81" t="s">
        <v>220</v>
      </c>
      <c r="J434" s="75">
        <f t="shared" si="35"/>
        <v>1</v>
      </c>
      <c r="K434" s="76" t="s">
        <v>211</v>
      </c>
      <c r="Q434" s="78" t="s">
        <v>2163</v>
      </c>
      <c r="R434" s="75">
        <f t="shared" si="36"/>
        <v>1</v>
      </c>
      <c r="S434" s="263" t="s">
        <v>1991</v>
      </c>
      <c r="T434" s="263"/>
      <c r="U434" s="263"/>
      <c r="V434" s="263"/>
      <c r="W434" s="263"/>
      <c r="X434" s="263"/>
      <c r="Y434" s="575"/>
      <c r="Z434" s="575"/>
      <c r="AA434" s="576">
        <f t="shared" si="32"/>
        <v>0</v>
      </c>
      <c r="AB434" s="722"/>
    </row>
    <row r="435" spans="1:28" ht="15.75" customHeight="1" x14ac:dyDescent="0.35">
      <c r="A435" s="68" t="s">
        <v>2405</v>
      </c>
      <c r="C435" s="83">
        <v>43797</v>
      </c>
      <c r="D435" s="83">
        <v>43819</v>
      </c>
      <c r="E435" s="570"/>
      <c r="F435" s="88" t="s">
        <v>2406</v>
      </c>
      <c r="G435" s="88" t="s">
        <v>154</v>
      </c>
      <c r="H435" s="81" t="s">
        <v>220</v>
      </c>
      <c r="J435" s="75">
        <f t="shared" si="35"/>
        <v>1</v>
      </c>
      <c r="K435" s="76" t="s">
        <v>211</v>
      </c>
      <c r="Q435" s="78" t="s">
        <v>2163</v>
      </c>
      <c r="R435" s="75">
        <f t="shared" si="36"/>
        <v>0</v>
      </c>
      <c r="S435" s="263"/>
      <c r="T435" s="263"/>
      <c r="U435" s="263"/>
      <c r="V435" s="263"/>
      <c r="W435" s="263"/>
      <c r="X435" s="263"/>
      <c r="Y435" s="575"/>
      <c r="Z435" s="575"/>
      <c r="AA435" s="576">
        <f t="shared" si="32"/>
        <v>0</v>
      </c>
      <c r="AB435" s="722"/>
    </row>
    <row r="436" spans="1:28" ht="15.75" customHeight="1" x14ac:dyDescent="0.35">
      <c r="A436" s="68" t="s">
        <v>2612</v>
      </c>
      <c r="C436" s="83">
        <v>43798</v>
      </c>
      <c r="D436" s="112">
        <v>43822</v>
      </c>
      <c r="E436" s="570"/>
      <c r="F436" s="88" t="s">
        <v>2613</v>
      </c>
      <c r="G436" s="88" t="s">
        <v>156</v>
      </c>
      <c r="H436" s="81" t="s">
        <v>220</v>
      </c>
      <c r="I436" s="98" t="s">
        <v>2777</v>
      </c>
      <c r="J436" s="75">
        <f t="shared" si="35"/>
        <v>1</v>
      </c>
      <c r="K436" s="76" t="s">
        <v>211</v>
      </c>
      <c r="N436" s="78" t="s">
        <v>19</v>
      </c>
      <c r="Q436" s="78" t="s">
        <v>2163</v>
      </c>
      <c r="R436" s="75">
        <f t="shared" si="36"/>
        <v>1</v>
      </c>
      <c r="S436" s="263" t="s">
        <v>1991</v>
      </c>
      <c r="T436" s="263"/>
      <c r="U436" s="263"/>
      <c r="V436" s="263"/>
      <c r="W436" s="263"/>
      <c r="X436" s="263"/>
      <c r="Y436" s="575"/>
      <c r="Z436" s="575"/>
      <c r="AA436" s="576">
        <f t="shared" si="32"/>
        <v>0</v>
      </c>
      <c r="AB436" s="722"/>
    </row>
    <row r="437" spans="1:28" ht="15.75" customHeight="1" x14ac:dyDescent="0.35">
      <c r="A437" s="68" t="s">
        <v>2614</v>
      </c>
      <c r="C437" s="83">
        <v>43801</v>
      </c>
      <c r="D437" s="83">
        <v>43823</v>
      </c>
      <c r="E437" s="570"/>
      <c r="F437" s="88" t="s">
        <v>2615</v>
      </c>
      <c r="G437" s="88" t="s">
        <v>154</v>
      </c>
      <c r="H437" s="81" t="s">
        <v>220</v>
      </c>
      <c r="J437" s="75">
        <f t="shared" si="35"/>
        <v>1</v>
      </c>
      <c r="K437" s="76" t="s">
        <v>221</v>
      </c>
      <c r="Q437" s="78" t="s">
        <v>2163</v>
      </c>
      <c r="R437" s="75">
        <f t="shared" si="36"/>
        <v>1</v>
      </c>
      <c r="S437" s="263" t="s">
        <v>1991</v>
      </c>
      <c r="T437" s="263"/>
      <c r="U437" s="263"/>
      <c r="V437" s="263"/>
      <c r="W437" s="263"/>
      <c r="X437" s="263"/>
      <c r="Y437" s="575"/>
      <c r="Z437" s="575"/>
      <c r="AA437" s="576">
        <f t="shared" si="32"/>
        <v>0</v>
      </c>
      <c r="AB437" s="722"/>
    </row>
    <row r="438" spans="1:28" ht="15.75" customHeight="1" x14ac:dyDescent="0.35">
      <c r="A438" s="68" t="s">
        <v>2616</v>
      </c>
      <c r="C438" s="83">
        <v>43801</v>
      </c>
      <c r="D438" s="112">
        <v>43823</v>
      </c>
      <c r="E438" s="570"/>
      <c r="F438" s="88" t="s">
        <v>2617</v>
      </c>
      <c r="G438" s="88" t="s">
        <v>154</v>
      </c>
      <c r="H438" s="81" t="s">
        <v>220</v>
      </c>
      <c r="J438" s="75">
        <f t="shared" si="35"/>
        <v>1</v>
      </c>
      <c r="K438" s="76" t="s">
        <v>211</v>
      </c>
      <c r="Q438" s="78" t="s">
        <v>2163</v>
      </c>
      <c r="R438" s="75">
        <f t="shared" si="36"/>
        <v>1</v>
      </c>
      <c r="S438" s="263" t="s">
        <v>1991</v>
      </c>
      <c r="T438" s="263"/>
      <c r="U438" s="263"/>
      <c r="V438" s="263"/>
      <c r="W438" s="263"/>
      <c r="X438" s="263"/>
      <c r="Y438" s="575"/>
      <c r="Z438" s="575"/>
      <c r="AA438" s="576">
        <f t="shared" si="32"/>
        <v>0</v>
      </c>
      <c r="AB438" s="722"/>
    </row>
    <row r="439" spans="1:28" ht="15.75" customHeight="1" x14ac:dyDescent="0.35">
      <c r="A439" s="68" t="s">
        <v>2624</v>
      </c>
      <c r="C439" s="83">
        <v>43802</v>
      </c>
      <c r="D439" s="83">
        <v>43824</v>
      </c>
      <c r="E439" s="570"/>
      <c r="F439" s="88" t="s">
        <v>2625</v>
      </c>
      <c r="G439" s="88" t="s">
        <v>156</v>
      </c>
      <c r="H439" s="81" t="s">
        <v>220</v>
      </c>
      <c r="J439" s="75">
        <f t="shared" si="35"/>
        <v>1</v>
      </c>
      <c r="K439" s="76" t="s">
        <v>221</v>
      </c>
      <c r="Q439" s="78" t="s">
        <v>2163</v>
      </c>
      <c r="R439" s="75">
        <f t="shared" si="36"/>
        <v>1</v>
      </c>
      <c r="S439" s="263" t="s">
        <v>1991</v>
      </c>
      <c r="T439" s="263"/>
      <c r="U439" s="263"/>
      <c r="V439" s="263"/>
      <c r="W439" s="263"/>
      <c r="X439" s="263"/>
      <c r="Y439" s="575"/>
      <c r="Z439" s="575"/>
      <c r="AA439" s="576">
        <f t="shared" si="32"/>
        <v>0</v>
      </c>
      <c r="AB439" s="722"/>
    </row>
    <row r="440" spans="1:28" ht="15.75" customHeight="1" x14ac:dyDescent="0.35">
      <c r="A440" s="68" t="s">
        <v>2626</v>
      </c>
      <c r="C440" s="83">
        <v>43802</v>
      </c>
      <c r="D440" s="112">
        <v>43824</v>
      </c>
      <c r="E440" s="570"/>
      <c r="F440" s="88" t="s">
        <v>2627</v>
      </c>
      <c r="G440" s="88" t="s">
        <v>1393</v>
      </c>
      <c r="H440" s="81" t="s">
        <v>220</v>
      </c>
      <c r="I440" s="98" t="s">
        <v>2516</v>
      </c>
      <c r="J440" s="75">
        <f t="shared" si="35"/>
        <v>1</v>
      </c>
      <c r="K440" s="76" t="s">
        <v>211</v>
      </c>
      <c r="L440" s="99" t="s">
        <v>2515</v>
      </c>
      <c r="N440" s="78" t="s">
        <v>19</v>
      </c>
      <c r="Q440" s="78" t="s">
        <v>2163</v>
      </c>
      <c r="R440" s="75">
        <f t="shared" si="36"/>
        <v>1</v>
      </c>
      <c r="S440" s="263" t="s">
        <v>1991</v>
      </c>
      <c r="T440" s="263"/>
      <c r="U440" s="263"/>
      <c r="V440" s="263"/>
      <c r="W440" s="263"/>
      <c r="X440" s="263"/>
      <c r="Y440" s="575"/>
      <c r="Z440" s="575"/>
      <c r="AA440" s="576">
        <f t="shared" si="32"/>
        <v>0</v>
      </c>
      <c r="AB440" s="722"/>
    </row>
    <row r="441" spans="1:28" ht="15.75" customHeight="1" x14ac:dyDescent="0.35">
      <c r="A441" s="68" t="s">
        <v>2632</v>
      </c>
      <c r="C441" s="83">
        <v>43803</v>
      </c>
      <c r="D441" s="112">
        <v>43825</v>
      </c>
      <c r="E441" s="570"/>
      <c r="F441" s="88" t="s">
        <v>2633</v>
      </c>
      <c r="G441" s="88" t="s">
        <v>176</v>
      </c>
      <c r="H441" s="81" t="s">
        <v>220</v>
      </c>
      <c r="J441" s="75">
        <f t="shared" si="35"/>
        <v>1</v>
      </c>
      <c r="K441" s="76" t="s">
        <v>211</v>
      </c>
      <c r="Q441" s="78" t="s">
        <v>2163</v>
      </c>
      <c r="R441" s="75">
        <f t="shared" si="36"/>
        <v>1</v>
      </c>
      <c r="S441" s="263" t="s">
        <v>1991</v>
      </c>
      <c r="T441" s="263"/>
      <c r="U441" s="263"/>
      <c r="V441" s="263"/>
      <c r="W441" s="263"/>
      <c r="X441" s="263"/>
      <c r="Y441" s="575"/>
      <c r="Z441" s="575"/>
      <c r="AA441" s="576">
        <f t="shared" si="32"/>
        <v>0</v>
      </c>
      <c r="AB441" s="722"/>
    </row>
    <row r="442" spans="1:28" ht="15.75" customHeight="1" x14ac:dyDescent="0.35">
      <c r="A442" s="68" t="s">
        <v>2636</v>
      </c>
      <c r="C442" s="83">
        <v>43803</v>
      </c>
      <c r="D442" s="112">
        <v>43825</v>
      </c>
      <c r="E442" s="570"/>
      <c r="F442" s="88" t="s">
        <v>2637</v>
      </c>
      <c r="G442" s="88" t="s">
        <v>154</v>
      </c>
      <c r="H442" s="81" t="s">
        <v>220</v>
      </c>
      <c r="J442" s="75">
        <f t="shared" si="35"/>
        <v>1</v>
      </c>
      <c r="K442" s="76" t="s">
        <v>211</v>
      </c>
      <c r="Q442" s="78" t="s">
        <v>2163</v>
      </c>
      <c r="R442" s="75">
        <f t="shared" si="36"/>
        <v>1</v>
      </c>
      <c r="S442" s="263" t="s">
        <v>1991</v>
      </c>
      <c r="T442" s="263"/>
      <c r="U442" s="263"/>
      <c r="V442" s="263"/>
      <c r="W442" s="263"/>
      <c r="X442" s="263"/>
      <c r="Y442" s="575"/>
      <c r="Z442" s="575"/>
      <c r="AA442" s="576">
        <f t="shared" si="32"/>
        <v>0</v>
      </c>
      <c r="AB442" s="722"/>
    </row>
    <row r="443" spans="1:28" ht="15.75" customHeight="1" x14ac:dyDescent="0.35">
      <c r="A443" s="68" t="s">
        <v>2638</v>
      </c>
      <c r="C443" s="83">
        <v>43803</v>
      </c>
      <c r="D443" s="112">
        <v>43825</v>
      </c>
      <c r="E443" s="570"/>
      <c r="F443" s="88" t="s">
        <v>2639</v>
      </c>
      <c r="G443" s="88" t="s">
        <v>162</v>
      </c>
      <c r="H443" s="81" t="s">
        <v>220</v>
      </c>
      <c r="J443" s="75">
        <f t="shared" si="35"/>
        <v>1</v>
      </c>
      <c r="K443" s="76" t="s">
        <v>211</v>
      </c>
      <c r="Q443" s="78" t="s">
        <v>2163</v>
      </c>
      <c r="R443" s="75">
        <f t="shared" si="36"/>
        <v>1</v>
      </c>
      <c r="S443" s="263" t="s">
        <v>1991</v>
      </c>
      <c r="T443" s="263"/>
      <c r="U443" s="263"/>
      <c r="V443" s="263"/>
      <c r="W443" s="263"/>
      <c r="X443" s="263"/>
      <c r="Y443" s="575"/>
      <c r="Z443" s="575"/>
      <c r="AA443" s="576">
        <f t="shared" si="32"/>
        <v>0</v>
      </c>
      <c r="AB443" s="722"/>
    </row>
    <row r="444" spans="1:28" ht="15.75" customHeight="1" x14ac:dyDescent="0.35">
      <c r="A444" s="68" t="s">
        <v>2642</v>
      </c>
      <c r="C444" s="83">
        <v>43804</v>
      </c>
      <c r="D444" s="112">
        <v>43826</v>
      </c>
      <c r="E444" s="570"/>
      <c r="F444" s="88" t="s">
        <v>2643</v>
      </c>
      <c r="G444" s="88" t="s">
        <v>162</v>
      </c>
      <c r="H444" s="81" t="s">
        <v>220</v>
      </c>
      <c r="I444" s="81" t="s">
        <v>698</v>
      </c>
      <c r="J444" s="75">
        <f t="shared" si="35"/>
        <v>1</v>
      </c>
      <c r="K444" s="76" t="s">
        <v>211</v>
      </c>
      <c r="L444" s="88" t="s">
        <v>2882</v>
      </c>
      <c r="N444" s="78" t="s">
        <v>19</v>
      </c>
      <c r="Q444" s="78" t="s">
        <v>2163</v>
      </c>
      <c r="R444" s="75">
        <f t="shared" si="36"/>
        <v>1</v>
      </c>
      <c r="S444" s="263" t="s">
        <v>1991</v>
      </c>
      <c r="T444" s="263"/>
      <c r="U444" s="263"/>
      <c r="V444" s="263"/>
      <c r="W444" s="263"/>
      <c r="X444" s="263"/>
      <c r="Y444" s="575"/>
      <c r="Z444" s="575"/>
      <c r="AA444" s="576">
        <f t="shared" si="32"/>
        <v>0</v>
      </c>
      <c r="AB444" s="722"/>
    </row>
    <row r="445" spans="1:28" ht="15.75" customHeight="1" x14ac:dyDescent="0.35">
      <c r="A445" s="68" t="s">
        <v>2646</v>
      </c>
      <c r="C445" s="83">
        <v>43804</v>
      </c>
      <c r="D445" s="112">
        <v>43826</v>
      </c>
      <c r="E445" s="570"/>
      <c r="F445" s="88" t="s">
        <v>2647</v>
      </c>
      <c r="G445" s="88" t="s">
        <v>181</v>
      </c>
      <c r="H445" s="81" t="s">
        <v>220</v>
      </c>
      <c r="J445" s="75">
        <f t="shared" si="35"/>
        <v>1</v>
      </c>
      <c r="K445" s="76" t="s">
        <v>211</v>
      </c>
      <c r="Q445" s="304" t="s">
        <v>2163</v>
      </c>
      <c r="R445" s="75">
        <f t="shared" si="36"/>
        <v>1</v>
      </c>
      <c r="S445" s="263" t="s">
        <v>1991</v>
      </c>
      <c r="T445" s="263"/>
      <c r="U445" s="263"/>
      <c r="V445" s="263"/>
      <c r="W445" s="263"/>
      <c r="X445" s="263"/>
      <c r="Y445" s="575"/>
      <c r="Z445" s="575"/>
      <c r="AA445" s="576">
        <f t="shared" si="32"/>
        <v>0</v>
      </c>
      <c r="AB445" s="722"/>
    </row>
    <row r="446" spans="1:28" ht="15.75" customHeight="1" x14ac:dyDescent="0.35">
      <c r="A446" s="68" t="s">
        <v>2648</v>
      </c>
      <c r="C446" s="83">
        <v>43805</v>
      </c>
      <c r="D446" s="112">
        <v>43829</v>
      </c>
      <c r="E446" s="570"/>
      <c r="F446" s="88" t="s">
        <v>2649</v>
      </c>
      <c r="G446" s="88" t="s">
        <v>154</v>
      </c>
      <c r="H446" s="81" t="s">
        <v>220</v>
      </c>
      <c r="J446" s="75">
        <f t="shared" si="35"/>
        <v>1</v>
      </c>
      <c r="K446" s="76" t="s">
        <v>211</v>
      </c>
      <c r="L446" s="99"/>
      <c r="M446" s="81">
        <v>1</v>
      </c>
      <c r="N446" s="78" t="s">
        <v>18</v>
      </c>
      <c r="Q446" s="78" t="s">
        <v>2163</v>
      </c>
      <c r="R446" s="75">
        <f t="shared" si="36"/>
        <v>1</v>
      </c>
      <c r="S446" s="263" t="s">
        <v>1991</v>
      </c>
      <c r="T446" s="263"/>
      <c r="U446" s="263"/>
      <c r="V446" s="263"/>
      <c r="W446" s="263"/>
      <c r="X446" s="263"/>
      <c r="Y446" s="575"/>
      <c r="Z446" s="575"/>
      <c r="AA446" s="576">
        <f t="shared" si="32"/>
        <v>0</v>
      </c>
      <c r="AB446" s="722"/>
    </row>
    <row r="447" spans="1:28" ht="15.75" customHeight="1" x14ac:dyDescent="0.35">
      <c r="A447" s="68" t="s">
        <v>2650</v>
      </c>
      <c r="C447" s="83">
        <v>43805</v>
      </c>
      <c r="D447" s="112">
        <v>43829</v>
      </c>
      <c r="E447" s="570"/>
      <c r="F447" s="88" t="s">
        <v>2651</v>
      </c>
      <c r="G447" s="88" t="s">
        <v>156</v>
      </c>
      <c r="H447" s="81" t="s">
        <v>220</v>
      </c>
      <c r="I447" s="98" t="s">
        <v>696</v>
      </c>
      <c r="J447" s="75">
        <f t="shared" si="35"/>
        <v>1</v>
      </c>
      <c r="K447" s="76" t="s">
        <v>211</v>
      </c>
      <c r="L447" s="99" t="s">
        <v>2886</v>
      </c>
      <c r="M447" s="81">
        <v>0</v>
      </c>
      <c r="N447" s="78" t="s">
        <v>17</v>
      </c>
      <c r="Q447" s="78" t="s">
        <v>2163</v>
      </c>
      <c r="R447" s="75">
        <f t="shared" si="36"/>
        <v>1</v>
      </c>
      <c r="S447" s="263" t="s">
        <v>1991</v>
      </c>
      <c r="T447" s="263"/>
      <c r="U447" s="263"/>
      <c r="V447" s="263"/>
      <c r="W447" s="263"/>
      <c r="X447" s="263"/>
      <c r="Y447" s="575"/>
      <c r="Z447" s="575"/>
      <c r="AA447" s="576">
        <f t="shared" si="32"/>
        <v>0</v>
      </c>
      <c r="AB447" s="722"/>
    </row>
    <row r="448" spans="1:28" ht="15.75" customHeight="1" x14ac:dyDescent="0.35">
      <c r="A448" s="68" t="s">
        <v>2652</v>
      </c>
      <c r="C448" s="83">
        <v>43805</v>
      </c>
      <c r="D448" s="112">
        <v>43829</v>
      </c>
      <c r="E448" s="570"/>
      <c r="F448" s="88" t="s">
        <v>2653</v>
      </c>
      <c r="G448" s="88" t="s">
        <v>154</v>
      </c>
      <c r="H448" s="81" t="s">
        <v>220</v>
      </c>
      <c r="J448" s="75">
        <f t="shared" si="35"/>
        <v>1</v>
      </c>
      <c r="K448" s="76" t="s">
        <v>211</v>
      </c>
      <c r="L448" s="99" t="s">
        <v>2887</v>
      </c>
      <c r="Q448" s="78" t="s">
        <v>2163</v>
      </c>
      <c r="R448" s="75">
        <f t="shared" si="36"/>
        <v>1</v>
      </c>
      <c r="S448" s="263" t="s">
        <v>1991</v>
      </c>
      <c r="T448" s="263"/>
      <c r="U448" s="263"/>
      <c r="V448" s="263"/>
      <c r="W448" s="263"/>
      <c r="X448" s="263"/>
      <c r="Y448" s="575"/>
      <c r="Z448" s="575"/>
      <c r="AA448" s="576">
        <f t="shared" si="32"/>
        <v>0</v>
      </c>
      <c r="AB448" s="722"/>
    </row>
    <row r="449" spans="1:28" ht="15.75" customHeight="1" x14ac:dyDescent="0.35">
      <c r="A449" s="68" t="s">
        <v>2654</v>
      </c>
      <c r="C449" s="83">
        <v>43808</v>
      </c>
      <c r="D449" s="112">
        <v>43830</v>
      </c>
      <c r="E449" s="570"/>
      <c r="F449" s="88" t="s">
        <v>2655</v>
      </c>
      <c r="G449" s="88" t="s">
        <v>168</v>
      </c>
      <c r="H449" s="81" t="s">
        <v>220</v>
      </c>
      <c r="J449" s="75">
        <f t="shared" si="35"/>
        <v>1</v>
      </c>
      <c r="K449" s="76" t="s">
        <v>211</v>
      </c>
      <c r="Q449" s="78" t="s">
        <v>2163</v>
      </c>
      <c r="R449" s="75">
        <f t="shared" si="36"/>
        <v>1</v>
      </c>
      <c r="S449" s="263" t="s">
        <v>1991</v>
      </c>
      <c r="T449" s="263"/>
      <c r="U449" s="263"/>
      <c r="V449" s="263"/>
      <c r="W449" s="263"/>
      <c r="X449" s="263"/>
      <c r="Y449" s="575"/>
      <c r="Z449" s="575"/>
      <c r="AA449" s="576">
        <f t="shared" si="32"/>
        <v>0</v>
      </c>
      <c r="AB449" s="722"/>
    </row>
    <row r="450" spans="1:28" ht="15.75" customHeight="1" x14ac:dyDescent="0.35">
      <c r="A450" s="68" t="s">
        <v>2656</v>
      </c>
      <c r="C450" s="83">
        <v>43808</v>
      </c>
      <c r="D450" s="112">
        <v>43830</v>
      </c>
      <c r="E450" s="570"/>
      <c r="F450" s="88" t="s">
        <v>2657</v>
      </c>
      <c r="G450" s="88" t="s">
        <v>154</v>
      </c>
      <c r="H450" s="81" t="s">
        <v>220</v>
      </c>
      <c r="J450" s="75">
        <f t="shared" si="35"/>
        <v>1</v>
      </c>
      <c r="K450" s="76" t="s">
        <v>211</v>
      </c>
      <c r="Q450" s="78" t="s">
        <v>2163</v>
      </c>
      <c r="R450" s="75">
        <f t="shared" si="36"/>
        <v>1</v>
      </c>
      <c r="S450" s="263" t="s">
        <v>1991</v>
      </c>
      <c r="T450" s="263"/>
      <c r="U450" s="263"/>
      <c r="V450" s="263"/>
      <c r="W450" s="263"/>
      <c r="X450" s="263"/>
      <c r="Y450" s="575"/>
      <c r="Z450" s="575"/>
      <c r="AA450" s="576">
        <f t="shared" si="32"/>
        <v>0</v>
      </c>
      <c r="AB450" s="722"/>
    </row>
    <row r="451" spans="1:28" ht="15.75" customHeight="1" x14ac:dyDescent="0.35">
      <c r="A451" s="68" t="s">
        <v>2658</v>
      </c>
      <c r="C451" s="83">
        <v>43808</v>
      </c>
      <c r="D451" s="112">
        <v>43830</v>
      </c>
      <c r="E451" s="570"/>
      <c r="F451" s="88" t="s">
        <v>2659</v>
      </c>
      <c r="G451" s="88" t="s">
        <v>156</v>
      </c>
      <c r="H451" s="81" t="s">
        <v>220</v>
      </c>
      <c r="J451" s="75">
        <f t="shared" si="35"/>
        <v>1</v>
      </c>
      <c r="K451" s="76" t="s">
        <v>211</v>
      </c>
      <c r="Q451" s="78" t="s">
        <v>2163</v>
      </c>
      <c r="R451" s="75">
        <f t="shared" si="36"/>
        <v>1</v>
      </c>
      <c r="S451" s="263" t="s">
        <v>1991</v>
      </c>
      <c r="T451" s="263"/>
      <c r="U451" s="263"/>
      <c r="V451" s="263"/>
      <c r="W451" s="263"/>
      <c r="X451" s="263"/>
      <c r="Y451" s="575"/>
      <c r="Z451" s="575"/>
      <c r="AA451" s="576">
        <f t="shared" ref="AA451:AA514" si="37">Z451-Y451</f>
        <v>0</v>
      </c>
      <c r="AB451" s="722"/>
    </row>
    <row r="452" spans="1:28" ht="15.75" customHeight="1" x14ac:dyDescent="0.35">
      <c r="A452" s="68" t="s">
        <v>2660</v>
      </c>
      <c r="C452" s="83">
        <v>43808</v>
      </c>
      <c r="D452" s="112">
        <v>43830</v>
      </c>
      <c r="E452" s="570"/>
      <c r="F452" s="88" t="s">
        <v>2661</v>
      </c>
      <c r="G452" s="88" t="s">
        <v>1051</v>
      </c>
      <c r="H452" s="81" t="s">
        <v>220</v>
      </c>
      <c r="J452" s="75">
        <f t="shared" si="35"/>
        <v>1</v>
      </c>
      <c r="K452" s="76" t="s">
        <v>211</v>
      </c>
      <c r="Q452" s="78" t="s">
        <v>2163</v>
      </c>
      <c r="R452" s="75">
        <f t="shared" si="36"/>
        <v>1</v>
      </c>
      <c r="S452" s="263" t="s">
        <v>1991</v>
      </c>
      <c r="T452" s="263"/>
      <c r="U452" s="263"/>
      <c r="V452" s="263"/>
      <c r="W452" s="263"/>
      <c r="X452" s="263"/>
      <c r="Y452" s="575"/>
      <c r="Z452" s="575"/>
      <c r="AA452" s="576">
        <f t="shared" si="37"/>
        <v>0</v>
      </c>
      <c r="AB452" s="722"/>
    </row>
    <row r="453" spans="1:28" ht="15.75" customHeight="1" x14ac:dyDescent="0.35">
      <c r="A453" s="68" t="s">
        <v>2662</v>
      </c>
      <c r="C453" s="83">
        <v>43808</v>
      </c>
      <c r="D453" s="112">
        <v>43830</v>
      </c>
      <c r="E453" s="570"/>
      <c r="F453" s="88" t="s">
        <v>2663</v>
      </c>
      <c r="G453" s="88" t="s">
        <v>154</v>
      </c>
      <c r="H453" s="81" t="s">
        <v>220</v>
      </c>
      <c r="J453" s="75">
        <f t="shared" si="35"/>
        <v>1</v>
      </c>
      <c r="K453" s="76" t="s">
        <v>211</v>
      </c>
      <c r="Q453" s="78" t="s">
        <v>2163</v>
      </c>
      <c r="R453" s="75">
        <f t="shared" si="36"/>
        <v>1</v>
      </c>
      <c r="S453" s="263" t="s">
        <v>1991</v>
      </c>
      <c r="T453" s="263"/>
      <c r="U453" s="263"/>
      <c r="V453" s="263"/>
      <c r="W453" s="263"/>
      <c r="X453" s="263"/>
      <c r="Y453" s="575"/>
      <c r="Z453" s="575"/>
      <c r="AA453" s="576">
        <f t="shared" si="37"/>
        <v>0</v>
      </c>
      <c r="AB453" s="722"/>
    </row>
    <row r="454" spans="1:28" ht="15.75" customHeight="1" x14ac:dyDescent="0.35">
      <c r="A454" s="68" t="s">
        <v>2664</v>
      </c>
      <c r="C454" s="83">
        <v>43774</v>
      </c>
      <c r="D454" s="112">
        <v>43824</v>
      </c>
      <c r="E454" s="570"/>
      <c r="F454" s="88" t="s">
        <v>2665</v>
      </c>
      <c r="G454" s="88" t="s">
        <v>195</v>
      </c>
      <c r="H454" s="81" t="s">
        <v>220</v>
      </c>
      <c r="J454" s="75">
        <f t="shared" si="35"/>
        <v>1</v>
      </c>
      <c r="K454" s="76" t="s">
        <v>211</v>
      </c>
      <c r="Q454" s="78" t="s">
        <v>2409</v>
      </c>
      <c r="R454" s="75">
        <f t="shared" si="36"/>
        <v>1</v>
      </c>
      <c r="S454" s="263" t="s">
        <v>1991</v>
      </c>
      <c r="T454" s="263"/>
      <c r="U454" s="263"/>
      <c r="V454" s="263"/>
      <c r="W454" s="263"/>
      <c r="X454" s="263"/>
      <c r="Y454" s="575"/>
      <c r="Z454" s="575"/>
      <c r="AA454" s="576">
        <f t="shared" si="37"/>
        <v>0</v>
      </c>
      <c r="AB454" s="722"/>
    </row>
    <row r="455" spans="1:28" ht="15.75" customHeight="1" x14ac:dyDescent="0.35">
      <c r="A455" s="68" t="s">
        <v>2666</v>
      </c>
      <c r="C455" s="83">
        <v>43787</v>
      </c>
      <c r="D455" s="112">
        <v>43822</v>
      </c>
      <c r="E455" s="570"/>
      <c r="F455" s="88" t="s">
        <v>2667</v>
      </c>
      <c r="G455" s="88" t="s">
        <v>152</v>
      </c>
      <c r="H455" s="81" t="s">
        <v>220</v>
      </c>
      <c r="I455" s="98" t="s">
        <v>652</v>
      </c>
      <c r="J455" s="75">
        <f t="shared" si="35"/>
        <v>1</v>
      </c>
      <c r="K455" s="76" t="s">
        <v>211</v>
      </c>
      <c r="N455" s="78" t="s">
        <v>18</v>
      </c>
      <c r="Q455" s="304" t="s">
        <v>2409</v>
      </c>
      <c r="R455" s="75">
        <f t="shared" si="36"/>
        <v>1</v>
      </c>
      <c r="S455" s="263" t="s">
        <v>1991</v>
      </c>
      <c r="T455" s="263"/>
      <c r="U455" s="263"/>
      <c r="V455" s="263"/>
      <c r="W455" s="263"/>
      <c r="X455" s="263"/>
      <c r="Y455" s="575"/>
      <c r="Z455" s="575"/>
      <c r="AA455" s="576">
        <f t="shared" si="37"/>
        <v>0</v>
      </c>
      <c r="AB455" s="722"/>
    </row>
    <row r="456" spans="1:28" ht="15.75" customHeight="1" x14ac:dyDescent="0.35">
      <c r="A456" s="68" t="s">
        <v>2668</v>
      </c>
      <c r="C456" s="83">
        <v>43787</v>
      </c>
      <c r="D456" s="112">
        <v>43822</v>
      </c>
      <c r="E456" s="570"/>
      <c r="F456" s="88" t="s">
        <v>2669</v>
      </c>
      <c r="G456" s="88" t="s">
        <v>149</v>
      </c>
      <c r="H456" s="81" t="s">
        <v>220</v>
      </c>
      <c r="J456" s="75">
        <f t="shared" si="35"/>
        <v>1</v>
      </c>
      <c r="K456" s="76" t="s">
        <v>211</v>
      </c>
      <c r="Q456" s="78" t="s">
        <v>2409</v>
      </c>
      <c r="R456" s="75">
        <f t="shared" si="36"/>
        <v>1</v>
      </c>
      <c r="S456" s="263" t="s">
        <v>1991</v>
      </c>
      <c r="T456" s="263"/>
      <c r="U456" s="263"/>
      <c r="V456" s="263"/>
      <c r="W456" s="263"/>
      <c r="X456" s="263"/>
      <c r="Y456" s="575"/>
      <c r="Z456" s="575"/>
      <c r="AA456" s="576">
        <f t="shared" si="37"/>
        <v>0</v>
      </c>
      <c r="AB456" s="722"/>
    </row>
    <row r="457" spans="1:28" ht="15.75" customHeight="1" x14ac:dyDescent="0.35">
      <c r="A457" s="68" t="s">
        <v>2670</v>
      </c>
      <c r="C457" s="83">
        <v>43788</v>
      </c>
      <c r="D457" s="112">
        <v>43823</v>
      </c>
      <c r="E457" s="570"/>
      <c r="F457" s="88" t="s">
        <v>2671</v>
      </c>
      <c r="G457" s="88" t="s">
        <v>154</v>
      </c>
      <c r="H457" s="81" t="s">
        <v>220</v>
      </c>
      <c r="J457" s="75">
        <f t="shared" si="35"/>
        <v>1</v>
      </c>
      <c r="K457" s="76" t="s">
        <v>211</v>
      </c>
      <c r="Q457" s="78" t="s">
        <v>2409</v>
      </c>
      <c r="R457" s="75">
        <f t="shared" si="36"/>
        <v>1</v>
      </c>
      <c r="S457" s="263" t="s">
        <v>1991</v>
      </c>
      <c r="T457" s="263"/>
      <c r="U457" s="263"/>
      <c r="V457" s="263"/>
      <c r="W457" s="263"/>
      <c r="X457" s="263"/>
      <c r="Y457" s="575"/>
      <c r="Z457" s="575"/>
      <c r="AA457" s="576">
        <f t="shared" si="37"/>
        <v>0</v>
      </c>
      <c r="AB457" s="722"/>
    </row>
    <row r="458" spans="1:28" ht="15.75" customHeight="1" x14ac:dyDescent="0.35">
      <c r="A458" s="68" t="s">
        <v>2672</v>
      </c>
      <c r="C458" s="83">
        <v>43788</v>
      </c>
      <c r="D458" s="112">
        <v>43824</v>
      </c>
      <c r="E458" s="570"/>
      <c r="F458" s="88" t="s">
        <v>2673</v>
      </c>
      <c r="G458" s="88" t="s">
        <v>152</v>
      </c>
      <c r="H458" s="81" t="s">
        <v>220</v>
      </c>
      <c r="J458" s="75">
        <f t="shared" si="35"/>
        <v>1</v>
      </c>
      <c r="K458" s="76" t="s">
        <v>211</v>
      </c>
      <c r="Q458" s="78" t="s">
        <v>2409</v>
      </c>
      <c r="R458" s="75">
        <f t="shared" si="36"/>
        <v>1</v>
      </c>
      <c r="S458" s="263" t="s">
        <v>1991</v>
      </c>
      <c r="T458" s="263"/>
      <c r="U458" s="263"/>
      <c r="V458" s="263"/>
      <c r="W458" s="263"/>
      <c r="X458" s="263"/>
      <c r="Y458" s="575"/>
      <c r="Z458" s="575"/>
      <c r="AA458" s="576">
        <f t="shared" si="37"/>
        <v>0</v>
      </c>
      <c r="AB458" s="722"/>
    </row>
    <row r="459" spans="1:28" ht="15.75" customHeight="1" x14ac:dyDescent="0.35">
      <c r="A459" s="68" t="s">
        <v>2674</v>
      </c>
      <c r="C459" s="83">
        <v>43790</v>
      </c>
      <c r="D459" s="112">
        <v>43825</v>
      </c>
      <c r="E459" s="570"/>
      <c r="F459" s="88" t="s">
        <v>2675</v>
      </c>
      <c r="G459" s="88" t="s">
        <v>154</v>
      </c>
      <c r="H459" s="81" t="s">
        <v>220</v>
      </c>
      <c r="J459" s="75">
        <f t="shared" si="35"/>
        <v>1</v>
      </c>
      <c r="K459" s="76" t="s">
        <v>211</v>
      </c>
      <c r="Q459" s="78" t="s">
        <v>2409</v>
      </c>
      <c r="R459" s="75">
        <f t="shared" si="36"/>
        <v>1</v>
      </c>
      <c r="S459" s="263" t="s">
        <v>1991</v>
      </c>
      <c r="T459" s="263"/>
      <c r="U459" s="263"/>
      <c r="V459" s="263"/>
      <c r="W459" s="263"/>
      <c r="X459" s="263"/>
      <c r="Y459" s="575"/>
      <c r="Z459" s="575"/>
      <c r="AA459" s="576">
        <f t="shared" si="37"/>
        <v>0</v>
      </c>
      <c r="AB459" s="722"/>
    </row>
    <row r="460" spans="1:28" ht="15.75" customHeight="1" x14ac:dyDescent="0.35">
      <c r="A460" s="68" t="s">
        <v>2426</v>
      </c>
      <c r="C460" s="83">
        <v>43791</v>
      </c>
      <c r="D460" s="112">
        <v>43829</v>
      </c>
      <c r="E460" s="570"/>
      <c r="F460" s="88" t="s">
        <v>2427</v>
      </c>
      <c r="G460" s="88" t="s">
        <v>152</v>
      </c>
      <c r="H460" s="81" t="s">
        <v>220</v>
      </c>
      <c r="J460" s="75">
        <f t="shared" si="35"/>
        <v>1</v>
      </c>
      <c r="K460" s="76" t="s">
        <v>211</v>
      </c>
      <c r="Q460" s="78" t="s">
        <v>2409</v>
      </c>
      <c r="R460" s="75">
        <f t="shared" si="36"/>
        <v>1</v>
      </c>
      <c r="S460" s="263" t="s">
        <v>1991</v>
      </c>
      <c r="T460" s="263"/>
      <c r="U460" s="263"/>
      <c r="V460" s="263"/>
      <c r="W460" s="263"/>
      <c r="X460" s="263"/>
      <c r="Y460" s="575"/>
      <c r="Z460" s="575"/>
      <c r="AA460" s="576">
        <f t="shared" si="37"/>
        <v>0</v>
      </c>
      <c r="AB460" s="722"/>
    </row>
    <row r="461" spans="1:28" ht="15.75" customHeight="1" x14ac:dyDescent="0.35">
      <c r="A461" s="68" t="s">
        <v>2676</v>
      </c>
      <c r="C461" s="83">
        <v>43791</v>
      </c>
      <c r="D461" s="112">
        <v>43826</v>
      </c>
      <c r="E461" s="570"/>
      <c r="F461" s="88" t="s">
        <v>2677</v>
      </c>
      <c r="G461" s="88" t="s">
        <v>152</v>
      </c>
      <c r="H461" s="81" t="s">
        <v>220</v>
      </c>
      <c r="J461" s="75">
        <f t="shared" si="35"/>
        <v>1</v>
      </c>
      <c r="K461" s="76" t="s">
        <v>211</v>
      </c>
      <c r="Q461" s="78" t="s">
        <v>2409</v>
      </c>
      <c r="R461" s="75">
        <f t="shared" si="36"/>
        <v>1</v>
      </c>
      <c r="S461" s="263" t="s">
        <v>1991</v>
      </c>
      <c r="T461" s="263"/>
      <c r="U461" s="263"/>
      <c r="V461" s="263"/>
      <c r="W461" s="263"/>
      <c r="X461" s="263"/>
      <c r="Y461" s="575"/>
      <c r="Z461" s="575"/>
      <c r="AA461" s="576">
        <f t="shared" si="37"/>
        <v>0</v>
      </c>
      <c r="AB461" s="722"/>
    </row>
    <row r="462" spans="1:28" ht="15.75" customHeight="1" x14ac:dyDescent="0.35">
      <c r="A462" s="68" t="s">
        <v>2678</v>
      </c>
      <c r="C462" s="83">
        <v>43794</v>
      </c>
      <c r="D462" s="112">
        <v>43829</v>
      </c>
      <c r="E462" s="570"/>
      <c r="F462" s="88" t="s">
        <v>2679</v>
      </c>
      <c r="G462" s="88" t="s">
        <v>158</v>
      </c>
      <c r="H462" s="81" t="s">
        <v>220</v>
      </c>
      <c r="I462" s="98" t="s">
        <v>2896</v>
      </c>
      <c r="J462" s="75">
        <f t="shared" si="35"/>
        <v>1</v>
      </c>
      <c r="K462" s="76" t="s">
        <v>211</v>
      </c>
      <c r="N462" s="78" t="s">
        <v>19</v>
      </c>
      <c r="Q462" s="78" t="s">
        <v>2409</v>
      </c>
      <c r="R462" s="75">
        <f t="shared" si="36"/>
        <v>1</v>
      </c>
      <c r="S462" s="263" t="s">
        <v>1991</v>
      </c>
      <c r="T462" s="263"/>
      <c r="U462" s="263"/>
      <c r="V462" s="263"/>
      <c r="W462" s="263"/>
      <c r="X462" s="263"/>
      <c r="Y462" s="575"/>
      <c r="Z462" s="575"/>
      <c r="AA462" s="576">
        <f t="shared" si="37"/>
        <v>0</v>
      </c>
      <c r="AB462" s="722"/>
    </row>
    <row r="463" spans="1:28" ht="15.75" customHeight="1" x14ac:dyDescent="0.35">
      <c r="A463" s="68" t="s">
        <v>2680</v>
      </c>
      <c r="C463" s="83">
        <v>43795</v>
      </c>
      <c r="D463" s="112">
        <v>43830</v>
      </c>
      <c r="E463" s="570"/>
      <c r="F463" s="88" t="s">
        <v>2681</v>
      </c>
      <c r="G463" s="88" t="s">
        <v>149</v>
      </c>
      <c r="H463" s="81" t="s">
        <v>220</v>
      </c>
      <c r="J463" s="75">
        <f t="shared" si="35"/>
        <v>1</v>
      </c>
      <c r="K463" s="76" t="s">
        <v>211</v>
      </c>
      <c r="Q463" s="78" t="s">
        <v>2409</v>
      </c>
      <c r="R463" s="75">
        <f t="shared" si="36"/>
        <v>1</v>
      </c>
      <c r="S463" s="263" t="s">
        <v>1991</v>
      </c>
      <c r="T463" s="263"/>
      <c r="U463" s="263"/>
      <c r="V463" s="263"/>
      <c r="W463" s="263"/>
      <c r="X463" s="263"/>
      <c r="Y463" s="575"/>
      <c r="Z463" s="575"/>
      <c r="AA463" s="576">
        <f t="shared" si="37"/>
        <v>0</v>
      </c>
      <c r="AB463" s="722"/>
    </row>
    <row r="464" spans="1:28" ht="15.75" customHeight="1" x14ac:dyDescent="0.35">
      <c r="A464" s="68" t="s">
        <v>2438</v>
      </c>
      <c r="C464" s="83">
        <v>43797</v>
      </c>
      <c r="D464" s="83">
        <v>43819</v>
      </c>
      <c r="E464" s="570"/>
      <c r="F464" s="88" t="s">
        <v>2439</v>
      </c>
      <c r="G464" s="88" t="s">
        <v>154</v>
      </c>
      <c r="H464" s="81" t="s">
        <v>220</v>
      </c>
      <c r="J464" s="75">
        <f t="shared" si="35"/>
        <v>1</v>
      </c>
      <c r="K464" s="76" t="s">
        <v>211</v>
      </c>
      <c r="Q464" s="78" t="s">
        <v>2409</v>
      </c>
      <c r="R464" s="75">
        <f t="shared" si="36"/>
        <v>0</v>
      </c>
      <c r="S464" s="263"/>
      <c r="T464" s="263"/>
      <c r="U464" s="263"/>
      <c r="V464" s="263"/>
      <c r="W464" s="263"/>
      <c r="X464" s="263"/>
      <c r="Y464" s="575"/>
      <c r="Z464" s="575"/>
      <c r="AA464" s="576">
        <f t="shared" si="37"/>
        <v>0</v>
      </c>
      <c r="AB464" s="722"/>
    </row>
    <row r="465" spans="1:28" ht="15.75" customHeight="1" x14ac:dyDescent="0.35">
      <c r="A465" s="68" t="s">
        <v>2682</v>
      </c>
      <c r="C465" s="83">
        <v>43798</v>
      </c>
      <c r="D465" s="112">
        <v>43822</v>
      </c>
      <c r="E465" s="570"/>
      <c r="F465" s="88" t="s">
        <v>2683</v>
      </c>
      <c r="G465" s="88" t="s">
        <v>1337</v>
      </c>
      <c r="H465" s="81" t="s">
        <v>220</v>
      </c>
      <c r="J465" s="75">
        <f t="shared" si="35"/>
        <v>1</v>
      </c>
      <c r="K465" s="76" t="s">
        <v>211</v>
      </c>
      <c r="L465" s="99" t="s">
        <v>2778</v>
      </c>
      <c r="Q465" s="78" t="s">
        <v>2409</v>
      </c>
      <c r="R465" s="75">
        <f t="shared" si="36"/>
        <v>1</v>
      </c>
      <c r="S465" s="263" t="s">
        <v>1991</v>
      </c>
      <c r="T465" s="263"/>
      <c r="U465" s="263"/>
      <c r="V465" s="263"/>
      <c r="W465" s="263"/>
      <c r="X465" s="263"/>
      <c r="Y465" s="575"/>
      <c r="Z465" s="575"/>
      <c r="AA465" s="576">
        <f t="shared" si="37"/>
        <v>0</v>
      </c>
      <c r="AB465" s="722"/>
    </row>
    <row r="466" spans="1:28" ht="15.75" customHeight="1" x14ac:dyDescent="0.35">
      <c r="A466" s="68" t="s">
        <v>2684</v>
      </c>
      <c r="C466" s="83">
        <v>43801</v>
      </c>
      <c r="D466" s="112">
        <v>43823</v>
      </c>
      <c r="E466" s="570"/>
      <c r="F466" s="88" t="s">
        <v>2685</v>
      </c>
      <c r="G466" s="88" t="s">
        <v>417</v>
      </c>
      <c r="H466" s="81" t="s">
        <v>220</v>
      </c>
      <c r="J466" s="75">
        <f t="shared" si="35"/>
        <v>1</v>
      </c>
      <c r="K466" s="76" t="s">
        <v>211</v>
      </c>
      <c r="Q466" s="78" t="s">
        <v>2409</v>
      </c>
      <c r="R466" s="75">
        <f t="shared" si="36"/>
        <v>1</v>
      </c>
      <c r="S466" s="263" t="s">
        <v>1991</v>
      </c>
      <c r="T466" s="263"/>
      <c r="U466" s="263"/>
      <c r="V466" s="263"/>
      <c r="W466" s="263"/>
      <c r="X466" s="263"/>
      <c r="Y466" s="575"/>
      <c r="Z466" s="575"/>
      <c r="AA466" s="576">
        <f t="shared" si="37"/>
        <v>0</v>
      </c>
      <c r="AB466" s="722"/>
    </row>
    <row r="467" spans="1:28" ht="15.75" customHeight="1" x14ac:dyDescent="0.35">
      <c r="A467" s="68" t="s">
        <v>2686</v>
      </c>
      <c r="C467" s="83">
        <v>43801</v>
      </c>
      <c r="D467" s="112">
        <v>43823</v>
      </c>
      <c r="E467" s="570"/>
      <c r="F467" s="88" t="s">
        <v>2687</v>
      </c>
      <c r="G467" s="88" t="s">
        <v>154</v>
      </c>
      <c r="H467" s="81" t="s">
        <v>220</v>
      </c>
      <c r="J467" s="75">
        <f t="shared" si="35"/>
        <v>1</v>
      </c>
      <c r="K467" s="76" t="s">
        <v>211</v>
      </c>
      <c r="N467" s="78" t="s">
        <v>19</v>
      </c>
      <c r="Q467" s="78" t="s">
        <v>2409</v>
      </c>
      <c r="R467" s="75">
        <f t="shared" si="36"/>
        <v>1</v>
      </c>
      <c r="S467" s="263" t="s">
        <v>1991</v>
      </c>
      <c r="T467" s="263"/>
      <c r="U467" s="263"/>
      <c r="V467" s="263"/>
      <c r="W467" s="263"/>
      <c r="X467" s="263"/>
      <c r="Y467" s="575"/>
      <c r="Z467" s="575"/>
      <c r="AA467" s="576">
        <f t="shared" si="37"/>
        <v>0</v>
      </c>
      <c r="AB467" s="722"/>
    </row>
    <row r="468" spans="1:28" ht="15.75" customHeight="1" x14ac:dyDescent="0.35">
      <c r="A468" s="68" t="s">
        <v>2688</v>
      </c>
      <c r="C468" s="83">
        <v>43802</v>
      </c>
      <c r="D468" s="112">
        <v>43824</v>
      </c>
      <c r="E468" s="570"/>
      <c r="F468" s="88" t="s">
        <v>2689</v>
      </c>
      <c r="G468" s="88" t="s">
        <v>158</v>
      </c>
      <c r="H468" s="81" t="s">
        <v>220</v>
      </c>
      <c r="J468" s="75">
        <f t="shared" si="35"/>
        <v>1</v>
      </c>
      <c r="K468" s="76" t="s">
        <v>211</v>
      </c>
      <c r="Q468" s="78" t="s">
        <v>2409</v>
      </c>
      <c r="R468" s="75">
        <f t="shared" si="36"/>
        <v>1</v>
      </c>
      <c r="S468" s="263" t="s">
        <v>1991</v>
      </c>
      <c r="T468" s="263"/>
      <c r="U468" s="263"/>
      <c r="V468" s="263"/>
      <c r="W468" s="263"/>
      <c r="X468" s="263"/>
      <c r="Y468" s="575"/>
      <c r="Z468" s="575"/>
      <c r="AA468" s="576">
        <f t="shared" si="37"/>
        <v>0</v>
      </c>
      <c r="AB468" s="722"/>
    </row>
    <row r="469" spans="1:28" ht="15.75" customHeight="1" x14ac:dyDescent="0.35">
      <c r="A469" s="68" t="s">
        <v>2690</v>
      </c>
      <c r="C469" s="83">
        <v>43802</v>
      </c>
      <c r="D469" s="112">
        <v>43824</v>
      </c>
      <c r="E469" s="570"/>
      <c r="F469" s="88" t="s">
        <v>2691</v>
      </c>
      <c r="G469" s="88" t="s">
        <v>154</v>
      </c>
      <c r="H469" s="81" t="s">
        <v>220</v>
      </c>
      <c r="J469" s="75">
        <f t="shared" si="35"/>
        <v>1</v>
      </c>
      <c r="K469" s="76" t="s">
        <v>211</v>
      </c>
      <c r="Q469" s="78" t="s">
        <v>2409</v>
      </c>
      <c r="R469" s="75">
        <f t="shared" si="36"/>
        <v>1</v>
      </c>
      <c r="S469" s="263" t="s">
        <v>1991</v>
      </c>
      <c r="T469" s="263"/>
      <c r="U469" s="263"/>
      <c r="V469" s="263"/>
      <c r="W469" s="263"/>
      <c r="X469" s="263"/>
      <c r="Y469" s="575"/>
      <c r="Z469" s="575"/>
      <c r="AA469" s="576">
        <f t="shared" si="37"/>
        <v>0</v>
      </c>
      <c r="AB469" s="722"/>
    </row>
    <row r="470" spans="1:28" ht="15.75" customHeight="1" x14ac:dyDescent="0.35">
      <c r="A470" s="68" t="s">
        <v>2692</v>
      </c>
      <c r="C470" s="83">
        <v>43803</v>
      </c>
      <c r="D470" s="112">
        <v>43825</v>
      </c>
      <c r="E470" s="570"/>
      <c r="F470" s="88" t="s">
        <v>2693</v>
      </c>
      <c r="G470" s="88" t="s">
        <v>154</v>
      </c>
      <c r="H470" s="81" t="s">
        <v>220</v>
      </c>
      <c r="J470" s="75">
        <f t="shared" ref="J470:J492" si="38">IF(OR(K470="Документы готовы",K470="Запрос в ФО",K470="ЭЗ",K470="РЕШ",K470="РЕШ шаблон"),0.1,IF(OR(K470="ЭЗ согласование",K470="РЕШ согласование"),0.3,IF(OR(K470="ЭЗ согласовано",K470="РЕШ согласовано",K470="РЕШ подписано"),0.6,IF(OR(K470="ЭЗ ПР согласование",K470="РЕШ УВ согласование"),0.9,IF(OR(K470="ЭЗ ПР DONE",K470="РЕШ УВ DONE"),1,0)))))</f>
        <v>1</v>
      </c>
      <c r="K470" s="76" t="s">
        <v>211</v>
      </c>
      <c r="Q470" s="78" t="s">
        <v>2409</v>
      </c>
      <c r="R470" s="75">
        <f t="shared" ref="R470:R492" si="39">IF(S470="В работе",0.3,IF(S470="Отписано",0.6,IF(S470="На доработку",0.9,IF(S470="Согласовано",1,0))))</f>
        <v>1</v>
      </c>
      <c r="S470" s="263" t="s">
        <v>1991</v>
      </c>
      <c r="T470" s="263"/>
      <c r="U470" s="263"/>
      <c r="V470" s="263"/>
      <c r="W470" s="263"/>
      <c r="X470" s="263"/>
      <c r="Y470" s="575"/>
      <c r="Z470" s="575"/>
      <c r="AA470" s="576">
        <f t="shared" si="37"/>
        <v>0</v>
      </c>
      <c r="AB470" s="722"/>
    </row>
    <row r="471" spans="1:28" ht="15.75" customHeight="1" x14ac:dyDescent="0.35">
      <c r="A471" s="68" t="s">
        <v>2694</v>
      </c>
      <c r="C471" s="83">
        <v>43803</v>
      </c>
      <c r="D471" s="112">
        <v>43825</v>
      </c>
      <c r="E471" s="570"/>
      <c r="F471" s="88" t="s">
        <v>2695</v>
      </c>
      <c r="G471" s="88" t="s">
        <v>162</v>
      </c>
      <c r="H471" s="81" t="s">
        <v>220</v>
      </c>
      <c r="J471" s="75">
        <f t="shared" si="38"/>
        <v>1</v>
      </c>
      <c r="K471" s="76" t="s">
        <v>211</v>
      </c>
      <c r="Q471" s="78" t="s">
        <v>2409</v>
      </c>
      <c r="R471" s="75">
        <f t="shared" si="39"/>
        <v>1</v>
      </c>
      <c r="S471" s="263" t="s">
        <v>1991</v>
      </c>
      <c r="T471" s="263"/>
      <c r="U471" s="263"/>
      <c r="V471" s="263"/>
      <c r="W471" s="263"/>
      <c r="X471" s="263"/>
      <c r="Y471" s="575"/>
      <c r="Z471" s="575"/>
      <c r="AA471" s="576">
        <f t="shared" si="37"/>
        <v>0</v>
      </c>
      <c r="AB471" s="722"/>
    </row>
    <row r="472" spans="1:28" ht="15.75" customHeight="1" x14ac:dyDescent="0.35">
      <c r="A472" s="68" t="s">
        <v>2696</v>
      </c>
      <c r="C472" s="83">
        <v>43803</v>
      </c>
      <c r="D472" s="112">
        <v>43825</v>
      </c>
      <c r="E472" s="570"/>
      <c r="F472" s="88" t="s">
        <v>2697</v>
      </c>
      <c r="G472" s="88" t="s">
        <v>2698</v>
      </c>
      <c r="H472" s="81" t="s">
        <v>220</v>
      </c>
      <c r="J472" s="75">
        <f t="shared" si="38"/>
        <v>1</v>
      </c>
      <c r="K472" s="76" t="s">
        <v>211</v>
      </c>
      <c r="Q472" s="78" t="s">
        <v>2409</v>
      </c>
      <c r="R472" s="75">
        <f t="shared" si="39"/>
        <v>1</v>
      </c>
      <c r="S472" s="263" t="s">
        <v>1991</v>
      </c>
      <c r="T472" s="263"/>
      <c r="U472" s="263"/>
      <c r="V472" s="263"/>
      <c r="W472" s="263"/>
      <c r="X472" s="263"/>
      <c r="Y472" s="575"/>
      <c r="Z472" s="575"/>
      <c r="AA472" s="576">
        <f t="shared" si="37"/>
        <v>0</v>
      </c>
      <c r="AB472" s="722"/>
    </row>
    <row r="473" spans="1:28" ht="15.75" customHeight="1" x14ac:dyDescent="0.35">
      <c r="A473" s="68" t="s">
        <v>2699</v>
      </c>
      <c r="C473" s="83">
        <v>43804</v>
      </c>
      <c r="D473" s="112">
        <v>43826</v>
      </c>
      <c r="E473" s="570"/>
      <c r="F473" s="88" t="s">
        <v>2700</v>
      </c>
      <c r="G473" s="88" t="s">
        <v>191</v>
      </c>
      <c r="H473" s="81" t="s">
        <v>220</v>
      </c>
      <c r="I473" s="98"/>
      <c r="J473" s="75">
        <f t="shared" si="38"/>
        <v>1</v>
      </c>
      <c r="K473" s="76" t="s">
        <v>211</v>
      </c>
      <c r="L473" s="99"/>
      <c r="Q473" s="78" t="s">
        <v>2409</v>
      </c>
      <c r="R473" s="75">
        <f t="shared" si="39"/>
        <v>1</v>
      </c>
      <c r="S473" s="263" t="s">
        <v>1991</v>
      </c>
      <c r="T473" s="263"/>
      <c r="U473" s="263"/>
      <c r="V473" s="263"/>
      <c r="W473" s="263"/>
      <c r="X473" s="263"/>
      <c r="Y473" s="575"/>
      <c r="Z473" s="575"/>
      <c r="AA473" s="576">
        <f t="shared" si="37"/>
        <v>0</v>
      </c>
      <c r="AB473" s="722"/>
    </row>
    <row r="474" spans="1:28" ht="15.75" customHeight="1" x14ac:dyDescent="0.35">
      <c r="A474" s="68" t="s">
        <v>2701</v>
      </c>
      <c r="C474" s="83">
        <v>43804</v>
      </c>
      <c r="D474" s="112">
        <v>43826</v>
      </c>
      <c r="E474" s="570"/>
      <c r="F474" s="88" t="s">
        <v>2702</v>
      </c>
      <c r="G474" s="88" t="s">
        <v>152</v>
      </c>
      <c r="H474" s="81" t="s">
        <v>220</v>
      </c>
      <c r="J474" s="75">
        <f t="shared" si="38"/>
        <v>1</v>
      </c>
      <c r="K474" s="76" t="s">
        <v>211</v>
      </c>
      <c r="Q474" s="78" t="s">
        <v>2409</v>
      </c>
      <c r="R474" s="75">
        <f t="shared" si="39"/>
        <v>1</v>
      </c>
      <c r="S474" s="263" t="s">
        <v>1991</v>
      </c>
      <c r="T474" s="263"/>
      <c r="U474" s="263"/>
      <c r="V474" s="263"/>
      <c r="W474" s="263"/>
      <c r="X474" s="263"/>
      <c r="Y474" s="575"/>
      <c r="Z474" s="575"/>
      <c r="AA474" s="576">
        <f t="shared" si="37"/>
        <v>0</v>
      </c>
      <c r="AB474" s="722"/>
    </row>
    <row r="475" spans="1:28" ht="15.75" customHeight="1" x14ac:dyDescent="0.35">
      <c r="A475" s="68" t="s">
        <v>2703</v>
      </c>
      <c r="C475" s="83">
        <v>43804</v>
      </c>
      <c r="D475" s="112">
        <v>43826</v>
      </c>
      <c r="E475" s="570"/>
      <c r="F475" s="88" t="s">
        <v>2704</v>
      </c>
      <c r="G475" s="88" t="s">
        <v>179</v>
      </c>
      <c r="H475" s="81" t="s">
        <v>220</v>
      </c>
      <c r="J475" s="75">
        <f t="shared" si="38"/>
        <v>1</v>
      </c>
      <c r="K475" s="76" t="s">
        <v>211</v>
      </c>
      <c r="Q475" s="78" t="s">
        <v>2409</v>
      </c>
      <c r="R475" s="75">
        <f t="shared" si="39"/>
        <v>1</v>
      </c>
      <c r="S475" s="263" t="s">
        <v>1991</v>
      </c>
      <c r="T475" s="263"/>
      <c r="U475" s="263"/>
      <c r="V475" s="263"/>
      <c r="W475" s="263"/>
      <c r="X475" s="263"/>
      <c r="Y475" s="575"/>
      <c r="Z475" s="575"/>
      <c r="AA475" s="576">
        <f t="shared" si="37"/>
        <v>0</v>
      </c>
      <c r="AB475" s="722"/>
    </row>
    <row r="476" spans="1:28" ht="15.75" customHeight="1" x14ac:dyDescent="0.35">
      <c r="A476" s="68" t="s">
        <v>2705</v>
      </c>
      <c r="C476" s="83">
        <v>43808</v>
      </c>
      <c r="D476" s="112">
        <v>43830</v>
      </c>
      <c r="E476" s="570"/>
      <c r="F476" s="88" t="s">
        <v>2706</v>
      </c>
      <c r="G476" s="88" t="s">
        <v>162</v>
      </c>
      <c r="H476" s="81" t="s">
        <v>220</v>
      </c>
      <c r="J476" s="75">
        <f t="shared" si="38"/>
        <v>1</v>
      </c>
      <c r="K476" s="76" t="s">
        <v>211</v>
      </c>
      <c r="Q476" s="78" t="s">
        <v>2409</v>
      </c>
      <c r="R476" s="75">
        <f t="shared" si="39"/>
        <v>1</v>
      </c>
      <c r="S476" s="263" t="s">
        <v>1991</v>
      </c>
      <c r="T476" s="263"/>
      <c r="U476" s="263"/>
      <c r="V476" s="263"/>
      <c r="W476" s="263"/>
      <c r="X476" s="263"/>
      <c r="Y476" s="575"/>
      <c r="Z476" s="575"/>
      <c r="AA476" s="576">
        <f t="shared" si="37"/>
        <v>0</v>
      </c>
      <c r="AB476" s="722"/>
    </row>
    <row r="477" spans="1:28" ht="15.75" customHeight="1" x14ac:dyDescent="0.35">
      <c r="A477" s="68" t="s">
        <v>2707</v>
      </c>
      <c r="C477" s="83">
        <v>43808</v>
      </c>
      <c r="D477" s="112">
        <v>43830</v>
      </c>
      <c r="E477" s="570"/>
      <c r="F477" s="88" t="s">
        <v>2708</v>
      </c>
      <c r="G477" s="88" t="s">
        <v>149</v>
      </c>
      <c r="H477" s="81" t="s">
        <v>220</v>
      </c>
      <c r="J477" s="75">
        <f t="shared" si="38"/>
        <v>1</v>
      </c>
      <c r="K477" s="76" t="s">
        <v>211</v>
      </c>
      <c r="Q477" s="78" t="s">
        <v>2409</v>
      </c>
      <c r="R477" s="75">
        <f t="shared" si="39"/>
        <v>1</v>
      </c>
      <c r="S477" s="263" t="s">
        <v>1991</v>
      </c>
      <c r="T477" s="263"/>
      <c r="U477" s="263"/>
      <c r="V477" s="263"/>
      <c r="W477" s="263"/>
      <c r="X477" s="263"/>
      <c r="Y477" s="575"/>
      <c r="Z477" s="575"/>
      <c r="AA477" s="576">
        <f t="shared" si="37"/>
        <v>0</v>
      </c>
      <c r="AB477" s="722"/>
    </row>
    <row r="478" spans="1:28" ht="15.75" customHeight="1" x14ac:dyDescent="0.35">
      <c r="A478" s="68" t="s">
        <v>2709</v>
      </c>
      <c r="C478" s="83">
        <v>43808</v>
      </c>
      <c r="D478" s="112">
        <v>43830</v>
      </c>
      <c r="E478" s="570"/>
      <c r="F478" s="88" t="s">
        <v>2710</v>
      </c>
      <c r="G478" s="88" t="s">
        <v>154</v>
      </c>
      <c r="H478" s="81" t="s">
        <v>220</v>
      </c>
      <c r="J478" s="75">
        <f t="shared" si="38"/>
        <v>1</v>
      </c>
      <c r="K478" s="76" t="s">
        <v>211</v>
      </c>
      <c r="Q478" s="78" t="s">
        <v>2409</v>
      </c>
      <c r="R478" s="75">
        <f t="shared" si="39"/>
        <v>1</v>
      </c>
      <c r="S478" s="263" t="s">
        <v>1991</v>
      </c>
      <c r="T478" s="263"/>
      <c r="U478" s="263"/>
      <c r="V478" s="263"/>
      <c r="W478" s="263"/>
      <c r="X478" s="263"/>
      <c r="Y478" s="575"/>
      <c r="Z478" s="575"/>
      <c r="AA478" s="576">
        <f t="shared" si="37"/>
        <v>0</v>
      </c>
      <c r="AB478" s="722"/>
    </row>
    <row r="479" spans="1:28" ht="15.75" customHeight="1" x14ac:dyDescent="0.35">
      <c r="A479" s="68" t="s">
        <v>2711</v>
      </c>
      <c r="C479" s="83">
        <v>43808</v>
      </c>
      <c r="D479" s="112">
        <v>43830</v>
      </c>
      <c r="E479" s="570"/>
      <c r="F479" s="88" t="s">
        <v>2712</v>
      </c>
      <c r="G479" s="88" t="s">
        <v>162</v>
      </c>
      <c r="H479" s="81" t="s">
        <v>220</v>
      </c>
      <c r="J479" s="75">
        <f t="shared" si="38"/>
        <v>1</v>
      </c>
      <c r="K479" s="76" t="s">
        <v>211</v>
      </c>
      <c r="Q479" s="78" t="s">
        <v>2409</v>
      </c>
      <c r="R479" s="75">
        <f t="shared" si="39"/>
        <v>1</v>
      </c>
      <c r="S479" s="263" t="s">
        <v>1991</v>
      </c>
      <c r="T479" s="263"/>
      <c r="U479" s="263"/>
      <c r="V479" s="263"/>
      <c r="W479" s="263"/>
      <c r="X479" s="263"/>
      <c r="Y479" s="575"/>
      <c r="Z479" s="575"/>
      <c r="AA479" s="576">
        <f t="shared" si="37"/>
        <v>0</v>
      </c>
      <c r="AB479" s="722"/>
    </row>
    <row r="480" spans="1:28" ht="15.75" customHeight="1" x14ac:dyDescent="0.35">
      <c r="A480" s="68" t="s">
        <v>2714</v>
      </c>
      <c r="C480" s="83">
        <v>43774</v>
      </c>
      <c r="D480" s="112">
        <v>43824</v>
      </c>
      <c r="E480" s="570"/>
      <c r="F480" s="88" t="s">
        <v>2715</v>
      </c>
      <c r="G480" s="88" t="s">
        <v>158</v>
      </c>
      <c r="H480" s="81" t="s">
        <v>220</v>
      </c>
      <c r="J480" s="75">
        <f t="shared" si="38"/>
        <v>1</v>
      </c>
      <c r="K480" s="76" t="s">
        <v>211</v>
      </c>
      <c r="Q480" s="78" t="s">
        <v>2130</v>
      </c>
      <c r="R480" s="75">
        <f t="shared" si="39"/>
        <v>1</v>
      </c>
      <c r="S480" s="263" t="s">
        <v>1991</v>
      </c>
      <c r="T480" s="263"/>
      <c r="U480" s="263"/>
      <c r="V480" s="263"/>
      <c r="W480" s="263"/>
      <c r="X480" s="263"/>
      <c r="Y480" s="575"/>
      <c r="Z480" s="575"/>
      <c r="AA480" s="576">
        <f t="shared" si="37"/>
        <v>0</v>
      </c>
      <c r="AB480" s="722"/>
    </row>
    <row r="481" spans="1:28" ht="15.75" customHeight="1" x14ac:dyDescent="0.35">
      <c r="A481" s="68" t="s">
        <v>2716</v>
      </c>
      <c r="C481" s="83">
        <v>43784</v>
      </c>
      <c r="D481" s="112">
        <v>43822</v>
      </c>
      <c r="E481" s="570"/>
      <c r="F481" s="88" t="s">
        <v>2717</v>
      </c>
      <c r="G481" s="88" t="s">
        <v>162</v>
      </c>
      <c r="H481" s="81" t="s">
        <v>220</v>
      </c>
      <c r="J481" s="75">
        <f t="shared" si="38"/>
        <v>1</v>
      </c>
      <c r="K481" s="76" t="s">
        <v>211</v>
      </c>
      <c r="Q481" s="78" t="s">
        <v>2130</v>
      </c>
      <c r="R481" s="75">
        <f t="shared" si="39"/>
        <v>1</v>
      </c>
      <c r="S481" s="263" t="s">
        <v>1991</v>
      </c>
      <c r="T481" s="263"/>
      <c r="U481" s="263"/>
      <c r="V481" s="263"/>
      <c r="W481" s="263"/>
      <c r="X481" s="263"/>
      <c r="Y481" s="575"/>
      <c r="Z481" s="575"/>
      <c r="AA481" s="576">
        <f t="shared" si="37"/>
        <v>0</v>
      </c>
      <c r="AB481" s="722"/>
    </row>
    <row r="482" spans="1:28" ht="15.75" customHeight="1" x14ac:dyDescent="0.35">
      <c r="A482" s="68" t="s">
        <v>2135</v>
      </c>
      <c r="C482" s="83">
        <v>43787</v>
      </c>
      <c r="D482" s="112">
        <v>43823</v>
      </c>
      <c r="E482" s="570"/>
      <c r="F482" s="88" t="s">
        <v>2136</v>
      </c>
      <c r="G482" s="88" t="s">
        <v>158</v>
      </c>
      <c r="H482" s="81" t="s">
        <v>220</v>
      </c>
      <c r="J482" s="75">
        <f t="shared" si="38"/>
        <v>1</v>
      </c>
      <c r="K482" s="76" t="s">
        <v>211</v>
      </c>
      <c r="Q482" s="78" t="s">
        <v>2130</v>
      </c>
      <c r="R482" s="75">
        <f t="shared" si="39"/>
        <v>1</v>
      </c>
      <c r="S482" s="263" t="s">
        <v>1991</v>
      </c>
      <c r="T482" s="263"/>
      <c r="U482" s="263"/>
      <c r="V482" s="263"/>
      <c r="W482" s="263"/>
      <c r="X482" s="263"/>
      <c r="Y482" s="575"/>
      <c r="Z482" s="575"/>
      <c r="AA482" s="576">
        <f t="shared" si="37"/>
        <v>0</v>
      </c>
      <c r="AB482" s="722"/>
    </row>
    <row r="483" spans="1:28" ht="15.75" customHeight="1" x14ac:dyDescent="0.35">
      <c r="A483" s="68" t="s">
        <v>2137</v>
      </c>
      <c r="C483" s="83">
        <v>43787</v>
      </c>
      <c r="D483" s="112">
        <v>43823</v>
      </c>
      <c r="E483" s="570"/>
      <c r="F483" s="88" t="s">
        <v>2138</v>
      </c>
      <c r="G483" s="88" t="s">
        <v>545</v>
      </c>
      <c r="H483" s="81" t="s">
        <v>220</v>
      </c>
      <c r="J483" s="75">
        <f t="shared" si="38"/>
        <v>1</v>
      </c>
      <c r="K483" s="76" t="s">
        <v>211</v>
      </c>
      <c r="Q483" s="78" t="s">
        <v>2130</v>
      </c>
      <c r="R483" s="75">
        <f t="shared" si="39"/>
        <v>1</v>
      </c>
      <c r="S483" s="263" t="s">
        <v>1991</v>
      </c>
      <c r="T483" s="263"/>
      <c r="U483" s="263"/>
      <c r="V483" s="263"/>
      <c r="W483" s="263"/>
      <c r="X483" s="263"/>
      <c r="Y483" s="575"/>
      <c r="Z483" s="575"/>
      <c r="AA483" s="576">
        <f t="shared" si="37"/>
        <v>0</v>
      </c>
      <c r="AB483" s="722"/>
    </row>
    <row r="484" spans="1:28" ht="15.75" customHeight="1" x14ac:dyDescent="0.35">
      <c r="A484" s="68" t="s">
        <v>2139</v>
      </c>
      <c r="C484" s="83">
        <v>43787</v>
      </c>
      <c r="D484" s="112">
        <v>43823</v>
      </c>
      <c r="E484" s="570"/>
      <c r="F484" s="88" t="s">
        <v>2140</v>
      </c>
      <c r="G484" s="88" t="s">
        <v>152</v>
      </c>
      <c r="H484" s="81" t="s">
        <v>220</v>
      </c>
      <c r="J484" s="75">
        <f t="shared" si="38"/>
        <v>1</v>
      </c>
      <c r="K484" s="76" t="s">
        <v>211</v>
      </c>
      <c r="Q484" s="78" t="s">
        <v>2130</v>
      </c>
      <c r="R484" s="75">
        <f t="shared" si="39"/>
        <v>1</v>
      </c>
      <c r="S484" s="263" t="s">
        <v>1991</v>
      </c>
      <c r="T484" s="263"/>
      <c r="U484" s="263"/>
      <c r="V484" s="263"/>
      <c r="W484" s="263"/>
      <c r="X484" s="263"/>
      <c r="Y484" s="575"/>
      <c r="Z484" s="575"/>
      <c r="AA484" s="576">
        <f t="shared" si="37"/>
        <v>0</v>
      </c>
      <c r="AB484" s="722"/>
    </row>
    <row r="485" spans="1:28" ht="15.75" customHeight="1" x14ac:dyDescent="0.35">
      <c r="A485" s="68" t="s">
        <v>2145</v>
      </c>
      <c r="C485" s="83">
        <v>43787</v>
      </c>
      <c r="D485" s="112">
        <v>43822</v>
      </c>
      <c r="E485" s="570"/>
      <c r="F485" s="88" t="s">
        <v>2146</v>
      </c>
      <c r="G485" s="88" t="s">
        <v>160</v>
      </c>
      <c r="H485" s="81" t="s">
        <v>220</v>
      </c>
      <c r="J485" s="75">
        <f t="shared" si="38"/>
        <v>1</v>
      </c>
      <c r="K485" s="76" t="s">
        <v>211</v>
      </c>
      <c r="Q485" s="78" t="s">
        <v>2130</v>
      </c>
      <c r="R485" s="75">
        <f t="shared" si="39"/>
        <v>1</v>
      </c>
      <c r="S485" s="263" t="s">
        <v>1991</v>
      </c>
      <c r="T485" s="263"/>
      <c r="U485" s="263"/>
      <c r="V485" s="263"/>
      <c r="W485" s="263"/>
      <c r="X485" s="263"/>
      <c r="Y485" s="575"/>
      <c r="Z485" s="575"/>
      <c r="AA485" s="576">
        <f t="shared" si="37"/>
        <v>0</v>
      </c>
      <c r="AB485" s="722"/>
    </row>
    <row r="486" spans="1:28" ht="15.75" customHeight="1" x14ac:dyDescent="0.35">
      <c r="A486" s="68" t="s">
        <v>2718</v>
      </c>
      <c r="C486" s="83">
        <v>43789</v>
      </c>
      <c r="D486" s="112">
        <v>43824</v>
      </c>
      <c r="E486" s="570"/>
      <c r="F486" s="88" t="s">
        <v>2719</v>
      </c>
      <c r="G486" s="88" t="s">
        <v>179</v>
      </c>
      <c r="H486" s="81" t="s">
        <v>220</v>
      </c>
      <c r="J486" s="75">
        <f t="shared" si="38"/>
        <v>1</v>
      </c>
      <c r="K486" s="76" t="s">
        <v>211</v>
      </c>
      <c r="Q486" s="78" t="s">
        <v>2130</v>
      </c>
      <c r="R486" s="75">
        <f t="shared" si="39"/>
        <v>1</v>
      </c>
      <c r="S486" s="263" t="s">
        <v>1991</v>
      </c>
      <c r="T486" s="263"/>
      <c r="U486" s="263"/>
      <c r="V486" s="263"/>
      <c r="W486" s="263"/>
      <c r="X486" s="263"/>
      <c r="Y486" s="575"/>
      <c r="Z486" s="575"/>
      <c r="AA486" s="576">
        <f t="shared" si="37"/>
        <v>0</v>
      </c>
      <c r="AB486" s="722"/>
    </row>
    <row r="487" spans="1:28" ht="15.75" customHeight="1" x14ac:dyDescent="0.35">
      <c r="A487" s="68" t="s">
        <v>2155</v>
      </c>
      <c r="C487" s="83">
        <v>43789</v>
      </c>
      <c r="D487" s="112">
        <v>43825</v>
      </c>
      <c r="E487" s="570"/>
      <c r="F487" s="88" t="s">
        <v>2156</v>
      </c>
      <c r="G487" s="88" t="s">
        <v>158</v>
      </c>
      <c r="H487" s="81" t="s">
        <v>220</v>
      </c>
      <c r="J487" s="75">
        <f t="shared" si="38"/>
        <v>1</v>
      </c>
      <c r="K487" s="76" t="s">
        <v>211</v>
      </c>
      <c r="Q487" s="78" t="s">
        <v>2130</v>
      </c>
      <c r="R487" s="75">
        <f t="shared" si="39"/>
        <v>1</v>
      </c>
      <c r="S487" s="263" t="s">
        <v>1991</v>
      </c>
      <c r="T487" s="263"/>
      <c r="U487" s="263"/>
      <c r="V487" s="263"/>
      <c r="W487" s="263"/>
      <c r="X487" s="263"/>
      <c r="Y487" s="575"/>
      <c r="Z487" s="575"/>
      <c r="AA487" s="576">
        <f t="shared" si="37"/>
        <v>0</v>
      </c>
      <c r="AB487" s="722"/>
    </row>
    <row r="488" spans="1:28" ht="15.75" customHeight="1" x14ac:dyDescent="0.35">
      <c r="A488" s="68" t="s">
        <v>2720</v>
      </c>
      <c r="C488" s="83">
        <v>43790</v>
      </c>
      <c r="D488" s="112">
        <v>43825</v>
      </c>
      <c r="E488" s="570"/>
      <c r="F488" s="88" t="s">
        <v>2721</v>
      </c>
      <c r="G488" s="88" t="s">
        <v>417</v>
      </c>
      <c r="H488" s="81" t="s">
        <v>220</v>
      </c>
      <c r="J488" s="75">
        <f t="shared" si="38"/>
        <v>1</v>
      </c>
      <c r="K488" s="76" t="s">
        <v>211</v>
      </c>
      <c r="Q488" s="78" t="s">
        <v>2130</v>
      </c>
      <c r="R488" s="75">
        <f t="shared" si="39"/>
        <v>1</v>
      </c>
      <c r="S488" s="263" t="s">
        <v>1991</v>
      </c>
      <c r="T488" s="263"/>
      <c r="U488" s="263"/>
      <c r="V488" s="263"/>
      <c r="W488" s="263"/>
      <c r="X488" s="263"/>
      <c r="Y488" s="575"/>
      <c r="Z488" s="575"/>
      <c r="AA488" s="576">
        <f t="shared" si="37"/>
        <v>0</v>
      </c>
      <c r="AB488" s="722"/>
    </row>
    <row r="489" spans="1:28" ht="15.75" customHeight="1" x14ac:dyDescent="0.35">
      <c r="A489" s="68" t="s">
        <v>2157</v>
      </c>
      <c r="C489" s="83">
        <v>43790</v>
      </c>
      <c r="D489" s="112">
        <v>43825</v>
      </c>
      <c r="E489" s="570"/>
      <c r="F489" s="88" t="s">
        <v>2158</v>
      </c>
      <c r="G489" s="88" t="s">
        <v>154</v>
      </c>
      <c r="H489" s="81" t="s">
        <v>220</v>
      </c>
      <c r="J489" s="75">
        <f t="shared" si="38"/>
        <v>1</v>
      </c>
      <c r="K489" s="76" t="s">
        <v>211</v>
      </c>
      <c r="Q489" s="78" t="s">
        <v>2130</v>
      </c>
      <c r="R489" s="75">
        <f t="shared" si="39"/>
        <v>1</v>
      </c>
      <c r="S489" s="263" t="s">
        <v>1991</v>
      </c>
      <c r="T489" s="263"/>
      <c r="U489" s="263"/>
      <c r="V489" s="263"/>
      <c r="W489" s="263"/>
      <c r="X489" s="263"/>
      <c r="Y489" s="575"/>
      <c r="Z489" s="575"/>
      <c r="AA489" s="576">
        <f t="shared" si="37"/>
        <v>0</v>
      </c>
      <c r="AB489" s="722"/>
    </row>
    <row r="490" spans="1:28" ht="15.75" customHeight="1" x14ac:dyDescent="0.35">
      <c r="A490" s="68" t="s">
        <v>2319</v>
      </c>
      <c r="C490" s="83">
        <v>43791</v>
      </c>
      <c r="D490" s="112">
        <v>43829</v>
      </c>
      <c r="E490" s="570"/>
      <c r="F490" s="88" t="s">
        <v>2320</v>
      </c>
      <c r="G490" s="88" t="s">
        <v>186</v>
      </c>
      <c r="H490" s="81" t="s">
        <v>220</v>
      </c>
      <c r="J490" s="75">
        <f t="shared" si="38"/>
        <v>1</v>
      </c>
      <c r="K490" s="76" t="s">
        <v>211</v>
      </c>
      <c r="Q490" s="78" t="s">
        <v>2130</v>
      </c>
      <c r="R490" s="75">
        <f t="shared" si="39"/>
        <v>1</v>
      </c>
      <c r="S490" s="263" t="s">
        <v>1991</v>
      </c>
      <c r="T490" s="263"/>
      <c r="U490" s="263"/>
      <c r="V490" s="263"/>
      <c r="W490" s="263"/>
      <c r="X490" s="263"/>
      <c r="Y490" s="575"/>
      <c r="Z490" s="575"/>
      <c r="AA490" s="576">
        <f t="shared" si="37"/>
        <v>0</v>
      </c>
      <c r="AB490" s="722"/>
    </row>
    <row r="491" spans="1:28" ht="15.75" customHeight="1" x14ac:dyDescent="0.35">
      <c r="A491" s="68" t="s">
        <v>2321</v>
      </c>
      <c r="C491" s="83">
        <v>43794</v>
      </c>
      <c r="D491" s="112">
        <v>43830</v>
      </c>
      <c r="E491" s="570"/>
      <c r="F491" s="88" t="s">
        <v>2322</v>
      </c>
      <c r="G491" s="88" t="s">
        <v>158</v>
      </c>
      <c r="H491" s="81" t="s">
        <v>220</v>
      </c>
      <c r="J491" s="75">
        <f t="shared" si="38"/>
        <v>1</v>
      </c>
      <c r="K491" s="76" t="s">
        <v>211</v>
      </c>
      <c r="Q491" s="78" t="s">
        <v>2130</v>
      </c>
      <c r="R491" s="75">
        <f t="shared" si="39"/>
        <v>1</v>
      </c>
      <c r="S491" s="263" t="s">
        <v>1991</v>
      </c>
      <c r="T491" s="263"/>
      <c r="U491" s="263"/>
      <c r="V491" s="263"/>
      <c r="W491" s="263"/>
      <c r="X491" s="263"/>
      <c r="Y491" s="575"/>
      <c r="Z491" s="575"/>
      <c r="AA491" s="576">
        <f t="shared" si="37"/>
        <v>0</v>
      </c>
      <c r="AB491" s="722"/>
    </row>
    <row r="492" spans="1:28" ht="15.75" customHeight="1" x14ac:dyDescent="0.35">
      <c r="A492" s="68" t="s">
        <v>2323</v>
      </c>
      <c r="C492" s="83">
        <v>43794</v>
      </c>
      <c r="D492" s="112">
        <v>43830</v>
      </c>
      <c r="E492" s="570"/>
      <c r="F492" s="88" t="s">
        <v>2324</v>
      </c>
      <c r="G492" s="88" t="s">
        <v>149</v>
      </c>
      <c r="H492" s="81" t="s">
        <v>220</v>
      </c>
      <c r="J492" s="75">
        <f t="shared" si="38"/>
        <v>1</v>
      </c>
      <c r="K492" s="76" t="s">
        <v>211</v>
      </c>
      <c r="Q492" s="78" t="s">
        <v>2130</v>
      </c>
      <c r="R492" s="75">
        <f t="shared" si="39"/>
        <v>1</v>
      </c>
      <c r="S492" s="263" t="s">
        <v>1991</v>
      </c>
      <c r="T492" s="263"/>
      <c r="U492" s="263"/>
      <c r="V492" s="263"/>
      <c r="W492" s="263"/>
      <c r="X492" s="263"/>
      <c r="Y492" s="575"/>
      <c r="Z492" s="575"/>
      <c r="AA492" s="576">
        <f t="shared" si="37"/>
        <v>0</v>
      </c>
      <c r="AB492" s="722"/>
    </row>
    <row r="493" spans="1:28" ht="15.75" customHeight="1" x14ac:dyDescent="0.35">
      <c r="A493" s="98" t="s">
        <v>2329</v>
      </c>
      <c r="C493" s="83">
        <v>43795</v>
      </c>
      <c r="D493" s="112">
        <v>43830</v>
      </c>
      <c r="E493" s="570"/>
      <c r="F493" s="88" t="s">
        <v>2330</v>
      </c>
      <c r="G493" s="88" t="s">
        <v>152</v>
      </c>
      <c r="H493" s="81" t="s">
        <v>220</v>
      </c>
      <c r="J493" s="75">
        <f t="shared" ref="J493:J533" si="40">IF(OR(K493="Документы готовы",K493="Запрос в ФО",K493="ЭЗ",K493="РЕШ",K493="РЕШ шаблон"),0.1,IF(OR(K493="ЭЗ согласование",K493="РЕШ согласование"),0.3,IF(OR(K493="ЭЗ согласовано",K493="РЕШ согласовано",K493="РЕШ подписано"),0.6,IF(OR(K493="ЭЗ ПР согласование",K493="РЕШ УВ согласование"),0.9,IF(OR(K493="ЭЗ ПР DONE",K493="РЕШ УВ DONE"),1,0)))))</f>
        <v>1</v>
      </c>
      <c r="K493" s="76" t="s">
        <v>211</v>
      </c>
      <c r="Q493" s="78" t="s">
        <v>2130</v>
      </c>
      <c r="R493" s="75">
        <f t="shared" ref="R493:R533" si="41">IF(S493="В работе",0.3,IF(S493="Отписано",0.6,IF(S493="На доработку",0.9,IF(S493="Согласовано",1,0))))</f>
        <v>1</v>
      </c>
      <c r="S493" s="263" t="s">
        <v>1991</v>
      </c>
      <c r="T493" s="263"/>
      <c r="U493" s="263"/>
      <c r="V493" s="263"/>
      <c r="W493" s="263"/>
      <c r="X493" s="263"/>
      <c r="Y493" s="575"/>
      <c r="Z493" s="575"/>
      <c r="AA493" s="576">
        <f t="shared" si="37"/>
        <v>0</v>
      </c>
      <c r="AB493" s="722"/>
    </row>
    <row r="494" spans="1:28" ht="15.75" customHeight="1" x14ac:dyDescent="0.35">
      <c r="A494" s="81" t="s">
        <v>2337</v>
      </c>
      <c r="C494" s="83">
        <v>43796</v>
      </c>
      <c r="D494" s="112">
        <v>43840</v>
      </c>
      <c r="E494" s="570"/>
      <c r="F494" s="88" t="s">
        <v>2338</v>
      </c>
      <c r="G494" s="88" t="s">
        <v>162</v>
      </c>
      <c r="H494" s="81" t="s">
        <v>220</v>
      </c>
      <c r="J494" s="75">
        <f t="shared" si="40"/>
        <v>1</v>
      </c>
      <c r="K494" s="76" t="s">
        <v>211</v>
      </c>
      <c r="Q494" s="304" t="s">
        <v>2447</v>
      </c>
      <c r="R494" s="75">
        <f t="shared" si="41"/>
        <v>1</v>
      </c>
      <c r="S494" s="263" t="s">
        <v>1991</v>
      </c>
      <c r="T494" s="263"/>
      <c r="U494" s="263"/>
      <c r="V494" s="263"/>
      <c r="W494" s="263"/>
      <c r="X494" s="263"/>
      <c r="Y494" s="575"/>
      <c r="Z494" s="575"/>
      <c r="AA494" s="576">
        <f t="shared" si="37"/>
        <v>0</v>
      </c>
      <c r="AB494" s="722"/>
    </row>
    <row r="495" spans="1:28" ht="15.75" customHeight="1" x14ac:dyDescent="0.35">
      <c r="A495" s="81" t="s">
        <v>2722</v>
      </c>
      <c r="C495" s="83">
        <v>43798</v>
      </c>
      <c r="D495" s="112">
        <v>43822</v>
      </c>
      <c r="E495" s="570"/>
      <c r="F495" s="88" t="s">
        <v>2723</v>
      </c>
      <c r="G495" s="88" t="s">
        <v>154</v>
      </c>
      <c r="H495" s="81" t="s">
        <v>220</v>
      </c>
      <c r="J495" s="75">
        <f t="shared" si="40"/>
        <v>1</v>
      </c>
      <c r="K495" s="76" t="s">
        <v>211</v>
      </c>
      <c r="Q495" s="78" t="s">
        <v>2130</v>
      </c>
      <c r="R495" s="75">
        <f t="shared" si="41"/>
        <v>1</v>
      </c>
      <c r="S495" s="263" t="s">
        <v>1991</v>
      </c>
      <c r="T495" s="263"/>
      <c r="U495" s="263"/>
      <c r="V495" s="263"/>
      <c r="W495" s="263"/>
      <c r="X495" s="263"/>
      <c r="Y495" s="575"/>
      <c r="Z495" s="575"/>
      <c r="AA495" s="576">
        <f t="shared" si="37"/>
        <v>0</v>
      </c>
      <c r="AB495" s="722"/>
    </row>
    <row r="496" spans="1:28" ht="15.75" customHeight="1" x14ac:dyDescent="0.35">
      <c r="A496" s="81" t="s">
        <v>2728</v>
      </c>
      <c r="C496" s="83">
        <v>43801</v>
      </c>
      <c r="D496" s="112">
        <v>43823</v>
      </c>
      <c r="E496" s="570"/>
      <c r="F496" s="88" t="s">
        <v>2729</v>
      </c>
      <c r="G496" s="88" t="s">
        <v>158</v>
      </c>
      <c r="H496" s="81" t="s">
        <v>220</v>
      </c>
      <c r="J496" s="75">
        <f t="shared" si="40"/>
        <v>1</v>
      </c>
      <c r="K496" s="76" t="s">
        <v>211</v>
      </c>
      <c r="Q496" s="78" t="s">
        <v>2130</v>
      </c>
      <c r="R496" s="75">
        <f t="shared" si="41"/>
        <v>1</v>
      </c>
      <c r="S496" s="263" t="s">
        <v>1991</v>
      </c>
      <c r="T496" s="263"/>
      <c r="U496" s="263"/>
      <c r="V496" s="263"/>
      <c r="W496" s="263"/>
      <c r="X496" s="263"/>
      <c r="Y496" s="575"/>
      <c r="Z496" s="575"/>
      <c r="AA496" s="576">
        <f t="shared" si="37"/>
        <v>0</v>
      </c>
      <c r="AB496" s="722"/>
    </row>
    <row r="497" spans="1:28" ht="15.75" customHeight="1" x14ac:dyDescent="0.35">
      <c r="A497" s="81" t="s">
        <v>2730</v>
      </c>
      <c r="C497" s="83">
        <v>43801</v>
      </c>
      <c r="D497" s="112">
        <v>43823</v>
      </c>
      <c r="E497" s="570"/>
      <c r="F497" s="88" t="s">
        <v>2731</v>
      </c>
      <c r="G497" s="88" t="s">
        <v>152</v>
      </c>
      <c r="H497" s="81" t="s">
        <v>220</v>
      </c>
      <c r="J497" s="75">
        <f t="shared" si="40"/>
        <v>1</v>
      </c>
      <c r="K497" s="76" t="s">
        <v>211</v>
      </c>
      <c r="Q497" s="78" t="s">
        <v>2130</v>
      </c>
      <c r="R497" s="75">
        <f t="shared" si="41"/>
        <v>1</v>
      </c>
      <c r="S497" s="263" t="s">
        <v>1991</v>
      </c>
      <c r="T497" s="263"/>
      <c r="U497" s="263"/>
      <c r="V497" s="263"/>
      <c r="W497" s="263"/>
      <c r="X497" s="263"/>
      <c r="Y497" s="575"/>
      <c r="Z497" s="575"/>
      <c r="AA497" s="576">
        <f t="shared" si="37"/>
        <v>0</v>
      </c>
      <c r="AB497" s="722"/>
    </row>
    <row r="498" spans="1:28" ht="15.75" customHeight="1" x14ac:dyDescent="0.35">
      <c r="A498" s="81" t="s">
        <v>2732</v>
      </c>
      <c r="C498" s="83">
        <v>43801</v>
      </c>
      <c r="D498" s="112">
        <v>43823</v>
      </c>
      <c r="E498" s="570"/>
      <c r="F498" s="88" t="s">
        <v>2733</v>
      </c>
      <c r="G498" s="88" t="s">
        <v>154</v>
      </c>
      <c r="H498" s="81" t="s">
        <v>220</v>
      </c>
      <c r="J498" s="75">
        <f t="shared" si="40"/>
        <v>1</v>
      </c>
      <c r="K498" s="76" t="s">
        <v>211</v>
      </c>
      <c r="Q498" s="78" t="s">
        <v>2130</v>
      </c>
      <c r="R498" s="75">
        <f t="shared" si="41"/>
        <v>1</v>
      </c>
      <c r="S498" s="263" t="s">
        <v>1991</v>
      </c>
      <c r="T498" s="263"/>
      <c r="U498" s="263"/>
      <c r="V498" s="263"/>
      <c r="W498" s="263"/>
      <c r="X498" s="263"/>
      <c r="Y498" s="575"/>
      <c r="Z498" s="575"/>
      <c r="AA498" s="576">
        <f t="shared" si="37"/>
        <v>0</v>
      </c>
      <c r="AB498" s="722"/>
    </row>
    <row r="499" spans="1:28" ht="15.75" customHeight="1" x14ac:dyDescent="0.35">
      <c r="A499" s="81" t="s">
        <v>2734</v>
      </c>
      <c r="C499" s="83">
        <v>43801</v>
      </c>
      <c r="D499" s="112">
        <v>43823</v>
      </c>
      <c r="E499" s="570"/>
      <c r="F499" s="88" t="s">
        <v>2735</v>
      </c>
      <c r="G499" s="88" t="s">
        <v>172</v>
      </c>
      <c r="H499" s="81" t="s">
        <v>220</v>
      </c>
      <c r="J499" s="75">
        <f t="shared" si="40"/>
        <v>1</v>
      </c>
      <c r="K499" s="76" t="s">
        <v>211</v>
      </c>
      <c r="Q499" s="78" t="s">
        <v>2130</v>
      </c>
      <c r="R499" s="75">
        <f t="shared" si="41"/>
        <v>1</v>
      </c>
      <c r="S499" s="263" t="s">
        <v>1991</v>
      </c>
      <c r="T499" s="263"/>
      <c r="U499" s="263"/>
      <c r="V499" s="263"/>
      <c r="W499" s="263"/>
      <c r="X499" s="263"/>
      <c r="Y499" s="575"/>
      <c r="Z499" s="575"/>
      <c r="AA499" s="576">
        <f t="shared" si="37"/>
        <v>0</v>
      </c>
      <c r="AB499" s="722"/>
    </row>
    <row r="500" spans="1:28" ht="15.75" customHeight="1" x14ac:dyDescent="0.35">
      <c r="A500" s="81" t="s">
        <v>2738</v>
      </c>
      <c r="C500" s="83">
        <v>43802</v>
      </c>
      <c r="D500" s="112">
        <v>43824</v>
      </c>
      <c r="E500" s="570"/>
      <c r="F500" s="88" t="s">
        <v>2739</v>
      </c>
      <c r="G500" s="88" t="s">
        <v>160</v>
      </c>
      <c r="H500" s="81" t="s">
        <v>275</v>
      </c>
      <c r="J500" s="75">
        <f t="shared" si="40"/>
        <v>1</v>
      </c>
      <c r="K500" s="76" t="s">
        <v>211</v>
      </c>
      <c r="Q500" s="78" t="s">
        <v>2130</v>
      </c>
      <c r="R500" s="75">
        <f t="shared" si="41"/>
        <v>1</v>
      </c>
      <c r="S500" s="263" t="s">
        <v>1991</v>
      </c>
      <c r="T500" s="263"/>
      <c r="U500" s="263"/>
      <c r="V500" s="263"/>
      <c r="W500" s="263"/>
      <c r="X500" s="263"/>
      <c r="Y500" s="575"/>
      <c r="Z500" s="575"/>
      <c r="AA500" s="576">
        <f t="shared" si="37"/>
        <v>0</v>
      </c>
      <c r="AB500" s="722"/>
    </row>
    <row r="501" spans="1:28" ht="15.75" customHeight="1" x14ac:dyDescent="0.35">
      <c r="A501" s="81" t="s">
        <v>2744</v>
      </c>
      <c r="C501" s="83">
        <v>43803</v>
      </c>
      <c r="D501" s="83">
        <v>43825</v>
      </c>
      <c r="E501" s="570"/>
      <c r="F501" s="88" t="s">
        <v>2745</v>
      </c>
      <c r="G501" s="88" t="s">
        <v>162</v>
      </c>
      <c r="H501" s="81" t="s">
        <v>220</v>
      </c>
      <c r="J501" s="75">
        <f t="shared" si="40"/>
        <v>1</v>
      </c>
      <c r="K501" s="76" t="s">
        <v>221</v>
      </c>
      <c r="Q501" s="78" t="s">
        <v>2130</v>
      </c>
      <c r="R501" s="75">
        <f t="shared" si="41"/>
        <v>1</v>
      </c>
      <c r="S501" s="263" t="s">
        <v>1991</v>
      </c>
      <c r="T501" s="263"/>
      <c r="U501" s="263"/>
      <c r="V501" s="263"/>
      <c r="W501" s="263"/>
      <c r="X501" s="263"/>
      <c r="Y501" s="575"/>
      <c r="Z501" s="575"/>
      <c r="AA501" s="576">
        <f t="shared" si="37"/>
        <v>0</v>
      </c>
      <c r="AB501" s="722"/>
    </row>
    <row r="502" spans="1:28" ht="15.75" customHeight="1" x14ac:dyDescent="0.35">
      <c r="A502" s="81" t="s">
        <v>2750</v>
      </c>
      <c r="C502" s="83">
        <v>43803</v>
      </c>
      <c r="D502" s="112">
        <v>43825</v>
      </c>
      <c r="E502" s="570"/>
      <c r="F502" s="88" t="s">
        <v>2751</v>
      </c>
      <c r="G502" s="88" t="s">
        <v>172</v>
      </c>
      <c r="H502" s="81" t="s">
        <v>220</v>
      </c>
      <c r="J502" s="75">
        <f t="shared" si="40"/>
        <v>1</v>
      </c>
      <c r="K502" s="76" t="s">
        <v>211</v>
      </c>
      <c r="Q502" s="78" t="s">
        <v>2130</v>
      </c>
      <c r="R502" s="75">
        <f t="shared" si="41"/>
        <v>1</v>
      </c>
      <c r="S502" s="263" t="s">
        <v>1991</v>
      </c>
      <c r="T502" s="263"/>
      <c r="U502" s="263"/>
      <c r="V502" s="263"/>
      <c r="W502" s="263"/>
      <c r="X502" s="263"/>
      <c r="Y502" s="575"/>
      <c r="Z502" s="575"/>
      <c r="AA502" s="576">
        <f t="shared" si="37"/>
        <v>0</v>
      </c>
      <c r="AB502" s="722"/>
    </row>
    <row r="503" spans="1:28" ht="15.75" customHeight="1" x14ac:dyDescent="0.35">
      <c r="A503" s="81" t="s">
        <v>2752</v>
      </c>
      <c r="C503" s="83">
        <v>43803</v>
      </c>
      <c r="D503" s="112">
        <v>43825</v>
      </c>
      <c r="E503" s="570"/>
      <c r="F503" s="88" t="s">
        <v>2753</v>
      </c>
      <c r="G503" s="88" t="s">
        <v>154</v>
      </c>
      <c r="H503" s="81" t="s">
        <v>220</v>
      </c>
      <c r="J503" s="75">
        <f t="shared" si="40"/>
        <v>1</v>
      </c>
      <c r="K503" s="76" t="s">
        <v>211</v>
      </c>
      <c r="Q503" s="78" t="s">
        <v>2130</v>
      </c>
      <c r="R503" s="75">
        <f t="shared" si="41"/>
        <v>1</v>
      </c>
      <c r="S503" s="263" t="s">
        <v>1991</v>
      </c>
      <c r="T503" s="263"/>
      <c r="U503" s="263"/>
      <c r="V503" s="263"/>
      <c r="W503" s="263"/>
      <c r="X503" s="263"/>
      <c r="Y503" s="575"/>
      <c r="Z503" s="575"/>
      <c r="AA503" s="576">
        <f t="shared" si="37"/>
        <v>0</v>
      </c>
      <c r="AB503" s="722"/>
    </row>
    <row r="504" spans="1:28" ht="15.75" customHeight="1" x14ac:dyDescent="0.35">
      <c r="A504" s="81" t="s">
        <v>2754</v>
      </c>
      <c r="C504" s="83">
        <v>43805</v>
      </c>
      <c r="D504" s="112">
        <v>43826</v>
      </c>
      <c r="E504" s="570"/>
      <c r="F504" s="88" t="s">
        <v>2755</v>
      </c>
      <c r="G504" s="88" t="s">
        <v>191</v>
      </c>
      <c r="H504" s="81" t="s">
        <v>220</v>
      </c>
      <c r="I504" s="98" t="s">
        <v>763</v>
      </c>
      <c r="J504" s="75">
        <f t="shared" si="40"/>
        <v>1</v>
      </c>
      <c r="K504" s="76" t="s">
        <v>211</v>
      </c>
      <c r="L504" s="88" t="s">
        <v>2875</v>
      </c>
      <c r="M504" s="81">
        <v>0</v>
      </c>
      <c r="N504" s="78" t="s">
        <v>18</v>
      </c>
      <c r="Q504" s="78" t="s">
        <v>2130</v>
      </c>
      <c r="R504" s="75">
        <f t="shared" si="41"/>
        <v>1</v>
      </c>
      <c r="S504" s="263" t="s">
        <v>1991</v>
      </c>
      <c r="T504" s="263"/>
      <c r="U504" s="263"/>
      <c r="V504" s="263"/>
      <c r="W504" s="263"/>
      <c r="X504" s="263"/>
      <c r="Y504" s="575"/>
      <c r="Z504" s="575"/>
      <c r="AA504" s="576">
        <f t="shared" si="37"/>
        <v>0</v>
      </c>
      <c r="AB504" s="722"/>
    </row>
    <row r="505" spans="1:28" ht="15.75" customHeight="1" x14ac:dyDescent="0.35">
      <c r="A505" s="81" t="s">
        <v>2764</v>
      </c>
      <c r="C505" s="83">
        <v>43805</v>
      </c>
      <c r="D505" s="112">
        <v>43829</v>
      </c>
      <c r="E505" s="570"/>
      <c r="F505" s="88" t="s">
        <v>2765</v>
      </c>
      <c r="G505" s="88" t="s">
        <v>2766</v>
      </c>
      <c r="H505" s="81" t="s">
        <v>220</v>
      </c>
      <c r="J505" s="75">
        <f t="shared" si="40"/>
        <v>1</v>
      </c>
      <c r="K505" s="76" t="s">
        <v>211</v>
      </c>
      <c r="Q505" s="78" t="s">
        <v>2130</v>
      </c>
      <c r="R505" s="75">
        <f t="shared" si="41"/>
        <v>1</v>
      </c>
      <c r="S505" s="263" t="s">
        <v>1991</v>
      </c>
      <c r="T505" s="263"/>
      <c r="U505" s="263"/>
      <c r="V505" s="263"/>
      <c r="W505" s="263"/>
      <c r="X505" s="263"/>
      <c r="Y505" s="575"/>
      <c r="Z505" s="575"/>
      <c r="AA505" s="576">
        <f t="shared" si="37"/>
        <v>0</v>
      </c>
      <c r="AB505" s="722"/>
    </row>
    <row r="506" spans="1:28" ht="15.75" customHeight="1" x14ac:dyDescent="0.35">
      <c r="A506" s="81" t="s">
        <v>2769</v>
      </c>
      <c r="C506" s="83">
        <v>43808</v>
      </c>
      <c r="D506" s="112">
        <v>43830</v>
      </c>
      <c r="E506" s="570"/>
      <c r="F506" s="88" t="s">
        <v>2770</v>
      </c>
      <c r="G506" s="88" t="s">
        <v>152</v>
      </c>
      <c r="H506" s="81" t="s">
        <v>220</v>
      </c>
      <c r="J506" s="75">
        <f t="shared" si="40"/>
        <v>1</v>
      </c>
      <c r="K506" s="76" t="s">
        <v>211</v>
      </c>
      <c r="Q506" s="78" t="s">
        <v>2130</v>
      </c>
      <c r="R506" s="75">
        <f t="shared" si="41"/>
        <v>1</v>
      </c>
      <c r="S506" s="263" t="s">
        <v>1991</v>
      </c>
      <c r="T506" s="263"/>
      <c r="U506" s="263"/>
      <c r="V506" s="263"/>
      <c r="W506" s="263"/>
      <c r="X506" s="263"/>
      <c r="Y506" s="575"/>
      <c r="Z506" s="575"/>
      <c r="AA506" s="576">
        <f t="shared" si="37"/>
        <v>0</v>
      </c>
      <c r="AB506" s="722"/>
    </row>
    <row r="507" spans="1:28" ht="15.75" customHeight="1" x14ac:dyDescent="0.35">
      <c r="A507" s="81" t="s">
        <v>2773</v>
      </c>
      <c r="C507" s="83">
        <v>43808</v>
      </c>
      <c r="D507" s="112">
        <v>43830</v>
      </c>
      <c r="E507" s="570"/>
      <c r="F507" s="88" t="s">
        <v>2774</v>
      </c>
      <c r="G507" s="88" t="s">
        <v>158</v>
      </c>
      <c r="H507" s="81" t="s">
        <v>220</v>
      </c>
      <c r="J507" s="75">
        <f t="shared" si="40"/>
        <v>1</v>
      </c>
      <c r="K507" s="76" t="s">
        <v>211</v>
      </c>
      <c r="Q507" s="78" t="s">
        <v>2130</v>
      </c>
      <c r="R507" s="75">
        <f t="shared" si="41"/>
        <v>1</v>
      </c>
      <c r="S507" s="263" t="s">
        <v>1991</v>
      </c>
      <c r="T507" s="263"/>
      <c r="U507" s="263"/>
      <c r="V507" s="263"/>
      <c r="W507" s="263"/>
      <c r="X507" s="263"/>
      <c r="Y507" s="575"/>
      <c r="Z507" s="575"/>
      <c r="AA507" s="576">
        <f t="shared" si="37"/>
        <v>0</v>
      </c>
      <c r="AB507" s="722"/>
    </row>
    <row r="508" spans="1:28" ht="15.75" customHeight="1" x14ac:dyDescent="0.35">
      <c r="A508" s="81" t="s">
        <v>2775</v>
      </c>
      <c r="C508" s="83">
        <v>43808</v>
      </c>
      <c r="D508" s="112">
        <v>43830</v>
      </c>
      <c r="E508" s="570"/>
      <c r="F508" s="88" t="s">
        <v>2776</v>
      </c>
      <c r="G508" s="88" t="s">
        <v>156</v>
      </c>
      <c r="H508" s="81" t="s">
        <v>220</v>
      </c>
      <c r="J508" s="75">
        <f t="shared" si="40"/>
        <v>1</v>
      </c>
      <c r="K508" s="76" t="s">
        <v>211</v>
      </c>
      <c r="Q508" s="78" t="s">
        <v>2130</v>
      </c>
      <c r="R508" s="75">
        <f t="shared" si="41"/>
        <v>1</v>
      </c>
      <c r="S508" s="263" t="s">
        <v>1991</v>
      </c>
      <c r="T508" s="263"/>
      <c r="U508" s="263"/>
      <c r="V508" s="263"/>
      <c r="W508" s="263"/>
      <c r="X508" s="263"/>
      <c r="Y508" s="575"/>
      <c r="Z508" s="575"/>
      <c r="AA508" s="576">
        <f t="shared" si="37"/>
        <v>0</v>
      </c>
      <c r="AB508" s="722"/>
    </row>
    <row r="509" spans="1:28" ht="15.75" customHeight="1" x14ac:dyDescent="0.35">
      <c r="A509" s="98" t="s">
        <v>2779</v>
      </c>
      <c r="C509" s="83">
        <v>43770</v>
      </c>
      <c r="D509" s="112">
        <v>43822</v>
      </c>
      <c r="E509" s="570"/>
      <c r="F509" s="99" t="s">
        <v>2780</v>
      </c>
      <c r="G509" s="99" t="s">
        <v>158</v>
      </c>
      <c r="H509" s="98" t="s">
        <v>220</v>
      </c>
      <c r="J509" s="75">
        <f t="shared" si="40"/>
        <v>1</v>
      </c>
      <c r="K509" s="76" t="s">
        <v>211</v>
      </c>
      <c r="Q509" s="304" t="s">
        <v>2447</v>
      </c>
      <c r="R509" s="75">
        <f t="shared" si="41"/>
        <v>1</v>
      </c>
      <c r="S509" s="263" t="s">
        <v>1991</v>
      </c>
      <c r="T509" s="263"/>
      <c r="U509" s="263"/>
      <c r="V509" s="263"/>
      <c r="W509" s="263"/>
      <c r="X509" s="263"/>
      <c r="Y509" s="575"/>
      <c r="Z509" s="575"/>
      <c r="AA509" s="576">
        <f t="shared" si="37"/>
        <v>0</v>
      </c>
      <c r="AB509" s="722"/>
    </row>
    <row r="510" spans="1:28" ht="15.75" customHeight="1" x14ac:dyDescent="0.35">
      <c r="A510" s="98" t="s">
        <v>2781</v>
      </c>
      <c r="C510" s="83">
        <v>43802</v>
      </c>
      <c r="D510" s="112">
        <v>43823</v>
      </c>
      <c r="E510" s="570"/>
      <c r="F510" s="99" t="s">
        <v>2782</v>
      </c>
      <c r="G510" s="99" t="s">
        <v>149</v>
      </c>
      <c r="H510" s="98" t="s">
        <v>275</v>
      </c>
      <c r="I510" s="98" t="s">
        <v>2842</v>
      </c>
      <c r="J510" s="75">
        <f t="shared" si="40"/>
        <v>1</v>
      </c>
      <c r="K510" s="76" t="s">
        <v>211</v>
      </c>
      <c r="L510" s="99" t="s">
        <v>2841</v>
      </c>
      <c r="Q510" s="304" t="s">
        <v>2447</v>
      </c>
      <c r="R510" s="75">
        <f t="shared" si="41"/>
        <v>1</v>
      </c>
      <c r="S510" s="263" t="s">
        <v>1991</v>
      </c>
      <c r="T510" s="263"/>
      <c r="U510" s="263"/>
      <c r="V510" s="263"/>
      <c r="W510" s="263"/>
      <c r="X510" s="263"/>
      <c r="Y510" s="575"/>
      <c r="Z510" s="575"/>
      <c r="AA510" s="576">
        <f t="shared" si="37"/>
        <v>0</v>
      </c>
      <c r="AB510" s="722"/>
    </row>
    <row r="511" spans="1:28" ht="15.75" customHeight="1" x14ac:dyDescent="0.35">
      <c r="A511" s="98" t="s">
        <v>2783</v>
      </c>
      <c r="C511" s="83">
        <v>43787</v>
      </c>
      <c r="D511" s="112">
        <v>43823</v>
      </c>
      <c r="E511" s="570"/>
      <c r="F511" s="99" t="s">
        <v>2784</v>
      </c>
      <c r="G511" s="99" t="s">
        <v>186</v>
      </c>
      <c r="H511" s="98" t="s">
        <v>220</v>
      </c>
      <c r="J511" s="75">
        <f t="shared" si="40"/>
        <v>1</v>
      </c>
      <c r="K511" s="76" t="s">
        <v>211</v>
      </c>
      <c r="Q511" s="304" t="s">
        <v>2447</v>
      </c>
      <c r="R511" s="75">
        <f t="shared" si="41"/>
        <v>1</v>
      </c>
      <c r="S511" s="263" t="s">
        <v>1991</v>
      </c>
      <c r="T511" s="263"/>
      <c r="U511" s="263"/>
      <c r="V511" s="263"/>
      <c r="W511" s="263"/>
      <c r="X511" s="263"/>
      <c r="Y511" s="575"/>
      <c r="Z511" s="575"/>
      <c r="AA511" s="576">
        <f t="shared" si="37"/>
        <v>0</v>
      </c>
      <c r="AB511" s="722"/>
    </row>
    <row r="512" spans="1:28" ht="15.75" customHeight="1" x14ac:dyDescent="0.35">
      <c r="A512" s="98" t="s">
        <v>2785</v>
      </c>
      <c r="C512" s="83">
        <v>43787</v>
      </c>
      <c r="D512" s="112">
        <v>43823</v>
      </c>
      <c r="E512" s="570"/>
      <c r="F512" s="99" t="s">
        <v>2786</v>
      </c>
      <c r="G512" s="99" t="s">
        <v>162</v>
      </c>
      <c r="H512" s="98" t="s">
        <v>220</v>
      </c>
      <c r="I512" s="98" t="s">
        <v>652</v>
      </c>
      <c r="J512" s="75">
        <f t="shared" si="40"/>
        <v>1</v>
      </c>
      <c r="K512" s="76" t="s">
        <v>211</v>
      </c>
      <c r="Q512" s="78" t="s">
        <v>2447</v>
      </c>
      <c r="R512" s="75">
        <f t="shared" si="41"/>
        <v>1</v>
      </c>
      <c r="S512" s="263" t="s">
        <v>1991</v>
      </c>
      <c r="T512" s="263"/>
      <c r="U512" s="263"/>
      <c r="V512" s="263"/>
      <c r="W512" s="263"/>
      <c r="X512" s="263"/>
      <c r="Y512" s="575"/>
      <c r="Z512" s="575"/>
      <c r="AA512" s="576">
        <f t="shared" si="37"/>
        <v>0</v>
      </c>
      <c r="AB512" s="722"/>
    </row>
    <row r="513" spans="1:28" ht="15.75" customHeight="1" x14ac:dyDescent="0.35">
      <c r="A513" s="81" t="s">
        <v>2071</v>
      </c>
      <c r="C513" s="83">
        <v>43787</v>
      </c>
      <c r="D513" s="112">
        <v>43823</v>
      </c>
      <c r="E513" s="570"/>
      <c r="F513" s="88" t="s">
        <v>2072</v>
      </c>
      <c r="G513" s="88" t="s">
        <v>158</v>
      </c>
      <c r="H513" s="81" t="s">
        <v>220</v>
      </c>
      <c r="J513" s="75">
        <f t="shared" si="40"/>
        <v>1</v>
      </c>
      <c r="K513" s="76" t="s">
        <v>211</v>
      </c>
      <c r="Q513" s="78" t="s">
        <v>2056</v>
      </c>
      <c r="R513" s="75">
        <f t="shared" si="41"/>
        <v>1</v>
      </c>
      <c r="S513" s="263" t="s">
        <v>1991</v>
      </c>
      <c r="T513" s="263"/>
      <c r="U513" s="263"/>
      <c r="V513" s="263"/>
      <c r="W513" s="263"/>
      <c r="X513" s="263"/>
      <c r="Y513" s="575"/>
      <c r="Z513" s="575"/>
      <c r="AA513" s="576">
        <f t="shared" si="37"/>
        <v>0</v>
      </c>
      <c r="AB513" s="722"/>
    </row>
    <row r="514" spans="1:28" ht="15.75" customHeight="1" x14ac:dyDescent="0.35">
      <c r="A514" s="81" t="s">
        <v>2075</v>
      </c>
      <c r="C514" s="83">
        <v>43787</v>
      </c>
      <c r="D514" s="112">
        <v>43823</v>
      </c>
      <c r="E514" s="570"/>
      <c r="F514" s="88" t="s">
        <v>2076</v>
      </c>
      <c r="G514" s="88" t="s">
        <v>152</v>
      </c>
      <c r="H514" s="81" t="s">
        <v>220</v>
      </c>
      <c r="J514" s="75">
        <f t="shared" si="40"/>
        <v>1</v>
      </c>
      <c r="K514" s="76" t="s">
        <v>211</v>
      </c>
      <c r="Q514" s="78" t="s">
        <v>2056</v>
      </c>
      <c r="R514" s="75">
        <f t="shared" si="41"/>
        <v>1</v>
      </c>
      <c r="S514" s="263" t="s">
        <v>1991</v>
      </c>
      <c r="T514" s="263"/>
      <c r="U514" s="263"/>
      <c r="V514" s="263"/>
      <c r="W514" s="263"/>
      <c r="X514" s="263"/>
      <c r="Y514" s="575"/>
      <c r="Z514" s="575"/>
      <c r="AA514" s="576">
        <f t="shared" si="37"/>
        <v>0</v>
      </c>
      <c r="AB514" s="722"/>
    </row>
    <row r="515" spans="1:28" ht="15.75" customHeight="1" x14ac:dyDescent="0.35">
      <c r="A515" s="81" t="s">
        <v>2788</v>
      </c>
      <c r="C515" s="83">
        <v>43788</v>
      </c>
      <c r="D515" s="112">
        <v>43823</v>
      </c>
      <c r="E515" s="570"/>
      <c r="F515" s="88" t="s">
        <v>2813</v>
      </c>
      <c r="G515" s="88" t="s">
        <v>158</v>
      </c>
      <c r="H515" s="81" t="s">
        <v>220</v>
      </c>
      <c r="J515" s="75">
        <f t="shared" si="40"/>
        <v>1</v>
      </c>
      <c r="K515" s="76" t="s">
        <v>211</v>
      </c>
      <c r="Q515" s="78" t="s">
        <v>2056</v>
      </c>
      <c r="R515" s="75">
        <f t="shared" si="41"/>
        <v>1</v>
      </c>
      <c r="S515" s="263" t="s">
        <v>1991</v>
      </c>
      <c r="T515" s="263"/>
      <c r="U515" s="263"/>
      <c r="V515" s="263"/>
      <c r="W515" s="263"/>
      <c r="X515" s="263"/>
      <c r="Y515" s="575"/>
      <c r="Z515" s="575"/>
      <c r="AA515" s="576">
        <f t="shared" ref="AA515:AA578" si="42">Z515-Y515</f>
        <v>0</v>
      </c>
      <c r="AB515" s="722"/>
    </row>
    <row r="516" spans="1:28" ht="15.75" customHeight="1" x14ac:dyDescent="0.35">
      <c r="A516" s="81" t="s">
        <v>2079</v>
      </c>
      <c r="C516" s="83">
        <v>43788</v>
      </c>
      <c r="D516" s="112">
        <v>43824</v>
      </c>
      <c r="E516" s="570"/>
      <c r="F516" s="88" t="s">
        <v>2080</v>
      </c>
      <c r="G516" s="88" t="s">
        <v>176</v>
      </c>
      <c r="H516" s="81" t="s">
        <v>220</v>
      </c>
      <c r="J516" s="75">
        <f t="shared" si="40"/>
        <v>1</v>
      </c>
      <c r="K516" s="76" t="s">
        <v>211</v>
      </c>
      <c r="Q516" s="78" t="s">
        <v>2056</v>
      </c>
      <c r="R516" s="75">
        <f t="shared" si="41"/>
        <v>1</v>
      </c>
      <c r="S516" s="263" t="s">
        <v>1991</v>
      </c>
      <c r="T516" s="263"/>
      <c r="U516" s="263"/>
      <c r="V516" s="263"/>
      <c r="W516" s="263"/>
      <c r="X516" s="263"/>
      <c r="Y516" s="575"/>
      <c r="Z516" s="575"/>
      <c r="AA516" s="576">
        <f t="shared" si="42"/>
        <v>0</v>
      </c>
      <c r="AB516" s="722"/>
    </row>
    <row r="517" spans="1:28" ht="15.75" customHeight="1" x14ac:dyDescent="0.35">
      <c r="A517" s="81" t="s">
        <v>2081</v>
      </c>
      <c r="C517" s="83">
        <v>43789</v>
      </c>
      <c r="D517" s="112">
        <v>43824</v>
      </c>
      <c r="E517" s="570"/>
      <c r="F517" s="88" t="s">
        <v>2082</v>
      </c>
      <c r="G517" s="88" t="s">
        <v>149</v>
      </c>
      <c r="H517" s="81" t="s">
        <v>220</v>
      </c>
      <c r="J517" s="75">
        <f t="shared" si="40"/>
        <v>1</v>
      </c>
      <c r="K517" s="76" t="s">
        <v>211</v>
      </c>
      <c r="Q517" s="78" t="s">
        <v>2056</v>
      </c>
      <c r="R517" s="75">
        <f t="shared" si="41"/>
        <v>1</v>
      </c>
      <c r="S517" s="263" t="s">
        <v>1991</v>
      </c>
      <c r="T517" s="263"/>
      <c r="U517" s="263"/>
      <c r="V517" s="263"/>
      <c r="W517" s="263"/>
      <c r="X517" s="263"/>
      <c r="Y517" s="575"/>
      <c r="Z517" s="575"/>
      <c r="AA517" s="576">
        <f t="shared" si="42"/>
        <v>0</v>
      </c>
      <c r="AB517" s="722"/>
    </row>
    <row r="518" spans="1:28" ht="15.75" customHeight="1" x14ac:dyDescent="0.35">
      <c r="A518" s="81" t="s">
        <v>2789</v>
      </c>
      <c r="C518" s="83">
        <v>43789</v>
      </c>
      <c r="D518" s="112">
        <v>43824</v>
      </c>
      <c r="E518" s="570"/>
      <c r="F518" s="88" t="s">
        <v>2814</v>
      </c>
      <c r="G518" s="88" t="s">
        <v>417</v>
      </c>
      <c r="H518" s="81" t="s">
        <v>220</v>
      </c>
      <c r="I518" s="98" t="s">
        <v>863</v>
      </c>
      <c r="J518" s="75">
        <f t="shared" si="40"/>
        <v>1</v>
      </c>
      <c r="K518" s="76" t="s">
        <v>211</v>
      </c>
      <c r="L518" s="99" t="s">
        <v>2856</v>
      </c>
      <c r="N518" s="78" t="s">
        <v>19</v>
      </c>
      <c r="Q518" s="78" t="s">
        <v>2056</v>
      </c>
      <c r="R518" s="75">
        <f t="shared" si="41"/>
        <v>1</v>
      </c>
      <c r="S518" s="263" t="s">
        <v>1991</v>
      </c>
      <c r="T518" s="263"/>
      <c r="U518" s="263"/>
      <c r="V518" s="263"/>
      <c r="W518" s="263"/>
      <c r="X518" s="263"/>
      <c r="Y518" s="575"/>
      <c r="Z518" s="575"/>
      <c r="AA518" s="576">
        <f t="shared" si="42"/>
        <v>0</v>
      </c>
      <c r="AB518" s="722"/>
    </row>
    <row r="519" spans="1:28" ht="15.75" customHeight="1" x14ac:dyDescent="0.35">
      <c r="A519" s="81" t="s">
        <v>2085</v>
      </c>
      <c r="C519" s="83">
        <v>43790</v>
      </c>
      <c r="D519" s="112">
        <v>43825</v>
      </c>
      <c r="E519" s="570"/>
      <c r="F519" s="88" t="s">
        <v>2086</v>
      </c>
      <c r="G519" s="88" t="s">
        <v>195</v>
      </c>
      <c r="H519" s="81" t="s">
        <v>275</v>
      </c>
      <c r="J519" s="75">
        <f t="shared" si="40"/>
        <v>1</v>
      </c>
      <c r="K519" s="76" t="s">
        <v>211</v>
      </c>
      <c r="L519" s="99" t="s">
        <v>2859</v>
      </c>
      <c r="Q519" s="78" t="s">
        <v>2056</v>
      </c>
      <c r="R519" s="75">
        <f t="shared" si="41"/>
        <v>1</v>
      </c>
      <c r="S519" s="263" t="s">
        <v>1991</v>
      </c>
      <c r="T519" s="263"/>
      <c r="U519" s="263"/>
      <c r="V519" s="263"/>
      <c r="W519" s="263"/>
      <c r="X519" s="263"/>
      <c r="Y519" s="575"/>
      <c r="Z519" s="575"/>
      <c r="AA519" s="576">
        <f t="shared" si="42"/>
        <v>0</v>
      </c>
      <c r="AB519" s="722"/>
    </row>
    <row r="520" spans="1:28" ht="15.75" customHeight="1" x14ac:dyDescent="0.35">
      <c r="A520" s="81" t="s">
        <v>2087</v>
      </c>
      <c r="C520" s="83">
        <v>43790</v>
      </c>
      <c r="D520" s="112">
        <v>43825</v>
      </c>
      <c r="E520" s="570"/>
      <c r="F520" s="88" t="s">
        <v>2088</v>
      </c>
      <c r="G520" s="88" t="s">
        <v>154</v>
      </c>
      <c r="H520" s="81" t="s">
        <v>220</v>
      </c>
      <c r="J520" s="75">
        <f t="shared" si="40"/>
        <v>1</v>
      </c>
      <c r="K520" s="76" t="s">
        <v>211</v>
      </c>
      <c r="L520" s="99" t="s">
        <v>2860</v>
      </c>
      <c r="Q520" s="78" t="s">
        <v>2056</v>
      </c>
      <c r="R520" s="75">
        <f t="shared" si="41"/>
        <v>1</v>
      </c>
      <c r="S520" s="263" t="s">
        <v>1991</v>
      </c>
      <c r="T520" s="263"/>
      <c r="U520" s="263"/>
      <c r="V520" s="263"/>
      <c r="W520" s="263"/>
      <c r="X520" s="263"/>
      <c r="Y520" s="575"/>
      <c r="Z520" s="575"/>
      <c r="AA520" s="576">
        <f t="shared" si="42"/>
        <v>0</v>
      </c>
      <c r="AB520" s="722"/>
    </row>
    <row r="521" spans="1:28" ht="15.75" customHeight="1" x14ac:dyDescent="0.35">
      <c r="A521" s="81" t="s">
        <v>2089</v>
      </c>
      <c r="C521" s="83">
        <v>43790</v>
      </c>
      <c r="D521" s="112">
        <v>43825</v>
      </c>
      <c r="E521" s="570"/>
      <c r="F521" s="88" t="s">
        <v>2090</v>
      </c>
      <c r="G521" s="88" t="s">
        <v>158</v>
      </c>
      <c r="H521" s="81" t="s">
        <v>220</v>
      </c>
      <c r="J521" s="75">
        <f t="shared" si="40"/>
        <v>1</v>
      </c>
      <c r="K521" s="76" t="s">
        <v>211</v>
      </c>
      <c r="L521" s="99" t="s">
        <v>2858</v>
      </c>
      <c r="Q521" s="78" t="s">
        <v>2056</v>
      </c>
      <c r="R521" s="75">
        <f t="shared" si="41"/>
        <v>1</v>
      </c>
      <c r="S521" s="263" t="s">
        <v>1991</v>
      </c>
      <c r="T521" s="263"/>
      <c r="U521" s="263"/>
      <c r="V521" s="263"/>
      <c r="W521" s="263"/>
      <c r="X521" s="263"/>
      <c r="Y521" s="575"/>
      <c r="Z521" s="575"/>
      <c r="AA521" s="576">
        <f t="shared" si="42"/>
        <v>0</v>
      </c>
      <c r="AB521" s="722"/>
    </row>
    <row r="522" spans="1:28" ht="15.75" customHeight="1" x14ac:dyDescent="0.35">
      <c r="A522" s="81" t="s">
        <v>2091</v>
      </c>
      <c r="C522" s="83">
        <v>43791</v>
      </c>
      <c r="D522" s="112">
        <v>43826</v>
      </c>
      <c r="E522" s="570"/>
      <c r="F522" s="88" t="s">
        <v>2092</v>
      </c>
      <c r="G522" s="88" t="s">
        <v>149</v>
      </c>
      <c r="H522" s="81" t="s">
        <v>220</v>
      </c>
      <c r="J522" s="75">
        <f t="shared" si="40"/>
        <v>1</v>
      </c>
      <c r="K522" s="76" t="s">
        <v>211</v>
      </c>
      <c r="L522" s="99" t="s">
        <v>2840</v>
      </c>
      <c r="Q522" s="78" t="s">
        <v>2056</v>
      </c>
      <c r="R522" s="75">
        <f t="shared" si="41"/>
        <v>1</v>
      </c>
      <c r="S522" s="263" t="s">
        <v>1991</v>
      </c>
      <c r="T522" s="263"/>
      <c r="U522" s="263"/>
      <c r="V522" s="263"/>
      <c r="W522" s="263"/>
      <c r="X522" s="263"/>
      <c r="Y522" s="575"/>
      <c r="Z522" s="575"/>
      <c r="AA522" s="576">
        <f t="shared" si="42"/>
        <v>0</v>
      </c>
      <c r="AB522" s="722"/>
    </row>
    <row r="523" spans="1:28" ht="15.75" customHeight="1" x14ac:dyDescent="0.35">
      <c r="A523" s="81" t="s">
        <v>2093</v>
      </c>
      <c r="C523" s="83">
        <v>43791</v>
      </c>
      <c r="D523" s="112">
        <v>43826</v>
      </c>
      <c r="E523" s="570"/>
      <c r="F523" s="88" t="s">
        <v>2094</v>
      </c>
      <c r="G523" s="88" t="s">
        <v>181</v>
      </c>
      <c r="H523" s="81" t="s">
        <v>220</v>
      </c>
      <c r="J523" s="75">
        <f t="shared" si="40"/>
        <v>1</v>
      </c>
      <c r="K523" s="76" t="s">
        <v>211</v>
      </c>
      <c r="L523" s="99" t="s">
        <v>2857</v>
      </c>
      <c r="Q523" s="78" t="s">
        <v>2056</v>
      </c>
      <c r="R523" s="75">
        <f t="shared" si="41"/>
        <v>1</v>
      </c>
      <c r="S523" s="263" t="s">
        <v>1991</v>
      </c>
      <c r="T523" s="263"/>
      <c r="U523" s="263"/>
      <c r="V523" s="263"/>
      <c r="W523" s="263"/>
      <c r="X523" s="263"/>
      <c r="Y523" s="575"/>
      <c r="Z523" s="575"/>
      <c r="AA523" s="576">
        <f t="shared" si="42"/>
        <v>0</v>
      </c>
      <c r="AB523" s="722"/>
    </row>
    <row r="524" spans="1:28" ht="15.75" customHeight="1" x14ac:dyDescent="0.35">
      <c r="A524" s="81" t="s">
        <v>2226</v>
      </c>
      <c r="C524" s="83">
        <v>43791</v>
      </c>
      <c r="D524" s="112">
        <v>43829</v>
      </c>
      <c r="E524" s="570"/>
      <c r="F524" s="88" t="s">
        <v>2229</v>
      </c>
      <c r="G524" s="88" t="s">
        <v>162</v>
      </c>
      <c r="H524" s="81" t="s">
        <v>220</v>
      </c>
      <c r="J524" s="75">
        <f t="shared" si="40"/>
        <v>1</v>
      </c>
      <c r="K524" s="76" t="s">
        <v>211</v>
      </c>
      <c r="Q524" s="78" t="s">
        <v>2056</v>
      </c>
      <c r="R524" s="75">
        <f t="shared" si="41"/>
        <v>1</v>
      </c>
      <c r="S524" s="263" t="s">
        <v>1991</v>
      </c>
      <c r="T524" s="263"/>
      <c r="U524" s="263"/>
      <c r="V524" s="263"/>
      <c r="W524" s="263"/>
      <c r="X524" s="263"/>
      <c r="Y524" s="575"/>
      <c r="Z524" s="575"/>
      <c r="AA524" s="576">
        <f t="shared" si="42"/>
        <v>0</v>
      </c>
      <c r="AB524" s="722"/>
    </row>
    <row r="525" spans="1:28" ht="15.75" customHeight="1" x14ac:dyDescent="0.35">
      <c r="A525" s="81" t="s">
        <v>2790</v>
      </c>
      <c r="C525" s="83">
        <v>43791</v>
      </c>
      <c r="D525" s="112">
        <v>43829</v>
      </c>
      <c r="E525" s="570"/>
      <c r="F525" s="88" t="s">
        <v>2815</v>
      </c>
      <c r="G525" s="88" t="s">
        <v>176</v>
      </c>
      <c r="H525" s="81" t="s">
        <v>220</v>
      </c>
      <c r="J525" s="75">
        <f t="shared" si="40"/>
        <v>1</v>
      </c>
      <c r="K525" s="76" t="s">
        <v>211</v>
      </c>
      <c r="Q525" s="78" t="s">
        <v>2056</v>
      </c>
      <c r="R525" s="75">
        <f t="shared" si="41"/>
        <v>1</v>
      </c>
      <c r="S525" s="263" t="s">
        <v>1991</v>
      </c>
      <c r="T525" s="263"/>
      <c r="U525" s="263"/>
      <c r="V525" s="263"/>
      <c r="W525" s="263"/>
      <c r="X525" s="263"/>
      <c r="Y525" s="575"/>
      <c r="Z525" s="575"/>
      <c r="AA525" s="576">
        <f t="shared" si="42"/>
        <v>0</v>
      </c>
      <c r="AB525" s="722"/>
    </row>
    <row r="526" spans="1:28" ht="15.75" customHeight="1" x14ac:dyDescent="0.35">
      <c r="A526" s="81" t="s">
        <v>2791</v>
      </c>
      <c r="C526" s="83">
        <v>43794</v>
      </c>
      <c r="D526" s="112">
        <v>43830</v>
      </c>
      <c r="E526" s="570"/>
      <c r="F526" s="88" t="s">
        <v>2816</v>
      </c>
      <c r="G526" s="88" t="s">
        <v>152</v>
      </c>
      <c r="H526" s="81" t="s">
        <v>220</v>
      </c>
      <c r="I526" s="98" t="s">
        <v>652</v>
      </c>
      <c r="J526" s="75">
        <f t="shared" si="40"/>
        <v>1</v>
      </c>
      <c r="K526" s="76" t="s">
        <v>211</v>
      </c>
      <c r="Q526" s="78" t="s">
        <v>2056</v>
      </c>
      <c r="R526" s="75">
        <f t="shared" si="41"/>
        <v>1</v>
      </c>
      <c r="S526" s="263" t="s">
        <v>1991</v>
      </c>
      <c r="T526" s="263"/>
      <c r="U526" s="263"/>
      <c r="V526" s="263"/>
      <c r="W526" s="263"/>
      <c r="X526" s="263"/>
      <c r="Y526" s="575"/>
      <c r="Z526" s="575"/>
      <c r="AA526" s="576">
        <f t="shared" si="42"/>
        <v>0</v>
      </c>
      <c r="AB526" s="722"/>
    </row>
    <row r="527" spans="1:28" ht="15.75" customHeight="1" x14ac:dyDescent="0.35">
      <c r="A527" s="81" t="s">
        <v>2792</v>
      </c>
      <c r="C527" s="83">
        <v>43794</v>
      </c>
      <c r="D527" s="112">
        <v>43829</v>
      </c>
      <c r="E527" s="570"/>
      <c r="F527" s="88" t="s">
        <v>2817</v>
      </c>
      <c r="G527" s="88" t="s">
        <v>162</v>
      </c>
      <c r="H527" s="81" t="s">
        <v>220</v>
      </c>
      <c r="J527" s="75">
        <f t="shared" si="40"/>
        <v>1</v>
      </c>
      <c r="K527" s="76" t="s">
        <v>211</v>
      </c>
      <c r="Q527" s="78" t="s">
        <v>2056</v>
      </c>
      <c r="R527" s="75">
        <f t="shared" si="41"/>
        <v>1</v>
      </c>
      <c r="S527" s="263" t="s">
        <v>1991</v>
      </c>
      <c r="T527" s="263"/>
      <c r="U527" s="263"/>
      <c r="V527" s="263"/>
      <c r="W527" s="263"/>
      <c r="X527" s="263"/>
      <c r="Y527" s="575"/>
      <c r="Z527" s="575"/>
      <c r="AA527" s="576">
        <f t="shared" si="42"/>
        <v>0</v>
      </c>
      <c r="AB527" s="722"/>
    </row>
    <row r="528" spans="1:28" ht="15.75" customHeight="1" x14ac:dyDescent="0.35">
      <c r="A528" s="81" t="s">
        <v>2793</v>
      </c>
      <c r="C528" s="83">
        <v>43795</v>
      </c>
      <c r="D528" s="112">
        <v>43830</v>
      </c>
      <c r="E528" s="570"/>
      <c r="F528" s="88" t="s">
        <v>2818</v>
      </c>
      <c r="G528" s="88" t="s">
        <v>158</v>
      </c>
      <c r="H528" s="81" t="s">
        <v>220</v>
      </c>
      <c r="J528" s="75">
        <f t="shared" si="40"/>
        <v>1</v>
      </c>
      <c r="K528" s="76" t="s">
        <v>211</v>
      </c>
      <c r="L528" s="88" t="s">
        <v>2839</v>
      </c>
      <c r="Q528" s="78" t="s">
        <v>2056</v>
      </c>
      <c r="R528" s="75">
        <f t="shared" si="41"/>
        <v>1</v>
      </c>
      <c r="S528" s="263" t="s">
        <v>1991</v>
      </c>
      <c r="T528" s="263"/>
      <c r="U528" s="263"/>
      <c r="V528" s="263"/>
      <c r="W528" s="263"/>
      <c r="X528" s="263"/>
      <c r="Y528" s="575"/>
      <c r="Z528" s="575"/>
      <c r="AA528" s="576">
        <f t="shared" si="42"/>
        <v>0</v>
      </c>
      <c r="AB528" s="722"/>
    </row>
    <row r="529" spans="1:28" ht="15.75" customHeight="1" x14ac:dyDescent="0.35">
      <c r="A529" s="81" t="s">
        <v>2794</v>
      </c>
      <c r="C529" s="83">
        <v>43795</v>
      </c>
      <c r="D529" s="112">
        <v>43830</v>
      </c>
      <c r="E529" s="570"/>
      <c r="F529" s="88" t="s">
        <v>2819</v>
      </c>
      <c r="G529" s="88" t="s">
        <v>152</v>
      </c>
      <c r="H529" s="81" t="s">
        <v>220</v>
      </c>
      <c r="J529" s="75">
        <f t="shared" si="40"/>
        <v>1</v>
      </c>
      <c r="K529" s="76" t="s">
        <v>211</v>
      </c>
      <c r="Q529" s="78" t="s">
        <v>2056</v>
      </c>
      <c r="R529" s="75">
        <f t="shared" si="41"/>
        <v>1</v>
      </c>
      <c r="S529" s="263" t="s">
        <v>1991</v>
      </c>
      <c r="T529" s="263"/>
      <c r="U529" s="263"/>
      <c r="V529" s="263"/>
      <c r="W529" s="263"/>
      <c r="X529" s="263"/>
      <c r="Y529" s="575"/>
      <c r="Z529" s="575"/>
      <c r="AA529" s="576">
        <f t="shared" si="42"/>
        <v>0</v>
      </c>
      <c r="AB529" s="722"/>
    </row>
    <row r="530" spans="1:28" ht="15.75" customHeight="1" x14ac:dyDescent="0.35">
      <c r="A530" s="81" t="s">
        <v>2795</v>
      </c>
      <c r="C530" s="83">
        <v>43802</v>
      </c>
      <c r="D530" s="112">
        <v>43823</v>
      </c>
      <c r="E530" s="570"/>
      <c r="F530" s="88" t="s">
        <v>2820</v>
      </c>
      <c r="G530" s="88" t="s">
        <v>162</v>
      </c>
      <c r="H530" s="81" t="s">
        <v>220</v>
      </c>
      <c r="I530" s="98" t="s">
        <v>656</v>
      </c>
      <c r="J530" s="75">
        <f t="shared" si="40"/>
        <v>1</v>
      </c>
      <c r="K530" s="76" t="s">
        <v>211</v>
      </c>
      <c r="L530" s="99" t="s">
        <v>2847</v>
      </c>
      <c r="N530" s="78" t="s">
        <v>19</v>
      </c>
      <c r="Q530" s="78" t="s">
        <v>2056</v>
      </c>
      <c r="R530" s="75">
        <f t="shared" si="41"/>
        <v>1</v>
      </c>
      <c r="S530" s="263" t="s">
        <v>1991</v>
      </c>
      <c r="T530" s="263"/>
      <c r="U530" s="263"/>
      <c r="V530" s="263"/>
      <c r="W530" s="263"/>
      <c r="X530" s="263"/>
      <c r="Y530" s="575"/>
      <c r="Z530" s="575"/>
      <c r="AA530" s="576">
        <f t="shared" si="42"/>
        <v>0</v>
      </c>
      <c r="AB530" s="722"/>
    </row>
    <row r="531" spans="1:28" ht="15.75" customHeight="1" x14ac:dyDescent="0.35">
      <c r="A531" s="81" t="s">
        <v>2796</v>
      </c>
      <c r="C531" s="83">
        <v>43802</v>
      </c>
      <c r="D531" s="112">
        <v>43823</v>
      </c>
      <c r="E531" s="570"/>
      <c r="F531" s="88" t="s">
        <v>2821</v>
      </c>
      <c r="G531" s="88" t="s">
        <v>417</v>
      </c>
      <c r="H531" s="81" t="s">
        <v>220</v>
      </c>
      <c r="I531" s="98" t="s">
        <v>656</v>
      </c>
      <c r="J531" s="75">
        <f t="shared" si="40"/>
        <v>1</v>
      </c>
      <c r="K531" s="76" t="s">
        <v>211</v>
      </c>
      <c r="L531" s="99" t="s">
        <v>2838</v>
      </c>
      <c r="Q531" s="304" t="s">
        <v>2056</v>
      </c>
      <c r="R531" s="75">
        <f t="shared" si="41"/>
        <v>1</v>
      </c>
      <c r="S531" s="263" t="s">
        <v>1991</v>
      </c>
      <c r="T531" s="263"/>
      <c r="U531" s="263"/>
      <c r="V531" s="263"/>
      <c r="W531" s="263"/>
      <c r="X531" s="263"/>
      <c r="Y531" s="575"/>
      <c r="Z531" s="575"/>
      <c r="AA531" s="576">
        <f t="shared" si="42"/>
        <v>0</v>
      </c>
      <c r="AB531" s="722"/>
    </row>
    <row r="532" spans="1:28" ht="15.75" customHeight="1" x14ac:dyDescent="0.35">
      <c r="A532" s="98" t="s">
        <v>2800</v>
      </c>
      <c r="C532" s="83">
        <v>43803</v>
      </c>
      <c r="D532" s="112">
        <v>43846</v>
      </c>
      <c r="E532" s="570"/>
      <c r="F532" s="88" t="s">
        <v>2825</v>
      </c>
      <c r="G532" s="88" t="s">
        <v>176</v>
      </c>
      <c r="H532" s="81" t="s">
        <v>220</v>
      </c>
      <c r="I532" s="98" t="s">
        <v>3300</v>
      </c>
      <c r="J532" s="75">
        <f t="shared" si="40"/>
        <v>1</v>
      </c>
      <c r="K532" s="76" t="s">
        <v>211</v>
      </c>
      <c r="N532" s="78" t="s">
        <v>17</v>
      </c>
      <c r="Q532" s="304" t="s">
        <v>2447</v>
      </c>
      <c r="R532" s="75">
        <f t="shared" si="41"/>
        <v>1</v>
      </c>
      <c r="S532" s="263" t="s">
        <v>1991</v>
      </c>
      <c r="T532" s="263"/>
      <c r="U532" s="263"/>
      <c r="V532" s="263"/>
      <c r="W532" s="263"/>
      <c r="X532" s="263"/>
      <c r="Y532" s="575"/>
      <c r="Z532" s="575"/>
      <c r="AA532" s="576">
        <f t="shared" si="42"/>
        <v>0</v>
      </c>
      <c r="AB532" s="722"/>
    </row>
    <row r="533" spans="1:28" ht="15.75" customHeight="1" x14ac:dyDescent="0.35">
      <c r="A533" s="81" t="s">
        <v>2802</v>
      </c>
      <c r="C533" s="83">
        <v>43803</v>
      </c>
      <c r="D533" s="112">
        <v>43824</v>
      </c>
      <c r="E533" s="570"/>
      <c r="F533" s="88" t="s">
        <v>2827</v>
      </c>
      <c r="G533" s="88" t="s">
        <v>149</v>
      </c>
      <c r="H533" s="81" t="s">
        <v>220</v>
      </c>
      <c r="J533" s="75">
        <f t="shared" si="40"/>
        <v>1</v>
      </c>
      <c r="K533" s="76" t="s">
        <v>211</v>
      </c>
      <c r="Q533" s="78" t="s">
        <v>2056</v>
      </c>
      <c r="R533" s="75">
        <f t="shared" si="41"/>
        <v>1</v>
      </c>
      <c r="S533" s="263" t="s">
        <v>1991</v>
      </c>
      <c r="T533" s="263"/>
      <c r="U533" s="263"/>
      <c r="V533" s="263"/>
      <c r="W533" s="263"/>
      <c r="X533" s="263"/>
      <c r="Y533" s="575"/>
      <c r="Z533" s="575"/>
      <c r="AA533" s="576">
        <f t="shared" si="42"/>
        <v>0</v>
      </c>
      <c r="AB533" s="722"/>
    </row>
    <row r="534" spans="1:28" ht="15.75" customHeight="1" x14ac:dyDescent="0.35">
      <c r="A534" s="81" t="s">
        <v>2805</v>
      </c>
      <c r="C534" s="83">
        <v>43804</v>
      </c>
      <c r="D534" s="112">
        <v>43826</v>
      </c>
      <c r="E534" s="570"/>
      <c r="F534" s="88" t="s">
        <v>2830</v>
      </c>
      <c r="G534" s="88" t="s">
        <v>156</v>
      </c>
      <c r="H534" s="81" t="s">
        <v>220</v>
      </c>
      <c r="J534" s="75">
        <f t="shared" ref="J534:J580" si="43">IF(OR(K534="Документы готовы",K534="Запрос в ФО",K534="ЭЗ",K534="РЕШ",K534="РЕШ шаблон"),0.1,IF(OR(K534="ЭЗ согласование",K534="РЕШ согласование"),0.3,IF(OR(K534="ЭЗ согласовано",K534="РЕШ согласовано",K534="РЕШ подписано"),0.6,IF(OR(K534="ЭЗ ПР согласование",K534="РЕШ УВ согласование"),0.9,IF(OR(K534="ЭЗ ПР DONE",K534="РЕШ УВ DONE"),1,0)))))</f>
        <v>1</v>
      </c>
      <c r="K534" s="76" t="s">
        <v>211</v>
      </c>
      <c r="L534" s="99" t="s">
        <v>2860</v>
      </c>
      <c r="Q534" s="78" t="s">
        <v>2056</v>
      </c>
      <c r="R534" s="75">
        <f t="shared" ref="R534:R580" si="44">IF(S534="В работе",0.3,IF(S534="Отписано",0.6,IF(S534="На доработку",0.9,IF(S534="Согласовано",1,0))))</f>
        <v>1</v>
      </c>
      <c r="S534" s="263" t="s">
        <v>1991</v>
      </c>
      <c r="T534" s="263"/>
      <c r="U534" s="263"/>
      <c r="V534" s="263"/>
      <c r="W534" s="263"/>
      <c r="X534" s="263"/>
      <c r="Y534" s="575"/>
      <c r="Z534" s="575"/>
      <c r="AA534" s="576">
        <f t="shared" si="42"/>
        <v>0</v>
      </c>
      <c r="AB534" s="722"/>
    </row>
    <row r="535" spans="1:28" ht="15.75" customHeight="1" x14ac:dyDescent="0.35">
      <c r="A535" s="98" t="s">
        <v>2807</v>
      </c>
      <c r="C535" s="83">
        <v>43804</v>
      </c>
      <c r="D535" s="112">
        <v>43847</v>
      </c>
      <c r="E535" s="570"/>
      <c r="F535" s="88" t="s">
        <v>2832</v>
      </c>
      <c r="G535" s="88" t="s">
        <v>149</v>
      </c>
      <c r="H535" s="81" t="s">
        <v>275</v>
      </c>
      <c r="I535" s="98" t="s">
        <v>722</v>
      </c>
      <c r="J535" s="75">
        <f t="shared" si="43"/>
        <v>1</v>
      </c>
      <c r="K535" s="76" t="s">
        <v>211</v>
      </c>
      <c r="L535" s="99" t="s">
        <v>3470</v>
      </c>
      <c r="N535" s="78" t="s">
        <v>17</v>
      </c>
      <c r="Q535" s="304" t="s">
        <v>2163</v>
      </c>
      <c r="R535" s="75">
        <f t="shared" si="44"/>
        <v>1</v>
      </c>
      <c r="S535" s="263" t="s">
        <v>1991</v>
      </c>
      <c r="T535" s="263"/>
      <c r="U535" s="263"/>
      <c r="V535" s="263"/>
      <c r="W535" s="263"/>
      <c r="X535" s="263"/>
      <c r="Y535" s="575"/>
      <c r="Z535" s="575"/>
      <c r="AA535" s="576">
        <f t="shared" si="42"/>
        <v>0</v>
      </c>
      <c r="AB535" s="722"/>
    </row>
    <row r="536" spans="1:28" ht="15.75" customHeight="1" x14ac:dyDescent="0.35">
      <c r="A536" s="81" t="s">
        <v>2808</v>
      </c>
      <c r="C536" s="83">
        <v>43804</v>
      </c>
      <c r="D536" s="112">
        <v>43825</v>
      </c>
      <c r="E536" s="570"/>
      <c r="F536" s="88" t="s">
        <v>2833</v>
      </c>
      <c r="G536" s="88" t="s">
        <v>176</v>
      </c>
      <c r="H536" s="81" t="s">
        <v>220</v>
      </c>
      <c r="J536" s="75">
        <f t="shared" si="43"/>
        <v>1</v>
      </c>
      <c r="K536" s="76" t="s">
        <v>211</v>
      </c>
      <c r="L536" s="99" t="s">
        <v>2840</v>
      </c>
      <c r="Q536" s="78" t="s">
        <v>2056</v>
      </c>
      <c r="R536" s="75">
        <f t="shared" si="44"/>
        <v>1</v>
      </c>
      <c r="S536" s="263" t="s">
        <v>1991</v>
      </c>
      <c r="T536" s="263"/>
      <c r="U536" s="263"/>
      <c r="V536" s="263"/>
      <c r="W536" s="263"/>
      <c r="X536" s="263"/>
      <c r="Y536" s="575"/>
      <c r="Z536" s="575"/>
      <c r="AA536" s="576">
        <f t="shared" si="42"/>
        <v>0</v>
      </c>
      <c r="AB536" s="722"/>
    </row>
    <row r="537" spans="1:28" ht="15.75" customHeight="1" x14ac:dyDescent="0.35">
      <c r="A537" s="81" t="s">
        <v>2811</v>
      </c>
      <c r="C537" s="83">
        <v>43808</v>
      </c>
      <c r="D537" s="112">
        <v>43829</v>
      </c>
      <c r="E537" s="570"/>
      <c r="F537" s="88" t="s">
        <v>2836</v>
      </c>
      <c r="G537" s="88" t="s">
        <v>154</v>
      </c>
      <c r="H537" s="81" t="s">
        <v>220</v>
      </c>
      <c r="J537" s="75">
        <f t="shared" si="43"/>
        <v>1</v>
      </c>
      <c r="K537" s="76" t="s">
        <v>211</v>
      </c>
      <c r="Q537" s="78" t="s">
        <v>2056</v>
      </c>
      <c r="R537" s="75">
        <f t="shared" si="44"/>
        <v>1</v>
      </c>
      <c r="S537" s="263" t="s">
        <v>1991</v>
      </c>
      <c r="T537" s="263"/>
      <c r="U537" s="263"/>
      <c r="V537" s="263"/>
      <c r="W537" s="263"/>
      <c r="X537" s="263"/>
      <c r="Y537" s="575"/>
      <c r="Z537" s="575"/>
      <c r="AA537" s="576">
        <f t="shared" si="42"/>
        <v>0</v>
      </c>
      <c r="AB537" s="722"/>
    </row>
    <row r="538" spans="1:28" ht="15.75" customHeight="1" x14ac:dyDescent="0.35">
      <c r="A538" s="81" t="s">
        <v>2812</v>
      </c>
      <c r="C538" s="83">
        <v>43808</v>
      </c>
      <c r="D538" s="112">
        <v>43829</v>
      </c>
      <c r="E538" s="570"/>
      <c r="F538" s="88" t="s">
        <v>2837</v>
      </c>
      <c r="G538" s="88" t="s">
        <v>154</v>
      </c>
      <c r="H538" s="81" t="s">
        <v>220</v>
      </c>
      <c r="J538" s="75">
        <f t="shared" si="43"/>
        <v>1</v>
      </c>
      <c r="K538" s="76" t="s">
        <v>211</v>
      </c>
      <c r="Q538" s="78" t="s">
        <v>2056</v>
      </c>
      <c r="R538" s="75">
        <f t="shared" si="44"/>
        <v>1</v>
      </c>
      <c r="S538" s="263" t="s">
        <v>1991</v>
      </c>
      <c r="T538" s="263"/>
      <c r="U538" s="263"/>
      <c r="V538" s="263"/>
      <c r="W538" s="263"/>
      <c r="X538" s="263"/>
      <c r="Y538" s="575"/>
      <c r="Z538" s="575"/>
      <c r="AA538" s="576">
        <f t="shared" si="42"/>
        <v>0</v>
      </c>
      <c r="AB538" s="722"/>
    </row>
    <row r="539" spans="1:28" ht="15.75" customHeight="1" x14ac:dyDescent="0.35">
      <c r="A539" s="98" t="s">
        <v>2843</v>
      </c>
      <c r="C539" s="83">
        <v>43787</v>
      </c>
      <c r="D539" s="112">
        <v>43823</v>
      </c>
      <c r="E539" s="570"/>
      <c r="F539" s="99" t="s">
        <v>2844</v>
      </c>
      <c r="G539" s="99" t="s">
        <v>149</v>
      </c>
      <c r="H539" s="98" t="s">
        <v>220</v>
      </c>
      <c r="J539" s="75">
        <f t="shared" si="43"/>
        <v>1</v>
      </c>
      <c r="K539" s="76" t="s">
        <v>211</v>
      </c>
      <c r="L539" s="99" t="s">
        <v>2845</v>
      </c>
      <c r="Q539" s="304" t="s">
        <v>2447</v>
      </c>
      <c r="R539" s="75">
        <f t="shared" si="44"/>
        <v>1</v>
      </c>
      <c r="S539" s="263" t="s">
        <v>1991</v>
      </c>
      <c r="T539" s="263"/>
      <c r="U539" s="263"/>
      <c r="V539" s="263"/>
      <c r="W539" s="263"/>
      <c r="X539" s="263"/>
      <c r="Y539" s="575"/>
      <c r="Z539" s="575"/>
      <c r="AA539" s="576">
        <f t="shared" si="42"/>
        <v>0</v>
      </c>
      <c r="AB539" s="722"/>
    </row>
    <row r="540" spans="1:28" ht="15.75" customHeight="1" x14ac:dyDescent="0.35">
      <c r="A540" s="98" t="s">
        <v>2848</v>
      </c>
      <c r="C540" s="83">
        <v>43789</v>
      </c>
      <c r="D540" s="112">
        <v>43824</v>
      </c>
      <c r="E540" s="570"/>
      <c r="F540" s="99" t="s">
        <v>2849</v>
      </c>
      <c r="G540" s="99" t="s">
        <v>186</v>
      </c>
      <c r="H540" s="98" t="s">
        <v>220</v>
      </c>
      <c r="J540" s="75">
        <f t="shared" si="43"/>
        <v>1</v>
      </c>
      <c r="K540" s="76" t="s">
        <v>211</v>
      </c>
      <c r="Q540" s="78" t="s">
        <v>2447</v>
      </c>
      <c r="R540" s="75">
        <f t="shared" si="44"/>
        <v>1</v>
      </c>
      <c r="S540" s="263" t="s">
        <v>1991</v>
      </c>
      <c r="T540" s="263"/>
      <c r="U540" s="263"/>
      <c r="V540" s="263"/>
      <c r="W540" s="263"/>
      <c r="X540" s="263"/>
      <c r="Y540" s="575"/>
      <c r="Z540" s="575"/>
      <c r="AA540" s="576">
        <f t="shared" si="42"/>
        <v>0</v>
      </c>
      <c r="AB540" s="722"/>
    </row>
    <row r="541" spans="1:28" ht="15.75" customHeight="1" x14ac:dyDescent="0.35">
      <c r="A541" s="98" t="s">
        <v>2850</v>
      </c>
      <c r="C541" s="83">
        <v>43802</v>
      </c>
      <c r="D541" s="112">
        <v>43824</v>
      </c>
      <c r="E541" s="570"/>
      <c r="F541" s="99" t="s">
        <v>2851</v>
      </c>
      <c r="G541" s="99" t="s">
        <v>154</v>
      </c>
      <c r="H541" s="98" t="s">
        <v>220</v>
      </c>
      <c r="J541" s="75">
        <f t="shared" si="43"/>
        <v>1</v>
      </c>
      <c r="K541" s="76" t="s">
        <v>211</v>
      </c>
      <c r="Q541" s="78" t="s">
        <v>2447</v>
      </c>
      <c r="R541" s="75">
        <f t="shared" si="44"/>
        <v>1</v>
      </c>
      <c r="S541" s="263" t="s">
        <v>1991</v>
      </c>
      <c r="T541" s="263"/>
      <c r="U541" s="263"/>
      <c r="V541" s="263"/>
      <c r="W541" s="263"/>
      <c r="X541" s="263"/>
      <c r="Y541" s="575"/>
      <c r="Z541" s="575"/>
      <c r="AA541" s="576">
        <f t="shared" si="42"/>
        <v>0</v>
      </c>
      <c r="AB541" s="722"/>
    </row>
    <row r="542" spans="1:28" ht="15.75" customHeight="1" x14ac:dyDescent="0.35">
      <c r="A542" s="98" t="s">
        <v>2852</v>
      </c>
      <c r="C542" s="83">
        <v>43803</v>
      </c>
      <c r="D542" s="112">
        <v>43824</v>
      </c>
      <c r="E542" s="570"/>
      <c r="F542" s="99" t="s">
        <v>2853</v>
      </c>
      <c r="G542" s="99" t="s">
        <v>162</v>
      </c>
      <c r="H542" s="98" t="s">
        <v>220</v>
      </c>
      <c r="J542" s="75">
        <f t="shared" si="43"/>
        <v>1</v>
      </c>
      <c r="K542" s="76" t="s">
        <v>211</v>
      </c>
      <c r="Q542" s="304" t="s">
        <v>2447</v>
      </c>
      <c r="R542" s="75">
        <f t="shared" si="44"/>
        <v>1</v>
      </c>
      <c r="S542" s="263" t="s">
        <v>1991</v>
      </c>
      <c r="T542" s="263"/>
      <c r="U542" s="263"/>
      <c r="V542" s="263"/>
      <c r="W542" s="263"/>
      <c r="X542" s="263"/>
      <c r="Y542" s="575"/>
      <c r="Z542" s="575"/>
      <c r="AA542" s="576">
        <f t="shared" si="42"/>
        <v>0</v>
      </c>
      <c r="AB542" s="722"/>
    </row>
    <row r="543" spans="1:28" ht="15.75" customHeight="1" x14ac:dyDescent="0.35">
      <c r="A543" s="98" t="s">
        <v>2863</v>
      </c>
      <c r="C543" s="83">
        <v>43804</v>
      </c>
      <c r="D543" s="112">
        <v>43825</v>
      </c>
      <c r="E543" s="570"/>
      <c r="F543" s="99" t="s">
        <v>2866</v>
      </c>
      <c r="G543" s="99" t="s">
        <v>156</v>
      </c>
      <c r="H543" s="98" t="s">
        <v>220</v>
      </c>
      <c r="I543" s="98" t="s">
        <v>2869</v>
      </c>
      <c r="J543" s="75">
        <f t="shared" si="43"/>
        <v>1</v>
      </c>
      <c r="K543" s="76" t="s">
        <v>211</v>
      </c>
      <c r="L543" s="99" t="s">
        <v>2870</v>
      </c>
      <c r="N543" s="78" t="s">
        <v>18</v>
      </c>
      <c r="Q543" s="78" t="s">
        <v>2447</v>
      </c>
      <c r="R543" s="75">
        <f t="shared" si="44"/>
        <v>1</v>
      </c>
      <c r="S543" s="263" t="s">
        <v>1991</v>
      </c>
      <c r="T543" s="263"/>
      <c r="U543" s="263"/>
      <c r="V543" s="263"/>
      <c r="W543" s="263"/>
      <c r="X543" s="263"/>
      <c r="Y543" s="575"/>
      <c r="Z543" s="575"/>
      <c r="AA543" s="576">
        <f t="shared" si="42"/>
        <v>0</v>
      </c>
      <c r="AB543" s="722"/>
    </row>
    <row r="544" spans="1:28" ht="15.75" customHeight="1" x14ac:dyDescent="0.35">
      <c r="A544" s="98" t="s">
        <v>2864</v>
      </c>
      <c r="C544" s="83">
        <v>43789</v>
      </c>
      <c r="D544" s="112">
        <v>43825</v>
      </c>
      <c r="E544" s="570"/>
      <c r="F544" s="99" t="s">
        <v>2867</v>
      </c>
      <c r="G544" s="99" t="s">
        <v>152</v>
      </c>
      <c r="H544" s="98" t="s">
        <v>220</v>
      </c>
      <c r="J544" s="75">
        <f t="shared" si="43"/>
        <v>1</v>
      </c>
      <c r="K544" s="76" t="s">
        <v>211</v>
      </c>
      <c r="Q544" s="304" t="s">
        <v>2447</v>
      </c>
      <c r="R544" s="75">
        <f t="shared" si="44"/>
        <v>1</v>
      </c>
      <c r="S544" s="263" t="s">
        <v>1991</v>
      </c>
      <c r="T544" s="263"/>
      <c r="U544" s="263"/>
      <c r="V544" s="263"/>
      <c r="W544" s="263"/>
      <c r="X544" s="263"/>
      <c r="Y544" s="575"/>
      <c r="Z544" s="575"/>
      <c r="AA544" s="576">
        <f t="shared" si="42"/>
        <v>0</v>
      </c>
      <c r="AB544" s="722"/>
    </row>
    <row r="545" spans="1:28" ht="15.75" customHeight="1" x14ac:dyDescent="0.35">
      <c r="A545" s="98" t="s">
        <v>2865</v>
      </c>
      <c r="C545" s="83">
        <v>43767</v>
      </c>
      <c r="D545" s="112">
        <v>43825</v>
      </c>
      <c r="E545" s="570"/>
      <c r="F545" s="99" t="s">
        <v>2868</v>
      </c>
      <c r="G545" s="99" t="s">
        <v>154</v>
      </c>
      <c r="H545" s="98" t="s">
        <v>220</v>
      </c>
      <c r="J545" s="75">
        <f t="shared" si="43"/>
        <v>1</v>
      </c>
      <c r="K545" s="76" t="s">
        <v>211</v>
      </c>
      <c r="Q545" s="78" t="s">
        <v>2447</v>
      </c>
      <c r="R545" s="75">
        <f t="shared" si="44"/>
        <v>1</v>
      </c>
      <c r="S545" s="263" t="s">
        <v>1991</v>
      </c>
      <c r="T545" s="263"/>
      <c r="U545" s="263"/>
      <c r="V545" s="263"/>
      <c r="W545" s="263"/>
      <c r="X545" s="263"/>
      <c r="Y545" s="575"/>
      <c r="Z545" s="575"/>
      <c r="AA545" s="576">
        <f t="shared" si="42"/>
        <v>0</v>
      </c>
      <c r="AB545" s="722"/>
    </row>
    <row r="546" spans="1:28" ht="15.75" customHeight="1" x14ac:dyDescent="0.35">
      <c r="A546" s="98" t="s">
        <v>2871</v>
      </c>
      <c r="C546" s="83">
        <v>43804</v>
      </c>
      <c r="D546" s="112">
        <v>43825</v>
      </c>
      <c r="E546" s="570"/>
      <c r="F546" s="99" t="s">
        <v>2872</v>
      </c>
      <c r="G546" s="99" t="s">
        <v>162</v>
      </c>
      <c r="H546" s="98" t="s">
        <v>220</v>
      </c>
      <c r="J546" s="75">
        <f t="shared" si="43"/>
        <v>1</v>
      </c>
      <c r="K546" s="76" t="s">
        <v>211</v>
      </c>
      <c r="Q546" s="304" t="s">
        <v>2447</v>
      </c>
      <c r="R546" s="75">
        <f t="shared" si="44"/>
        <v>1</v>
      </c>
      <c r="S546" s="263" t="s">
        <v>1991</v>
      </c>
      <c r="T546" s="263"/>
      <c r="U546" s="263"/>
      <c r="V546" s="263"/>
      <c r="W546" s="263"/>
      <c r="X546" s="263"/>
      <c r="Y546" s="575"/>
      <c r="Z546" s="575"/>
      <c r="AA546" s="576">
        <f t="shared" si="42"/>
        <v>0</v>
      </c>
      <c r="AB546" s="722"/>
    </row>
    <row r="547" spans="1:28" ht="15.75" customHeight="1" x14ac:dyDescent="0.35">
      <c r="A547" s="98" t="s">
        <v>2873</v>
      </c>
      <c r="C547" s="83">
        <v>43791</v>
      </c>
      <c r="D547" s="112">
        <v>43826</v>
      </c>
      <c r="E547" s="570"/>
      <c r="F547" s="99" t="s">
        <v>2874</v>
      </c>
      <c r="G547" s="99" t="s">
        <v>162</v>
      </c>
      <c r="H547" s="98" t="s">
        <v>220</v>
      </c>
      <c r="J547" s="75">
        <f t="shared" si="43"/>
        <v>1</v>
      </c>
      <c r="K547" s="76" t="s">
        <v>211</v>
      </c>
      <c r="Q547" s="304" t="s">
        <v>2447</v>
      </c>
      <c r="R547" s="75">
        <f t="shared" si="44"/>
        <v>1</v>
      </c>
      <c r="S547" s="263" t="s">
        <v>1991</v>
      </c>
      <c r="T547" s="263"/>
      <c r="U547" s="263"/>
      <c r="V547" s="263"/>
      <c r="W547" s="263"/>
      <c r="X547" s="263"/>
      <c r="Y547" s="575"/>
      <c r="Z547" s="575"/>
      <c r="AA547" s="576">
        <f t="shared" si="42"/>
        <v>0</v>
      </c>
      <c r="AB547" s="722"/>
    </row>
    <row r="548" spans="1:28" ht="15.75" customHeight="1" x14ac:dyDescent="0.35">
      <c r="A548" s="98" t="s">
        <v>2876</v>
      </c>
      <c r="C548" s="83">
        <v>43805</v>
      </c>
      <c r="D548" s="112">
        <v>43826</v>
      </c>
      <c r="E548" s="570"/>
      <c r="F548" s="99" t="s">
        <v>2877</v>
      </c>
      <c r="G548" s="99" t="s">
        <v>176</v>
      </c>
      <c r="H548" s="98" t="s">
        <v>220</v>
      </c>
      <c r="J548" s="75">
        <f t="shared" si="43"/>
        <v>1</v>
      </c>
      <c r="K548" s="76" t="s">
        <v>211</v>
      </c>
      <c r="Q548" s="78" t="s">
        <v>2447</v>
      </c>
      <c r="R548" s="75">
        <f t="shared" si="44"/>
        <v>1</v>
      </c>
      <c r="S548" s="263" t="s">
        <v>1991</v>
      </c>
      <c r="T548" s="263"/>
      <c r="U548" s="263"/>
      <c r="V548" s="263"/>
      <c r="W548" s="263"/>
      <c r="X548" s="263"/>
      <c r="Y548" s="575"/>
      <c r="Z548" s="575"/>
      <c r="AA548" s="576">
        <f t="shared" si="42"/>
        <v>0</v>
      </c>
      <c r="AB548" s="722"/>
    </row>
    <row r="549" spans="1:28" ht="15.75" customHeight="1" x14ac:dyDescent="0.35">
      <c r="A549" s="98" t="s">
        <v>2883</v>
      </c>
      <c r="C549" s="83">
        <v>43791</v>
      </c>
      <c r="D549" s="112">
        <v>43829</v>
      </c>
      <c r="E549" s="570"/>
      <c r="F549" s="99" t="s">
        <v>2884</v>
      </c>
      <c r="G549" s="99" t="s">
        <v>152</v>
      </c>
      <c r="H549" s="98" t="s">
        <v>220</v>
      </c>
      <c r="J549" s="75">
        <f t="shared" si="43"/>
        <v>1</v>
      </c>
      <c r="K549" s="76" t="s">
        <v>211</v>
      </c>
      <c r="Q549" s="304" t="s">
        <v>2447</v>
      </c>
      <c r="R549" s="75">
        <f t="shared" si="44"/>
        <v>1</v>
      </c>
      <c r="S549" s="263" t="s">
        <v>1991</v>
      </c>
      <c r="T549" s="263"/>
      <c r="U549" s="263"/>
      <c r="V549" s="263"/>
      <c r="W549" s="263"/>
      <c r="X549" s="263"/>
      <c r="Y549" s="575"/>
      <c r="Z549" s="575"/>
      <c r="AA549" s="576">
        <f t="shared" si="42"/>
        <v>0</v>
      </c>
      <c r="AB549" s="722"/>
    </row>
    <row r="550" spans="1:28" ht="15.75" customHeight="1" x14ac:dyDescent="0.35">
      <c r="A550" s="98" t="s">
        <v>2888</v>
      </c>
      <c r="C550" s="83">
        <v>43808</v>
      </c>
      <c r="D550" s="112">
        <v>43830</v>
      </c>
      <c r="E550" s="570"/>
      <c r="F550" s="99" t="s">
        <v>2889</v>
      </c>
      <c r="G550" s="99" t="s">
        <v>158</v>
      </c>
      <c r="H550" s="98" t="s">
        <v>220</v>
      </c>
      <c r="J550" s="75">
        <f t="shared" si="43"/>
        <v>1</v>
      </c>
      <c r="K550" s="76" t="s">
        <v>211</v>
      </c>
      <c r="Q550" s="78" t="s">
        <v>2447</v>
      </c>
      <c r="R550" s="75">
        <f t="shared" si="44"/>
        <v>1</v>
      </c>
      <c r="S550" s="263" t="s">
        <v>1991</v>
      </c>
      <c r="T550" s="263"/>
      <c r="U550" s="263"/>
      <c r="V550" s="263"/>
      <c r="W550" s="263"/>
      <c r="X550" s="263"/>
      <c r="Y550" s="575"/>
      <c r="Z550" s="575"/>
      <c r="AA550" s="576">
        <f t="shared" si="42"/>
        <v>0</v>
      </c>
      <c r="AB550" s="722"/>
    </row>
    <row r="551" spans="1:28" ht="15.75" customHeight="1" x14ac:dyDescent="0.35">
      <c r="A551" s="98" t="s">
        <v>2890</v>
      </c>
      <c r="C551" s="83">
        <v>43808</v>
      </c>
      <c r="D551" s="112">
        <v>43830</v>
      </c>
      <c r="E551" s="570"/>
      <c r="F551" s="99" t="s">
        <v>2891</v>
      </c>
      <c r="G551" s="99" t="s">
        <v>154</v>
      </c>
      <c r="H551" s="98" t="s">
        <v>220</v>
      </c>
      <c r="J551" s="75">
        <f t="shared" si="43"/>
        <v>1</v>
      </c>
      <c r="K551" s="76" t="s">
        <v>211</v>
      </c>
      <c r="Q551" s="304" t="s">
        <v>2447</v>
      </c>
      <c r="R551" s="75">
        <f t="shared" si="44"/>
        <v>1</v>
      </c>
      <c r="S551" s="263" t="s">
        <v>1991</v>
      </c>
      <c r="T551" s="263"/>
      <c r="U551" s="263"/>
      <c r="V551" s="263"/>
      <c r="W551" s="263"/>
      <c r="X551" s="263"/>
      <c r="Y551" s="575"/>
      <c r="Z551" s="575"/>
      <c r="AA551" s="576">
        <f t="shared" si="42"/>
        <v>0</v>
      </c>
      <c r="AB551" s="722"/>
    </row>
    <row r="552" spans="1:28" ht="15.75" customHeight="1" x14ac:dyDescent="0.35">
      <c r="A552" s="98" t="s">
        <v>2898</v>
      </c>
      <c r="C552" s="83">
        <v>43791</v>
      </c>
      <c r="D552" s="112">
        <v>43829</v>
      </c>
      <c r="E552" s="570"/>
      <c r="F552" s="99" t="s">
        <v>2899</v>
      </c>
      <c r="G552" s="99" t="s">
        <v>179</v>
      </c>
      <c r="H552" s="98" t="s">
        <v>220</v>
      </c>
      <c r="I552" s="98" t="s">
        <v>1293</v>
      </c>
      <c r="J552" s="75">
        <f t="shared" si="43"/>
        <v>1</v>
      </c>
      <c r="K552" s="76" t="s">
        <v>211</v>
      </c>
      <c r="L552" s="99" t="s">
        <v>2900</v>
      </c>
      <c r="N552" s="78" t="s">
        <v>19</v>
      </c>
      <c r="Q552" s="78" t="s">
        <v>2447</v>
      </c>
      <c r="R552" s="75">
        <f t="shared" si="44"/>
        <v>1</v>
      </c>
      <c r="S552" s="263" t="s">
        <v>1991</v>
      </c>
      <c r="T552" s="263"/>
      <c r="U552" s="263"/>
      <c r="V552" s="263"/>
      <c r="W552" s="263"/>
      <c r="X552" s="263"/>
      <c r="Y552" s="575"/>
      <c r="Z552" s="575"/>
      <c r="AA552" s="576">
        <f t="shared" si="42"/>
        <v>0</v>
      </c>
      <c r="AB552" s="722"/>
    </row>
    <row r="553" spans="1:28" ht="15.75" customHeight="1" x14ac:dyDescent="0.35">
      <c r="A553" s="98" t="s">
        <v>2902</v>
      </c>
      <c r="C553" s="83">
        <v>43808</v>
      </c>
      <c r="D553" s="112">
        <v>43830</v>
      </c>
      <c r="E553" s="570"/>
      <c r="F553" s="99" t="s">
        <v>2903</v>
      </c>
      <c r="G553" s="99" t="s">
        <v>158</v>
      </c>
      <c r="H553" s="98" t="s">
        <v>220</v>
      </c>
      <c r="J553" s="75">
        <f t="shared" si="43"/>
        <v>1</v>
      </c>
      <c r="K553" s="76" t="s">
        <v>211</v>
      </c>
      <c r="Q553" s="78" t="s">
        <v>2447</v>
      </c>
      <c r="R553" s="75">
        <f t="shared" si="44"/>
        <v>1</v>
      </c>
      <c r="S553" s="263" t="s">
        <v>1991</v>
      </c>
      <c r="T553" s="263"/>
      <c r="U553" s="263"/>
      <c r="V553" s="263"/>
      <c r="W553" s="263"/>
      <c r="X553" s="263"/>
      <c r="Y553" s="575"/>
      <c r="Z553" s="575"/>
      <c r="AA553" s="576">
        <f t="shared" si="42"/>
        <v>0</v>
      </c>
      <c r="AB553" s="722"/>
    </row>
    <row r="554" spans="1:28" ht="15.75" customHeight="1" x14ac:dyDescent="0.35">
      <c r="A554" s="98" t="s">
        <v>2906</v>
      </c>
      <c r="C554" s="83">
        <v>43809</v>
      </c>
      <c r="D554" s="112">
        <v>43830</v>
      </c>
      <c r="E554" s="570"/>
      <c r="F554" s="99" t="s">
        <v>2907</v>
      </c>
      <c r="G554" s="99" t="s">
        <v>149</v>
      </c>
      <c r="H554" s="98" t="s">
        <v>220</v>
      </c>
      <c r="J554" s="75">
        <f t="shared" si="43"/>
        <v>1</v>
      </c>
      <c r="K554" s="76" t="s">
        <v>211</v>
      </c>
      <c r="Q554" s="304" t="s">
        <v>2056</v>
      </c>
      <c r="R554" s="75">
        <f t="shared" si="44"/>
        <v>1</v>
      </c>
      <c r="S554" s="263" t="s">
        <v>1991</v>
      </c>
      <c r="T554" s="263"/>
      <c r="U554" s="263"/>
      <c r="V554" s="263"/>
      <c r="W554" s="263"/>
      <c r="X554" s="263"/>
      <c r="Y554" s="575"/>
      <c r="Z554" s="575"/>
      <c r="AA554" s="576">
        <f t="shared" si="42"/>
        <v>0</v>
      </c>
      <c r="AB554" s="722"/>
    </row>
    <row r="555" spans="1:28" ht="15.75" customHeight="1" x14ac:dyDescent="0.35">
      <c r="A555" s="98" t="s">
        <v>2908</v>
      </c>
      <c r="C555" s="83">
        <v>43809</v>
      </c>
      <c r="D555" s="112">
        <v>43839</v>
      </c>
      <c r="E555" s="570"/>
      <c r="F555" s="99" t="s">
        <v>2909</v>
      </c>
      <c r="G555" s="99" t="s">
        <v>152</v>
      </c>
      <c r="H555" s="98" t="s">
        <v>220</v>
      </c>
      <c r="J555" s="75">
        <f t="shared" si="43"/>
        <v>1</v>
      </c>
      <c r="K555" s="76" t="s">
        <v>211</v>
      </c>
      <c r="Q555" s="78" t="s">
        <v>2130</v>
      </c>
      <c r="R555" s="75">
        <f t="shared" si="44"/>
        <v>1</v>
      </c>
      <c r="S555" s="263" t="s">
        <v>1991</v>
      </c>
      <c r="T555" s="263"/>
      <c r="U555" s="263"/>
      <c r="V555" s="263"/>
      <c r="W555" s="263"/>
      <c r="X555" s="263"/>
      <c r="Y555" s="575"/>
      <c r="Z555" s="575"/>
      <c r="AA555" s="576">
        <f t="shared" si="42"/>
        <v>0</v>
      </c>
      <c r="AB555" s="722"/>
    </row>
    <row r="556" spans="1:28" ht="15.75" customHeight="1" x14ac:dyDescent="0.35">
      <c r="A556" s="98" t="s">
        <v>2910</v>
      </c>
      <c r="C556" s="83">
        <v>43809</v>
      </c>
      <c r="D556" s="112">
        <v>43839</v>
      </c>
      <c r="E556" s="570"/>
      <c r="F556" s="99" t="s">
        <v>3124</v>
      </c>
      <c r="G556" s="99" t="s">
        <v>152</v>
      </c>
      <c r="H556" s="98" t="s">
        <v>220</v>
      </c>
      <c r="J556" s="75">
        <f t="shared" si="43"/>
        <v>1</v>
      </c>
      <c r="K556" s="76" t="s">
        <v>211</v>
      </c>
      <c r="Q556" s="78" t="s">
        <v>2130</v>
      </c>
      <c r="R556" s="75">
        <f t="shared" si="44"/>
        <v>1</v>
      </c>
      <c r="S556" s="263" t="s">
        <v>1991</v>
      </c>
      <c r="T556" s="263"/>
      <c r="U556" s="263"/>
      <c r="V556" s="263"/>
      <c r="W556" s="263"/>
      <c r="X556" s="263"/>
      <c r="Y556" s="575"/>
      <c r="Z556" s="575"/>
      <c r="AA556" s="576">
        <f t="shared" si="42"/>
        <v>0</v>
      </c>
      <c r="AB556" s="722"/>
    </row>
    <row r="557" spans="1:28" ht="15.75" customHeight="1" x14ac:dyDescent="0.35">
      <c r="A557" s="98" t="s">
        <v>2918</v>
      </c>
      <c r="C557" s="83">
        <v>43809</v>
      </c>
      <c r="D557" s="112">
        <v>43830</v>
      </c>
      <c r="E557" s="570"/>
      <c r="F557" s="88" t="s">
        <v>2917</v>
      </c>
      <c r="G557" s="88" t="s">
        <v>154</v>
      </c>
      <c r="H557" s="81" t="s">
        <v>220</v>
      </c>
      <c r="J557" s="75">
        <f t="shared" si="43"/>
        <v>1</v>
      </c>
      <c r="K557" s="76" t="s">
        <v>211</v>
      </c>
      <c r="Q557" s="304" t="s">
        <v>2056</v>
      </c>
      <c r="R557" s="75">
        <f t="shared" si="44"/>
        <v>1</v>
      </c>
      <c r="S557" s="263" t="s">
        <v>1991</v>
      </c>
      <c r="T557" s="263"/>
      <c r="U557" s="263"/>
      <c r="V557" s="263"/>
      <c r="W557" s="263"/>
      <c r="X557" s="263"/>
      <c r="Y557" s="575"/>
      <c r="Z557" s="575"/>
      <c r="AA557" s="576">
        <f t="shared" si="42"/>
        <v>0</v>
      </c>
      <c r="AB557" s="722"/>
    </row>
    <row r="558" spans="1:28" ht="15.75" customHeight="1" x14ac:dyDescent="0.35">
      <c r="A558" s="98" t="s">
        <v>2919</v>
      </c>
      <c r="C558" s="83">
        <v>43809</v>
      </c>
      <c r="D558" s="112">
        <v>43830</v>
      </c>
      <c r="E558" s="570"/>
      <c r="F558" s="99" t="s">
        <v>2920</v>
      </c>
      <c r="G558" s="99" t="s">
        <v>170</v>
      </c>
      <c r="H558" s="98" t="s">
        <v>220</v>
      </c>
      <c r="J558" s="75">
        <f t="shared" si="43"/>
        <v>1</v>
      </c>
      <c r="K558" s="76" t="s">
        <v>211</v>
      </c>
      <c r="Q558" s="304" t="s">
        <v>2056</v>
      </c>
      <c r="R558" s="75">
        <f t="shared" si="44"/>
        <v>1</v>
      </c>
      <c r="S558" s="263" t="s">
        <v>1991</v>
      </c>
      <c r="T558" s="263"/>
      <c r="U558" s="263"/>
      <c r="V558" s="263"/>
      <c r="W558" s="263"/>
      <c r="X558" s="263"/>
      <c r="Y558" s="575"/>
      <c r="Z558" s="575"/>
      <c r="AA558" s="576">
        <f t="shared" si="42"/>
        <v>0</v>
      </c>
      <c r="AB558" s="722"/>
    </row>
    <row r="559" spans="1:28" ht="15.75" customHeight="1" x14ac:dyDescent="0.35">
      <c r="A559" s="98" t="s">
        <v>2921</v>
      </c>
      <c r="C559" s="83">
        <v>43809</v>
      </c>
      <c r="D559" s="112">
        <v>43830</v>
      </c>
      <c r="E559" s="570"/>
      <c r="F559" s="127" t="s">
        <v>2922</v>
      </c>
      <c r="G559" s="99" t="s">
        <v>158</v>
      </c>
      <c r="H559" s="98" t="s">
        <v>220</v>
      </c>
      <c r="J559" s="75">
        <f t="shared" si="43"/>
        <v>1</v>
      </c>
      <c r="K559" s="76" t="s">
        <v>211</v>
      </c>
      <c r="Q559" s="78" t="s">
        <v>2056</v>
      </c>
      <c r="R559" s="75">
        <f t="shared" si="44"/>
        <v>1</v>
      </c>
      <c r="S559" s="263" t="s">
        <v>1991</v>
      </c>
      <c r="T559" s="263"/>
      <c r="U559" s="263"/>
      <c r="V559" s="263"/>
      <c r="W559" s="263"/>
      <c r="X559" s="263"/>
      <c r="Y559" s="575"/>
      <c r="Z559" s="575"/>
      <c r="AA559" s="576">
        <f t="shared" si="42"/>
        <v>0</v>
      </c>
      <c r="AB559" s="722"/>
    </row>
    <row r="560" spans="1:28" ht="15.75" customHeight="1" x14ac:dyDescent="0.35">
      <c r="A560" s="98" t="s">
        <v>2365</v>
      </c>
      <c r="C560" s="83">
        <v>43784</v>
      </c>
      <c r="D560" s="112">
        <v>43843</v>
      </c>
      <c r="E560" s="570"/>
      <c r="F560" s="88" t="s">
        <v>2366</v>
      </c>
      <c r="G560" s="88" t="s">
        <v>417</v>
      </c>
      <c r="H560" s="81" t="s">
        <v>220</v>
      </c>
      <c r="J560" s="75">
        <f t="shared" si="43"/>
        <v>1</v>
      </c>
      <c r="K560" s="76" t="s">
        <v>211</v>
      </c>
      <c r="Q560" s="78" t="s">
        <v>2163</v>
      </c>
      <c r="R560" s="75">
        <f t="shared" si="44"/>
        <v>1</v>
      </c>
      <c r="S560" s="263" t="s">
        <v>1991</v>
      </c>
      <c r="T560" s="263"/>
      <c r="U560" s="263"/>
      <c r="V560" s="263"/>
      <c r="W560" s="263"/>
      <c r="X560" s="263"/>
      <c r="Y560" s="575"/>
      <c r="Z560" s="575"/>
      <c r="AA560" s="576">
        <f t="shared" si="42"/>
        <v>0</v>
      </c>
      <c r="AB560" s="722"/>
    </row>
    <row r="561" spans="1:28" ht="15.75" customHeight="1" x14ac:dyDescent="0.35">
      <c r="A561" s="81" t="s">
        <v>2385</v>
      </c>
      <c r="C561" s="83">
        <v>43796</v>
      </c>
      <c r="D561" s="112">
        <v>43839</v>
      </c>
      <c r="E561" s="570"/>
      <c r="F561" s="88" t="s">
        <v>2386</v>
      </c>
      <c r="G561" s="88" t="s">
        <v>176</v>
      </c>
      <c r="H561" s="81" t="s">
        <v>220</v>
      </c>
      <c r="J561" s="75">
        <f t="shared" si="43"/>
        <v>1</v>
      </c>
      <c r="K561" s="76" t="s">
        <v>211</v>
      </c>
      <c r="Q561" s="78" t="s">
        <v>2163</v>
      </c>
      <c r="R561" s="75">
        <f t="shared" si="44"/>
        <v>1</v>
      </c>
      <c r="S561" s="263" t="s">
        <v>1991</v>
      </c>
      <c r="T561" s="263"/>
      <c r="U561" s="263"/>
      <c r="V561" s="263"/>
      <c r="W561" s="263"/>
      <c r="X561" s="263"/>
      <c r="Y561" s="575"/>
      <c r="Z561" s="575"/>
      <c r="AA561" s="576">
        <f t="shared" si="42"/>
        <v>0</v>
      </c>
      <c r="AB561" s="722"/>
    </row>
    <row r="562" spans="1:28" ht="15.75" customHeight="1" x14ac:dyDescent="0.35">
      <c r="A562" s="81" t="s">
        <v>2389</v>
      </c>
      <c r="C562" s="83">
        <v>43796</v>
      </c>
      <c r="D562" s="112">
        <v>43839</v>
      </c>
      <c r="E562" s="570"/>
      <c r="F562" s="88" t="s">
        <v>2390</v>
      </c>
      <c r="G562" s="88" t="s">
        <v>162</v>
      </c>
      <c r="H562" s="81" t="s">
        <v>220</v>
      </c>
      <c r="J562" s="75">
        <f t="shared" si="43"/>
        <v>1</v>
      </c>
      <c r="K562" s="76" t="s">
        <v>211</v>
      </c>
      <c r="Q562" s="78" t="s">
        <v>2163</v>
      </c>
      <c r="R562" s="75">
        <f t="shared" si="44"/>
        <v>1</v>
      </c>
      <c r="S562" s="263" t="s">
        <v>1991</v>
      </c>
      <c r="T562" s="263"/>
      <c r="U562" s="263"/>
      <c r="V562" s="263"/>
      <c r="W562" s="263"/>
      <c r="X562" s="263"/>
      <c r="Y562" s="575"/>
      <c r="Z562" s="575"/>
      <c r="AA562" s="576">
        <f t="shared" si="42"/>
        <v>0</v>
      </c>
      <c r="AB562" s="722"/>
    </row>
    <row r="563" spans="1:28" ht="15.75" customHeight="1" x14ac:dyDescent="0.35">
      <c r="A563" s="81" t="s">
        <v>2923</v>
      </c>
      <c r="C563" s="83">
        <v>43796</v>
      </c>
      <c r="D563" s="83">
        <v>43840</v>
      </c>
      <c r="E563" s="570"/>
      <c r="F563" s="88" t="s">
        <v>2924</v>
      </c>
      <c r="G563" s="88" t="s">
        <v>162</v>
      </c>
      <c r="H563" s="81" t="s">
        <v>220</v>
      </c>
      <c r="J563" s="75">
        <f t="shared" si="43"/>
        <v>1</v>
      </c>
      <c r="K563" s="76" t="s">
        <v>221</v>
      </c>
      <c r="Q563" s="78" t="s">
        <v>2163</v>
      </c>
      <c r="R563" s="75">
        <f t="shared" si="44"/>
        <v>1</v>
      </c>
      <c r="S563" s="263" t="s">
        <v>1991</v>
      </c>
      <c r="T563" s="263"/>
      <c r="U563" s="263"/>
      <c r="V563" s="263"/>
      <c r="W563" s="263"/>
      <c r="X563" s="263"/>
      <c r="Y563" s="575"/>
      <c r="Z563" s="575"/>
      <c r="AA563" s="576">
        <f t="shared" si="42"/>
        <v>0</v>
      </c>
      <c r="AB563" s="722"/>
    </row>
    <row r="564" spans="1:28" ht="15.75" customHeight="1" x14ac:dyDescent="0.35">
      <c r="A564" s="81" t="s">
        <v>2395</v>
      </c>
      <c r="C564" s="83">
        <v>43796</v>
      </c>
      <c r="D564" s="112">
        <v>43840</v>
      </c>
      <c r="E564" s="570"/>
      <c r="F564" s="88" t="s">
        <v>2396</v>
      </c>
      <c r="G564" s="88" t="s">
        <v>158</v>
      </c>
      <c r="H564" s="81" t="s">
        <v>220</v>
      </c>
      <c r="J564" s="75">
        <f t="shared" si="43"/>
        <v>1</v>
      </c>
      <c r="K564" s="76" t="s">
        <v>211</v>
      </c>
      <c r="Q564" s="78" t="s">
        <v>2163</v>
      </c>
      <c r="R564" s="75">
        <f t="shared" si="44"/>
        <v>1</v>
      </c>
      <c r="S564" s="263" t="s">
        <v>1991</v>
      </c>
      <c r="T564" s="263"/>
      <c r="U564" s="263"/>
      <c r="V564" s="263"/>
      <c r="W564" s="263"/>
      <c r="X564" s="263"/>
      <c r="Y564" s="575"/>
      <c r="Z564" s="575"/>
      <c r="AA564" s="576">
        <f t="shared" si="42"/>
        <v>0</v>
      </c>
      <c r="AB564" s="722"/>
    </row>
    <row r="565" spans="1:28" ht="15.75" customHeight="1" x14ac:dyDescent="0.35">
      <c r="A565" s="81" t="s">
        <v>2401</v>
      </c>
      <c r="C565" s="83">
        <v>43796</v>
      </c>
      <c r="D565" s="112">
        <v>43839</v>
      </c>
      <c r="E565" s="570"/>
      <c r="F565" s="88" t="s">
        <v>2402</v>
      </c>
      <c r="G565" s="88" t="s">
        <v>162</v>
      </c>
      <c r="H565" s="81" t="s">
        <v>220</v>
      </c>
      <c r="J565" s="75">
        <f t="shared" si="43"/>
        <v>1</v>
      </c>
      <c r="K565" s="76" t="s">
        <v>211</v>
      </c>
      <c r="Q565" s="78" t="s">
        <v>2163</v>
      </c>
      <c r="R565" s="75">
        <f t="shared" si="44"/>
        <v>1</v>
      </c>
      <c r="S565" s="263" t="s">
        <v>1991</v>
      </c>
      <c r="T565" s="263"/>
      <c r="U565" s="263"/>
      <c r="V565" s="263"/>
      <c r="W565" s="263"/>
      <c r="X565" s="263"/>
      <c r="Y565" s="575"/>
      <c r="Z565" s="575"/>
      <c r="AA565" s="576">
        <f t="shared" si="42"/>
        <v>0</v>
      </c>
      <c r="AB565" s="722"/>
    </row>
    <row r="566" spans="1:28" ht="15.75" customHeight="1" x14ac:dyDescent="0.35">
      <c r="A566" s="81" t="s">
        <v>2403</v>
      </c>
      <c r="C566" s="83">
        <v>43798</v>
      </c>
      <c r="D566" s="112">
        <v>43843</v>
      </c>
      <c r="E566" s="570"/>
      <c r="F566" s="88" t="s">
        <v>2404</v>
      </c>
      <c r="G566" s="88" t="s">
        <v>417</v>
      </c>
      <c r="H566" s="81" t="s">
        <v>220</v>
      </c>
      <c r="J566" s="75">
        <f t="shared" si="43"/>
        <v>1</v>
      </c>
      <c r="K566" s="76" t="s">
        <v>211</v>
      </c>
      <c r="Q566" s="78" t="s">
        <v>2163</v>
      </c>
      <c r="R566" s="75">
        <f t="shared" si="44"/>
        <v>1</v>
      </c>
      <c r="S566" s="263" t="s">
        <v>1991</v>
      </c>
      <c r="T566" s="263"/>
      <c r="U566" s="263"/>
      <c r="V566" s="263"/>
      <c r="W566" s="263"/>
      <c r="X566" s="263"/>
      <c r="Y566" s="575"/>
      <c r="Z566" s="575"/>
      <c r="AA566" s="576">
        <f t="shared" si="42"/>
        <v>0</v>
      </c>
      <c r="AB566" s="722"/>
    </row>
    <row r="567" spans="1:28" ht="15.75" customHeight="1" x14ac:dyDescent="0.35">
      <c r="A567" s="81" t="s">
        <v>2610</v>
      </c>
      <c r="C567" s="83">
        <v>43798</v>
      </c>
      <c r="D567" s="112">
        <v>43844</v>
      </c>
      <c r="E567" s="570"/>
      <c r="F567" s="88" t="s">
        <v>2611</v>
      </c>
      <c r="G567" s="88" t="s">
        <v>149</v>
      </c>
      <c r="H567" s="81" t="s">
        <v>220</v>
      </c>
      <c r="J567" s="75">
        <f t="shared" si="43"/>
        <v>1</v>
      </c>
      <c r="K567" s="76" t="s">
        <v>211</v>
      </c>
      <c r="Q567" s="78" t="s">
        <v>2163</v>
      </c>
      <c r="R567" s="75">
        <f t="shared" si="44"/>
        <v>1</v>
      </c>
      <c r="S567" s="263" t="s">
        <v>1991</v>
      </c>
      <c r="T567" s="263"/>
      <c r="U567" s="263"/>
      <c r="V567" s="263"/>
      <c r="W567" s="263"/>
      <c r="X567" s="263"/>
      <c r="Y567" s="575"/>
      <c r="Z567" s="575"/>
      <c r="AA567" s="576">
        <f t="shared" si="42"/>
        <v>0</v>
      </c>
      <c r="AB567" s="722"/>
    </row>
    <row r="568" spans="1:28" ht="15.75" customHeight="1" x14ac:dyDescent="0.35">
      <c r="A568" s="81" t="s">
        <v>2618</v>
      </c>
      <c r="C568" s="83">
        <v>43801</v>
      </c>
      <c r="D568" s="112">
        <v>43845</v>
      </c>
      <c r="E568" s="570"/>
      <c r="F568" s="88" t="s">
        <v>2619</v>
      </c>
      <c r="G568" s="88" t="s">
        <v>152</v>
      </c>
      <c r="H568" s="81" t="s">
        <v>220</v>
      </c>
      <c r="J568" s="75">
        <f t="shared" si="43"/>
        <v>1</v>
      </c>
      <c r="K568" s="76" t="s">
        <v>211</v>
      </c>
      <c r="Q568" s="78" t="s">
        <v>2163</v>
      </c>
      <c r="R568" s="75">
        <f t="shared" si="44"/>
        <v>1</v>
      </c>
      <c r="S568" s="263" t="s">
        <v>1991</v>
      </c>
      <c r="T568" s="263"/>
      <c r="U568" s="263"/>
      <c r="V568" s="263"/>
      <c r="W568" s="263"/>
      <c r="X568" s="263"/>
      <c r="Y568" s="575"/>
      <c r="Z568" s="575"/>
      <c r="AA568" s="576">
        <f t="shared" si="42"/>
        <v>0</v>
      </c>
      <c r="AB568" s="722"/>
    </row>
    <row r="569" spans="1:28" ht="15.75" customHeight="1" x14ac:dyDescent="0.35">
      <c r="A569" s="81" t="s">
        <v>2620</v>
      </c>
      <c r="C569" s="83">
        <v>43801</v>
      </c>
      <c r="D569" s="112">
        <v>43845</v>
      </c>
      <c r="E569" s="570"/>
      <c r="F569" s="88" t="s">
        <v>2621</v>
      </c>
      <c r="G569" s="88" t="s">
        <v>149</v>
      </c>
      <c r="H569" s="81" t="s">
        <v>220</v>
      </c>
      <c r="J569" s="75">
        <f t="shared" si="43"/>
        <v>1</v>
      </c>
      <c r="K569" s="76" t="s">
        <v>211</v>
      </c>
      <c r="Q569" s="78" t="s">
        <v>2163</v>
      </c>
      <c r="R569" s="75">
        <f t="shared" si="44"/>
        <v>1</v>
      </c>
      <c r="S569" s="263" t="s">
        <v>1991</v>
      </c>
      <c r="T569" s="263"/>
      <c r="U569" s="263"/>
      <c r="V569" s="263"/>
      <c r="W569" s="263"/>
      <c r="X569" s="263"/>
      <c r="Y569" s="575"/>
      <c r="Z569" s="575"/>
      <c r="AA569" s="576">
        <f t="shared" si="42"/>
        <v>0</v>
      </c>
      <c r="AB569" s="722"/>
    </row>
    <row r="570" spans="1:28" ht="15.75" customHeight="1" x14ac:dyDescent="0.35">
      <c r="A570" s="81" t="s">
        <v>2622</v>
      </c>
      <c r="C570" s="83">
        <v>43801</v>
      </c>
      <c r="D570" s="112">
        <v>43845</v>
      </c>
      <c r="E570" s="570"/>
      <c r="F570" s="88" t="s">
        <v>2623</v>
      </c>
      <c r="G570" s="88" t="s">
        <v>183</v>
      </c>
      <c r="H570" s="81" t="s">
        <v>220</v>
      </c>
      <c r="J570" s="75">
        <f t="shared" si="43"/>
        <v>1</v>
      </c>
      <c r="K570" s="76" t="s">
        <v>211</v>
      </c>
      <c r="Q570" s="78" t="s">
        <v>2163</v>
      </c>
      <c r="R570" s="75">
        <f t="shared" si="44"/>
        <v>1</v>
      </c>
      <c r="S570" s="263" t="s">
        <v>1991</v>
      </c>
      <c r="T570" s="263"/>
      <c r="U570" s="263"/>
      <c r="V570" s="263"/>
      <c r="W570" s="263"/>
      <c r="X570" s="263"/>
      <c r="Y570" s="575"/>
      <c r="Z570" s="575"/>
      <c r="AA570" s="576">
        <f t="shared" si="42"/>
        <v>0</v>
      </c>
      <c r="AB570" s="722"/>
    </row>
    <row r="571" spans="1:28" ht="15.75" customHeight="1" x14ac:dyDescent="0.35">
      <c r="A571" s="98" t="s">
        <v>2628</v>
      </c>
      <c r="C571" s="83">
        <v>43802</v>
      </c>
      <c r="D571" s="112">
        <v>43846</v>
      </c>
      <c r="E571" s="570"/>
      <c r="F571" s="88" t="s">
        <v>2629</v>
      </c>
      <c r="G571" s="88" t="s">
        <v>154</v>
      </c>
      <c r="H571" s="81" t="s">
        <v>220</v>
      </c>
      <c r="I571" s="98" t="s">
        <v>652</v>
      </c>
      <c r="J571" s="75">
        <f t="shared" si="43"/>
        <v>1</v>
      </c>
      <c r="K571" s="76" t="s">
        <v>211</v>
      </c>
      <c r="L571" s="99" t="s">
        <v>3293</v>
      </c>
      <c r="N571" s="78" t="s">
        <v>17</v>
      </c>
      <c r="Q571" s="78" t="s">
        <v>2163</v>
      </c>
      <c r="R571" s="75">
        <f t="shared" si="44"/>
        <v>1</v>
      </c>
      <c r="S571" s="263" t="s">
        <v>1991</v>
      </c>
      <c r="T571" s="263"/>
      <c r="U571" s="263"/>
      <c r="V571" s="263"/>
      <c r="W571" s="263"/>
      <c r="X571" s="263"/>
      <c r="Y571" s="575"/>
      <c r="Z571" s="575"/>
      <c r="AA571" s="576">
        <f t="shared" si="42"/>
        <v>0</v>
      </c>
      <c r="AB571" s="722"/>
    </row>
    <row r="572" spans="1:28" ht="15.75" customHeight="1" x14ac:dyDescent="0.35">
      <c r="A572" s="98" t="s">
        <v>2630</v>
      </c>
      <c r="C572" s="83">
        <v>43802</v>
      </c>
      <c r="D572" s="112">
        <v>43846</v>
      </c>
      <c r="E572" s="570"/>
      <c r="F572" s="88" t="s">
        <v>2631</v>
      </c>
      <c r="G572" s="88" t="s">
        <v>195</v>
      </c>
      <c r="H572" s="81" t="s">
        <v>220</v>
      </c>
      <c r="I572" s="98" t="s">
        <v>649</v>
      </c>
      <c r="J572" s="75">
        <f t="shared" si="43"/>
        <v>1</v>
      </c>
      <c r="K572" s="76" t="s">
        <v>211</v>
      </c>
      <c r="N572" s="78" t="s">
        <v>18</v>
      </c>
      <c r="Q572" s="78" t="s">
        <v>2163</v>
      </c>
      <c r="R572" s="75">
        <f t="shared" si="44"/>
        <v>1</v>
      </c>
      <c r="S572" s="263" t="s">
        <v>1991</v>
      </c>
      <c r="T572" s="263"/>
      <c r="U572" s="263"/>
      <c r="V572" s="263"/>
      <c r="W572" s="263"/>
      <c r="X572" s="263"/>
      <c r="Y572" s="575"/>
      <c r="Z572" s="575"/>
      <c r="AA572" s="576">
        <f t="shared" si="42"/>
        <v>0</v>
      </c>
      <c r="AB572" s="722"/>
    </row>
    <row r="573" spans="1:28" ht="15.75" customHeight="1" x14ac:dyDescent="0.35">
      <c r="A573" s="98" t="s">
        <v>2634</v>
      </c>
      <c r="C573" s="83">
        <v>43803</v>
      </c>
      <c r="D573" s="112">
        <v>43847</v>
      </c>
      <c r="E573" s="570"/>
      <c r="F573" s="88" t="s">
        <v>2635</v>
      </c>
      <c r="G573" s="88" t="s">
        <v>156</v>
      </c>
      <c r="H573" s="81" t="s">
        <v>220</v>
      </c>
      <c r="I573" s="98" t="s">
        <v>3467</v>
      </c>
      <c r="J573" s="75">
        <f t="shared" si="43"/>
        <v>1</v>
      </c>
      <c r="K573" s="76" t="s">
        <v>211</v>
      </c>
      <c r="L573" s="99" t="s">
        <v>3468</v>
      </c>
      <c r="N573" s="78" t="s">
        <v>17</v>
      </c>
      <c r="Q573" s="78" t="s">
        <v>2163</v>
      </c>
      <c r="R573" s="75">
        <f t="shared" si="44"/>
        <v>1</v>
      </c>
      <c r="S573" s="263" t="s">
        <v>1991</v>
      </c>
      <c r="T573" s="263"/>
      <c r="U573" s="263"/>
      <c r="V573" s="263"/>
      <c r="W573" s="263"/>
      <c r="X573" s="263"/>
      <c r="Y573" s="575"/>
      <c r="Z573" s="575"/>
      <c r="AA573" s="576">
        <f t="shared" si="42"/>
        <v>0</v>
      </c>
      <c r="AB573" s="722"/>
    </row>
    <row r="574" spans="1:28" ht="15.75" customHeight="1" x14ac:dyDescent="0.35">
      <c r="A574" s="81" t="s">
        <v>2925</v>
      </c>
      <c r="C574" s="83">
        <v>43809</v>
      </c>
      <c r="D574" s="112">
        <v>43839</v>
      </c>
      <c r="E574" s="570"/>
      <c r="F574" s="88" t="s">
        <v>2926</v>
      </c>
      <c r="G574" s="88" t="s">
        <v>162</v>
      </c>
      <c r="H574" s="81" t="s">
        <v>220</v>
      </c>
      <c r="J574" s="75">
        <f t="shared" si="43"/>
        <v>1</v>
      </c>
      <c r="K574" s="76" t="s">
        <v>211</v>
      </c>
      <c r="Q574" s="78" t="s">
        <v>2163</v>
      </c>
      <c r="R574" s="75">
        <f t="shared" si="44"/>
        <v>1</v>
      </c>
      <c r="S574" s="263" t="s">
        <v>1991</v>
      </c>
      <c r="T574" s="263"/>
      <c r="U574" s="263"/>
      <c r="V574" s="263"/>
      <c r="W574" s="263"/>
      <c r="X574" s="263"/>
      <c r="Y574" s="575"/>
      <c r="Z574" s="575"/>
      <c r="AA574" s="576">
        <f t="shared" si="42"/>
        <v>0</v>
      </c>
      <c r="AB574" s="722"/>
    </row>
    <row r="575" spans="1:28" ht="15.75" customHeight="1" x14ac:dyDescent="0.35">
      <c r="A575" s="81" t="s">
        <v>2929</v>
      </c>
      <c r="C575" s="83">
        <v>43809</v>
      </c>
      <c r="D575" s="112">
        <v>43839</v>
      </c>
      <c r="E575" s="570"/>
      <c r="F575" s="88" t="s">
        <v>2930</v>
      </c>
      <c r="G575" s="88" t="s">
        <v>160</v>
      </c>
      <c r="H575" s="81" t="s">
        <v>220</v>
      </c>
      <c r="I575" s="98" t="s">
        <v>698</v>
      </c>
      <c r="J575" s="75">
        <f t="shared" si="43"/>
        <v>1</v>
      </c>
      <c r="K575" s="76" t="s">
        <v>211</v>
      </c>
      <c r="N575" s="78" t="s">
        <v>19</v>
      </c>
      <c r="Q575" s="78" t="s">
        <v>2163</v>
      </c>
      <c r="R575" s="75">
        <f t="shared" si="44"/>
        <v>1</v>
      </c>
      <c r="S575" s="263" t="s">
        <v>1991</v>
      </c>
      <c r="T575" s="263"/>
      <c r="U575" s="263"/>
      <c r="V575" s="263"/>
      <c r="W575" s="263"/>
      <c r="X575" s="263"/>
      <c r="Y575" s="575"/>
      <c r="Z575" s="575"/>
      <c r="AA575" s="576">
        <f t="shared" si="42"/>
        <v>0</v>
      </c>
      <c r="AB575" s="722"/>
    </row>
    <row r="576" spans="1:28" ht="15.75" customHeight="1" x14ac:dyDescent="0.35">
      <c r="A576" s="81" t="s">
        <v>2931</v>
      </c>
      <c r="C576" s="83">
        <v>43809</v>
      </c>
      <c r="D576" s="112">
        <v>43839</v>
      </c>
      <c r="E576" s="570"/>
      <c r="F576" s="88" t="s">
        <v>2932</v>
      </c>
      <c r="G576" s="88" t="s">
        <v>156</v>
      </c>
      <c r="H576" s="81" t="s">
        <v>220</v>
      </c>
      <c r="J576" s="75">
        <f t="shared" si="43"/>
        <v>1</v>
      </c>
      <c r="K576" s="76" t="s">
        <v>211</v>
      </c>
      <c r="Q576" s="78" t="s">
        <v>2163</v>
      </c>
      <c r="R576" s="75">
        <f t="shared" si="44"/>
        <v>1</v>
      </c>
      <c r="S576" s="263" t="s">
        <v>1991</v>
      </c>
      <c r="T576" s="263"/>
      <c r="U576" s="263"/>
      <c r="V576" s="263"/>
      <c r="W576" s="263"/>
      <c r="X576" s="263"/>
      <c r="Y576" s="575"/>
      <c r="Z576" s="575"/>
      <c r="AA576" s="576">
        <f t="shared" si="42"/>
        <v>0</v>
      </c>
      <c r="AB576" s="722"/>
    </row>
    <row r="577" spans="1:28" ht="15.75" customHeight="1" x14ac:dyDescent="0.35">
      <c r="A577" s="81" t="s">
        <v>2933</v>
      </c>
      <c r="C577" s="83">
        <v>43810</v>
      </c>
      <c r="D577" s="83">
        <v>43840</v>
      </c>
      <c r="E577" s="570"/>
      <c r="F577" s="88" t="s">
        <v>2934</v>
      </c>
      <c r="G577" s="88" t="s">
        <v>417</v>
      </c>
      <c r="H577" s="81" t="s">
        <v>220</v>
      </c>
      <c r="J577" s="75">
        <f t="shared" si="43"/>
        <v>1</v>
      </c>
      <c r="K577" s="76" t="s">
        <v>221</v>
      </c>
      <c r="Q577" s="78" t="s">
        <v>2163</v>
      </c>
      <c r="R577" s="75">
        <f t="shared" si="44"/>
        <v>1</v>
      </c>
      <c r="S577" s="263" t="s">
        <v>1991</v>
      </c>
      <c r="T577" s="263"/>
      <c r="U577" s="263"/>
      <c r="V577" s="263"/>
      <c r="W577" s="263"/>
      <c r="X577" s="263"/>
      <c r="Y577" s="575"/>
      <c r="Z577" s="575"/>
      <c r="AA577" s="576">
        <f t="shared" si="42"/>
        <v>0</v>
      </c>
      <c r="AB577" s="722"/>
    </row>
    <row r="578" spans="1:28" ht="15.75" customHeight="1" x14ac:dyDescent="0.35">
      <c r="A578" s="81" t="s">
        <v>2935</v>
      </c>
      <c r="C578" s="83">
        <v>43810</v>
      </c>
      <c r="D578" s="83">
        <v>43840</v>
      </c>
      <c r="E578" s="570"/>
      <c r="F578" s="88" t="s">
        <v>2936</v>
      </c>
      <c r="G578" s="88" t="s">
        <v>152</v>
      </c>
      <c r="H578" s="81" t="s">
        <v>220</v>
      </c>
      <c r="J578" s="75">
        <f t="shared" si="43"/>
        <v>1</v>
      </c>
      <c r="K578" s="76" t="s">
        <v>221</v>
      </c>
      <c r="Q578" s="78" t="s">
        <v>2163</v>
      </c>
      <c r="R578" s="75">
        <f t="shared" si="44"/>
        <v>1</v>
      </c>
      <c r="S578" s="263" t="s">
        <v>1991</v>
      </c>
      <c r="T578" s="263"/>
      <c r="U578" s="263"/>
      <c r="V578" s="263"/>
      <c r="W578" s="263"/>
      <c r="X578" s="263"/>
      <c r="Y578" s="575"/>
      <c r="Z578" s="575"/>
      <c r="AA578" s="576">
        <f t="shared" si="42"/>
        <v>0</v>
      </c>
      <c r="AB578" s="722"/>
    </row>
    <row r="579" spans="1:28" ht="15.75" customHeight="1" x14ac:dyDescent="0.35">
      <c r="A579" s="81" t="s">
        <v>2941</v>
      </c>
      <c r="C579" s="83">
        <v>43811</v>
      </c>
      <c r="D579" s="112">
        <v>43843</v>
      </c>
      <c r="E579" s="570"/>
      <c r="F579" s="88" t="s">
        <v>2942</v>
      </c>
      <c r="G579" s="88" t="s">
        <v>417</v>
      </c>
      <c r="H579" s="81" t="s">
        <v>220</v>
      </c>
      <c r="J579" s="75">
        <f t="shared" si="43"/>
        <v>1</v>
      </c>
      <c r="K579" s="76" t="s">
        <v>211</v>
      </c>
      <c r="Q579" s="78" t="s">
        <v>2163</v>
      </c>
      <c r="R579" s="75">
        <f t="shared" si="44"/>
        <v>1</v>
      </c>
      <c r="S579" s="263" t="s">
        <v>1991</v>
      </c>
      <c r="T579" s="263"/>
      <c r="U579" s="263"/>
      <c r="V579" s="263"/>
      <c r="W579" s="263"/>
      <c r="X579" s="263"/>
      <c r="Y579" s="575"/>
      <c r="Z579" s="575"/>
      <c r="AA579" s="576">
        <f t="shared" ref="AA579:AA642" si="45">Z579-Y579</f>
        <v>0</v>
      </c>
      <c r="AB579" s="722"/>
    </row>
    <row r="580" spans="1:28" ht="15.75" customHeight="1" x14ac:dyDescent="0.35">
      <c r="A580" s="81" t="s">
        <v>2943</v>
      </c>
      <c r="C580" s="83">
        <v>43811</v>
      </c>
      <c r="D580" s="112">
        <v>43843</v>
      </c>
      <c r="E580" s="570"/>
      <c r="F580" s="88" t="s">
        <v>2944</v>
      </c>
      <c r="G580" s="88" t="s">
        <v>156</v>
      </c>
      <c r="H580" s="81" t="s">
        <v>220</v>
      </c>
      <c r="J580" s="75">
        <f t="shared" si="43"/>
        <v>1</v>
      </c>
      <c r="K580" s="76" t="s">
        <v>211</v>
      </c>
      <c r="Q580" s="78" t="s">
        <v>2163</v>
      </c>
      <c r="R580" s="75">
        <f t="shared" si="44"/>
        <v>1</v>
      </c>
      <c r="S580" s="263" t="s">
        <v>1991</v>
      </c>
      <c r="T580" s="263"/>
      <c r="U580" s="263"/>
      <c r="V580" s="263"/>
      <c r="W580" s="263"/>
      <c r="X580" s="263"/>
      <c r="Y580" s="575"/>
      <c r="Z580" s="575"/>
      <c r="AA580" s="576">
        <f t="shared" si="45"/>
        <v>0</v>
      </c>
      <c r="AB580" s="722"/>
    </row>
    <row r="581" spans="1:28" ht="15.75" customHeight="1" x14ac:dyDescent="0.35">
      <c r="A581" s="81" t="s">
        <v>2951</v>
      </c>
      <c r="C581" s="83">
        <v>43812</v>
      </c>
      <c r="D581" s="112">
        <v>43844</v>
      </c>
      <c r="E581" s="570"/>
      <c r="F581" s="88" t="s">
        <v>2952</v>
      </c>
      <c r="G581" s="88" t="s">
        <v>162</v>
      </c>
      <c r="H581" s="81" t="s">
        <v>220</v>
      </c>
      <c r="J581" s="75">
        <f t="shared" ref="J581:J617" si="46">IF(OR(K581="Документы готовы",K581="Запрос в ФО",K581="ЭЗ",K581="РЕШ",K581="РЕШ шаблон"),0.1,IF(OR(K581="ЭЗ согласование",K581="РЕШ согласование"),0.3,IF(OR(K581="ЭЗ согласовано",K581="РЕШ согласовано",K581="РЕШ подписано"),0.6,IF(OR(K581="ЭЗ ПР согласование",K581="РЕШ УВ согласование"),0.9,IF(OR(K581="ЭЗ ПР DONE",K581="РЕШ УВ DONE"),1,0)))))</f>
        <v>1</v>
      </c>
      <c r="K581" s="76" t="s">
        <v>211</v>
      </c>
      <c r="Q581" s="78" t="s">
        <v>2163</v>
      </c>
      <c r="R581" s="75">
        <f t="shared" ref="R581:R617" si="47">IF(S581="В работе",0.3,IF(S581="Отписано",0.6,IF(S581="На доработку",0.9,IF(S581="Согласовано",1,0))))</f>
        <v>1</v>
      </c>
      <c r="S581" s="263" t="s">
        <v>1991</v>
      </c>
      <c r="T581" s="263"/>
      <c r="U581" s="263"/>
      <c r="V581" s="263"/>
      <c r="W581" s="263"/>
      <c r="X581" s="263"/>
      <c r="Y581" s="575"/>
      <c r="Z581" s="575"/>
      <c r="AA581" s="576">
        <f t="shared" si="45"/>
        <v>0</v>
      </c>
      <c r="AB581" s="722"/>
    </row>
    <row r="582" spans="1:28" ht="15.75" customHeight="1" x14ac:dyDescent="0.35">
      <c r="A582" s="81" t="s">
        <v>2957</v>
      </c>
      <c r="C582" s="83">
        <v>43815</v>
      </c>
      <c r="D582" s="112">
        <v>43845</v>
      </c>
      <c r="E582" s="570"/>
      <c r="F582" s="88" t="s">
        <v>2958</v>
      </c>
      <c r="G582" s="88" t="s">
        <v>1337</v>
      </c>
      <c r="H582" s="81" t="s">
        <v>220</v>
      </c>
      <c r="J582" s="75">
        <f t="shared" si="46"/>
        <v>1</v>
      </c>
      <c r="K582" s="76" t="s">
        <v>211</v>
      </c>
      <c r="Q582" s="78" t="s">
        <v>2163</v>
      </c>
      <c r="R582" s="75">
        <f t="shared" si="47"/>
        <v>1</v>
      </c>
      <c r="S582" s="263" t="s">
        <v>1991</v>
      </c>
      <c r="T582" s="263"/>
      <c r="U582" s="263"/>
      <c r="V582" s="263"/>
      <c r="W582" s="263"/>
      <c r="X582" s="263"/>
      <c r="Y582" s="575"/>
      <c r="Z582" s="575"/>
      <c r="AA582" s="576">
        <f t="shared" si="45"/>
        <v>0</v>
      </c>
      <c r="AB582" s="722"/>
    </row>
    <row r="583" spans="1:28" ht="15.75" customHeight="1" x14ac:dyDescent="0.35">
      <c r="A583" s="81" t="s">
        <v>2959</v>
      </c>
      <c r="C583" s="83">
        <v>43815</v>
      </c>
      <c r="D583" s="112">
        <v>43845</v>
      </c>
      <c r="E583" s="570"/>
      <c r="F583" s="88" t="s">
        <v>2960</v>
      </c>
      <c r="G583" s="88" t="s">
        <v>152</v>
      </c>
      <c r="H583" s="81" t="s">
        <v>220</v>
      </c>
      <c r="J583" s="75">
        <f t="shared" si="46"/>
        <v>1</v>
      </c>
      <c r="K583" s="76" t="s">
        <v>211</v>
      </c>
      <c r="Q583" s="78" t="s">
        <v>2163</v>
      </c>
      <c r="R583" s="75">
        <f t="shared" si="47"/>
        <v>1</v>
      </c>
      <c r="S583" s="263" t="s">
        <v>1991</v>
      </c>
      <c r="T583" s="263"/>
      <c r="U583" s="263"/>
      <c r="V583" s="263"/>
      <c r="W583" s="263"/>
      <c r="X583" s="263"/>
      <c r="Y583" s="575"/>
      <c r="Z583" s="575"/>
      <c r="AA583" s="576">
        <f t="shared" si="45"/>
        <v>0</v>
      </c>
      <c r="AB583" s="722"/>
    </row>
    <row r="584" spans="1:28" ht="15.75" customHeight="1" x14ac:dyDescent="0.35">
      <c r="A584" s="81" t="s">
        <v>2961</v>
      </c>
      <c r="C584" s="83">
        <v>43815</v>
      </c>
      <c r="D584" s="112">
        <v>43845</v>
      </c>
      <c r="E584" s="570"/>
      <c r="F584" s="88" t="s">
        <v>2962</v>
      </c>
      <c r="G584" s="88" t="s">
        <v>152</v>
      </c>
      <c r="H584" s="81" t="s">
        <v>220</v>
      </c>
      <c r="I584" s="98" t="s">
        <v>3893</v>
      </c>
      <c r="J584" s="75">
        <f t="shared" si="46"/>
        <v>1</v>
      </c>
      <c r="K584" s="76" t="s">
        <v>211</v>
      </c>
      <c r="L584" s="99" t="s">
        <v>3894</v>
      </c>
      <c r="N584" s="78" t="s">
        <v>18</v>
      </c>
      <c r="Q584" s="78" t="s">
        <v>2163</v>
      </c>
      <c r="R584" s="75">
        <f t="shared" si="47"/>
        <v>1</v>
      </c>
      <c r="S584" s="263" t="s">
        <v>1991</v>
      </c>
      <c r="T584" s="263"/>
      <c r="U584" s="263"/>
      <c r="V584" s="263"/>
      <c r="W584" s="263"/>
      <c r="X584" s="263"/>
      <c r="Y584" s="575"/>
      <c r="Z584" s="575"/>
      <c r="AA584" s="576">
        <f t="shared" si="45"/>
        <v>0</v>
      </c>
      <c r="AB584" s="722"/>
    </row>
    <row r="585" spans="1:28" ht="15.75" customHeight="1" x14ac:dyDescent="0.35">
      <c r="A585" s="81" t="s">
        <v>2963</v>
      </c>
      <c r="C585" s="83">
        <v>43815</v>
      </c>
      <c r="D585" s="112">
        <v>43845</v>
      </c>
      <c r="E585" s="570"/>
      <c r="F585" s="88" t="s">
        <v>2964</v>
      </c>
      <c r="G585" s="88" t="s">
        <v>158</v>
      </c>
      <c r="H585" s="81" t="s">
        <v>220</v>
      </c>
      <c r="I585" s="98" t="s">
        <v>3284</v>
      </c>
      <c r="J585" s="75">
        <f t="shared" si="46"/>
        <v>1</v>
      </c>
      <c r="K585" s="76" t="s">
        <v>211</v>
      </c>
      <c r="L585" s="99" t="s">
        <v>3285</v>
      </c>
      <c r="N585" s="78" t="s">
        <v>17</v>
      </c>
      <c r="Q585" s="78" t="s">
        <v>2163</v>
      </c>
      <c r="R585" s="75">
        <f t="shared" si="47"/>
        <v>1</v>
      </c>
      <c r="S585" s="263" t="s">
        <v>1991</v>
      </c>
      <c r="T585" s="263"/>
      <c r="U585" s="263"/>
      <c r="V585" s="263"/>
      <c r="W585" s="263"/>
      <c r="X585" s="263"/>
      <c r="Y585" s="575"/>
      <c r="Z585" s="575"/>
      <c r="AA585" s="576">
        <f t="shared" si="45"/>
        <v>0</v>
      </c>
      <c r="AB585" s="722"/>
    </row>
    <row r="586" spans="1:28" ht="15.75" customHeight="1" x14ac:dyDescent="0.35">
      <c r="A586" s="81" t="s">
        <v>2965</v>
      </c>
      <c r="C586" s="83">
        <v>43815</v>
      </c>
      <c r="D586" s="112">
        <v>43845</v>
      </c>
      <c r="E586" s="570"/>
      <c r="F586" s="88" t="s">
        <v>2966</v>
      </c>
      <c r="G586" s="88" t="s">
        <v>181</v>
      </c>
      <c r="H586" s="81" t="s">
        <v>220</v>
      </c>
      <c r="I586" s="98" t="s">
        <v>665</v>
      </c>
      <c r="J586" s="75">
        <f t="shared" si="46"/>
        <v>1</v>
      </c>
      <c r="K586" s="76" t="s">
        <v>211</v>
      </c>
      <c r="N586" s="78" t="s">
        <v>18</v>
      </c>
      <c r="Q586" s="78" t="s">
        <v>2163</v>
      </c>
      <c r="R586" s="75">
        <f t="shared" si="47"/>
        <v>1</v>
      </c>
      <c r="S586" s="263" t="s">
        <v>1991</v>
      </c>
      <c r="T586" s="263"/>
      <c r="U586" s="263"/>
      <c r="V586" s="263"/>
      <c r="W586" s="263"/>
      <c r="X586" s="263"/>
      <c r="Y586" s="575"/>
      <c r="Z586" s="575"/>
      <c r="AA586" s="576">
        <f t="shared" si="45"/>
        <v>0</v>
      </c>
      <c r="AB586" s="722"/>
    </row>
    <row r="587" spans="1:28" ht="15.75" customHeight="1" x14ac:dyDescent="0.35">
      <c r="A587" s="98" t="s">
        <v>2967</v>
      </c>
      <c r="C587" s="83">
        <v>43816</v>
      </c>
      <c r="D587" s="112">
        <v>43846</v>
      </c>
      <c r="E587" s="570"/>
      <c r="F587" s="88" t="s">
        <v>2968</v>
      </c>
      <c r="G587" s="88" t="s">
        <v>158</v>
      </c>
      <c r="H587" s="81" t="s">
        <v>220</v>
      </c>
      <c r="I587" s="98" t="s">
        <v>3295</v>
      </c>
      <c r="J587" s="75">
        <f t="shared" si="46"/>
        <v>1</v>
      </c>
      <c r="K587" s="76" t="s">
        <v>211</v>
      </c>
      <c r="L587" s="99" t="s">
        <v>3294</v>
      </c>
      <c r="N587" s="78" t="s">
        <v>18</v>
      </c>
      <c r="Q587" s="78" t="s">
        <v>2163</v>
      </c>
      <c r="R587" s="75">
        <f t="shared" si="47"/>
        <v>1</v>
      </c>
      <c r="S587" s="263" t="s">
        <v>1991</v>
      </c>
      <c r="T587" s="263"/>
      <c r="U587" s="263"/>
      <c r="V587" s="263"/>
      <c r="W587" s="263"/>
      <c r="X587" s="263"/>
      <c r="Y587" s="575"/>
      <c r="Z587" s="575"/>
      <c r="AA587" s="576">
        <f t="shared" si="45"/>
        <v>0</v>
      </c>
      <c r="AB587" s="722"/>
    </row>
    <row r="588" spans="1:28" ht="15.75" customHeight="1" x14ac:dyDescent="0.35">
      <c r="A588" s="81" t="s">
        <v>2259</v>
      </c>
      <c r="C588" s="83">
        <v>43794</v>
      </c>
      <c r="D588" s="112">
        <v>43830</v>
      </c>
      <c r="E588" s="570"/>
      <c r="F588" s="88" t="s">
        <v>2260</v>
      </c>
      <c r="G588" s="88" t="s">
        <v>417</v>
      </c>
      <c r="H588" s="81" t="s">
        <v>220</v>
      </c>
      <c r="J588" s="75">
        <f t="shared" si="46"/>
        <v>1</v>
      </c>
      <c r="K588" s="76" t="s">
        <v>211</v>
      </c>
      <c r="Q588" s="78" t="s">
        <v>2097</v>
      </c>
      <c r="R588" s="75">
        <f t="shared" si="47"/>
        <v>1</v>
      </c>
      <c r="S588" s="263" t="s">
        <v>1991</v>
      </c>
      <c r="T588" s="263"/>
      <c r="U588" s="263"/>
      <c r="V588" s="263"/>
      <c r="W588" s="263"/>
      <c r="X588" s="263"/>
      <c r="Y588" s="575"/>
      <c r="Z588" s="575"/>
      <c r="AA588" s="576">
        <f t="shared" si="45"/>
        <v>0</v>
      </c>
      <c r="AB588" s="722"/>
    </row>
    <row r="589" spans="1:28" ht="15.75" customHeight="1" x14ac:dyDescent="0.35">
      <c r="A589" s="81" t="s">
        <v>2271</v>
      </c>
      <c r="C589" s="83">
        <v>43795</v>
      </c>
      <c r="D589" s="112">
        <v>43839</v>
      </c>
      <c r="E589" s="570"/>
      <c r="F589" s="88" t="s">
        <v>2272</v>
      </c>
      <c r="G589" s="88" t="s">
        <v>186</v>
      </c>
      <c r="H589" s="81" t="s">
        <v>220</v>
      </c>
      <c r="J589" s="75">
        <f t="shared" si="46"/>
        <v>1</v>
      </c>
      <c r="K589" s="76" t="s">
        <v>211</v>
      </c>
      <c r="Q589" s="78" t="s">
        <v>2097</v>
      </c>
      <c r="R589" s="75">
        <f t="shared" si="47"/>
        <v>1</v>
      </c>
      <c r="S589" s="263" t="s">
        <v>1991</v>
      </c>
      <c r="T589" s="263"/>
      <c r="U589" s="263"/>
      <c r="V589" s="263"/>
      <c r="W589" s="263"/>
      <c r="X589" s="263"/>
      <c r="Y589" s="575"/>
      <c r="Z589" s="575"/>
      <c r="AA589" s="576">
        <f t="shared" si="45"/>
        <v>0</v>
      </c>
      <c r="AB589" s="722"/>
    </row>
    <row r="590" spans="1:28" ht="15.75" customHeight="1" x14ac:dyDescent="0.35">
      <c r="A590" s="81" t="s">
        <v>2273</v>
      </c>
      <c r="C590" s="83">
        <v>43796</v>
      </c>
      <c r="D590" s="112">
        <v>43839</v>
      </c>
      <c r="E590" s="570"/>
      <c r="F590" s="88" t="s">
        <v>2274</v>
      </c>
      <c r="G590" s="88" t="s">
        <v>158</v>
      </c>
      <c r="H590" s="81" t="s">
        <v>220</v>
      </c>
      <c r="J590" s="75">
        <f t="shared" si="46"/>
        <v>1</v>
      </c>
      <c r="K590" s="76" t="s">
        <v>211</v>
      </c>
      <c r="Q590" s="78" t="s">
        <v>2097</v>
      </c>
      <c r="R590" s="75">
        <f t="shared" si="47"/>
        <v>1</v>
      </c>
      <c r="S590" s="263" t="s">
        <v>1991</v>
      </c>
      <c r="T590" s="263"/>
      <c r="U590" s="263"/>
      <c r="V590" s="263"/>
      <c r="W590" s="263"/>
      <c r="X590" s="263"/>
      <c r="Y590" s="575"/>
      <c r="Z590" s="575"/>
      <c r="AA590" s="576">
        <f t="shared" si="45"/>
        <v>0</v>
      </c>
      <c r="AB590" s="722"/>
    </row>
    <row r="591" spans="1:28" ht="15.75" customHeight="1" x14ac:dyDescent="0.35">
      <c r="A591" s="81" t="s">
        <v>2281</v>
      </c>
      <c r="C591" s="83">
        <v>43796</v>
      </c>
      <c r="D591" s="112">
        <v>43840</v>
      </c>
      <c r="E591" s="570"/>
      <c r="F591" s="88" t="s">
        <v>2282</v>
      </c>
      <c r="G591" s="88" t="s">
        <v>176</v>
      </c>
      <c r="H591" s="81" t="s">
        <v>220</v>
      </c>
      <c r="J591" s="75">
        <f t="shared" si="46"/>
        <v>1</v>
      </c>
      <c r="K591" s="76" t="s">
        <v>211</v>
      </c>
      <c r="Q591" s="78" t="s">
        <v>2097</v>
      </c>
      <c r="R591" s="75">
        <f t="shared" si="47"/>
        <v>1</v>
      </c>
      <c r="S591" s="263" t="s">
        <v>1991</v>
      </c>
      <c r="T591" s="263"/>
      <c r="U591" s="263"/>
      <c r="V591" s="263"/>
      <c r="W591" s="263"/>
      <c r="X591" s="263"/>
      <c r="Y591" s="575"/>
      <c r="Z591" s="575"/>
      <c r="AA591" s="576">
        <f t="shared" si="45"/>
        <v>0</v>
      </c>
      <c r="AB591" s="722"/>
    </row>
    <row r="592" spans="1:28" ht="15.75" customHeight="1" x14ac:dyDescent="0.35">
      <c r="A592" s="81" t="s">
        <v>2283</v>
      </c>
      <c r="C592" s="83">
        <v>43796</v>
      </c>
      <c r="D592" s="112">
        <v>43840</v>
      </c>
      <c r="E592" s="570"/>
      <c r="F592" s="88" t="s">
        <v>2284</v>
      </c>
      <c r="G592" s="88" t="s">
        <v>152</v>
      </c>
      <c r="H592" s="81" t="s">
        <v>220</v>
      </c>
      <c r="I592" s="98" t="s">
        <v>649</v>
      </c>
      <c r="J592" s="75">
        <f t="shared" si="46"/>
        <v>1</v>
      </c>
      <c r="K592" s="76" t="s">
        <v>211</v>
      </c>
      <c r="N592" s="78" t="s">
        <v>18</v>
      </c>
      <c r="Q592" s="78" t="s">
        <v>2097</v>
      </c>
      <c r="R592" s="75">
        <f t="shared" si="47"/>
        <v>1</v>
      </c>
      <c r="S592" s="263" t="s">
        <v>1991</v>
      </c>
      <c r="T592" s="263"/>
      <c r="U592" s="263"/>
      <c r="V592" s="263"/>
      <c r="W592" s="263"/>
      <c r="X592" s="263"/>
      <c r="Y592" s="575"/>
      <c r="Z592" s="575"/>
      <c r="AA592" s="576">
        <f t="shared" si="45"/>
        <v>0</v>
      </c>
      <c r="AB592" s="722"/>
    </row>
    <row r="593" spans="1:28" ht="15.75" customHeight="1" x14ac:dyDescent="0.35">
      <c r="A593" s="81" t="s">
        <v>2285</v>
      </c>
      <c r="C593" s="83">
        <v>43796</v>
      </c>
      <c r="D593" s="112">
        <v>43840</v>
      </c>
      <c r="E593" s="570"/>
      <c r="F593" s="88" t="s">
        <v>2286</v>
      </c>
      <c r="G593" s="88" t="s">
        <v>158</v>
      </c>
      <c r="H593" s="81" t="s">
        <v>220</v>
      </c>
      <c r="J593" s="75">
        <f t="shared" si="46"/>
        <v>1</v>
      </c>
      <c r="K593" s="76" t="s">
        <v>211</v>
      </c>
      <c r="Q593" s="78" t="s">
        <v>2097</v>
      </c>
      <c r="R593" s="75">
        <f t="shared" si="47"/>
        <v>1</v>
      </c>
      <c r="S593" s="263" t="s">
        <v>1991</v>
      </c>
      <c r="T593" s="263"/>
      <c r="U593" s="263"/>
      <c r="V593" s="263"/>
      <c r="W593" s="263"/>
      <c r="X593" s="263"/>
      <c r="Y593" s="575"/>
      <c r="Z593" s="575"/>
      <c r="AA593" s="576">
        <f t="shared" si="45"/>
        <v>0</v>
      </c>
      <c r="AB593" s="722"/>
    </row>
    <row r="594" spans="1:28" ht="15.75" customHeight="1" x14ac:dyDescent="0.35">
      <c r="A594" s="81" t="s">
        <v>2287</v>
      </c>
      <c r="C594" s="83">
        <v>43798</v>
      </c>
      <c r="D594" s="112">
        <v>43843</v>
      </c>
      <c r="E594" s="570"/>
      <c r="F594" s="88" t="s">
        <v>2288</v>
      </c>
      <c r="G594" s="88" t="s">
        <v>176</v>
      </c>
      <c r="H594" s="81" t="s">
        <v>220</v>
      </c>
      <c r="J594" s="75">
        <f t="shared" si="46"/>
        <v>1</v>
      </c>
      <c r="K594" s="76" t="s">
        <v>211</v>
      </c>
      <c r="Q594" s="78" t="s">
        <v>2097</v>
      </c>
      <c r="R594" s="75">
        <f t="shared" si="47"/>
        <v>1</v>
      </c>
      <c r="S594" s="263" t="s">
        <v>1991</v>
      </c>
      <c r="T594" s="263"/>
      <c r="U594" s="263"/>
      <c r="V594" s="263"/>
      <c r="W594" s="263"/>
      <c r="X594" s="263"/>
      <c r="Y594" s="575"/>
      <c r="Z594" s="575"/>
      <c r="AA594" s="576">
        <f t="shared" si="45"/>
        <v>0</v>
      </c>
      <c r="AB594" s="722"/>
    </row>
    <row r="595" spans="1:28" ht="15.75" customHeight="1" x14ac:dyDescent="0.35">
      <c r="A595" s="81" t="s">
        <v>2532</v>
      </c>
      <c r="C595" s="83">
        <v>43798</v>
      </c>
      <c r="D595" s="112">
        <v>43844</v>
      </c>
      <c r="E595" s="570"/>
      <c r="F595" s="88" t="s">
        <v>2533</v>
      </c>
      <c r="G595" s="88" t="s">
        <v>158</v>
      </c>
      <c r="H595" s="81" t="s">
        <v>220</v>
      </c>
      <c r="I595" s="98" t="s">
        <v>1004</v>
      </c>
      <c r="J595" s="75">
        <f t="shared" si="46"/>
        <v>1</v>
      </c>
      <c r="K595" s="76" t="s">
        <v>211</v>
      </c>
      <c r="N595" s="78" t="s">
        <v>19</v>
      </c>
      <c r="Q595" s="78" t="s">
        <v>2097</v>
      </c>
      <c r="R595" s="75">
        <f t="shared" si="47"/>
        <v>1</v>
      </c>
      <c r="S595" s="263" t="s">
        <v>1991</v>
      </c>
      <c r="T595" s="263"/>
      <c r="U595" s="263"/>
      <c r="V595" s="263"/>
      <c r="W595" s="263"/>
      <c r="X595" s="263"/>
      <c r="Y595" s="575"/>
      <c r="Z595" s="575"/>
      <c r="AA595" s="576">
        <f t="shared" si="45"/>
        <v>0</v>
      </c>
      <c r="AB595" s="722"/>
    </row>
    <row r="596" spans="1:28" ht="15.75" customHeight="1" x14ac:dyDescent="0.35">
      <c r="A596" s="81" t="s">
        <v>2536</v>
      </c>
      <c r="C596" s="83">
        <v>43798</v>
      </c>
      <c r="D596" s="112">
        <v>43844</v>
      </c>
      <c r="E596" s="570"/>
      <c r="F596" s="88" t="s">
        <v>2537</v>
      </c>
      <c r="G596" s="88" t="s">
        <v>162</v>
      </c>
      <c r="H596" s="81" t="s">
        <v>220</v>
      </c>
      <c r="I596" s="98" t="s">
        <v>722</v>
      </c>
      <c r="J596" s="75">
        <f t="shared" si="46"/>
        <v>1</v>
      </c>
      <c r="K596" s="76" t="s">
        <v>211</v>
      </c>
      <c r="N596" s="78" t="s">
        <v>18</v>
      </c>
      <c r="Q596" s="78" t="s">
        <v>2097</v>
      </c>
      <c r="R596" s="75">
        <f t="shared" si="47"/>
        <v>1</v>
      </c>
      <c r="S596" s="263" t="s">
        <v>1991</v>
      </c>
      <c r="T596" s="263"/>
      <c r="U596" s="263"/>
      <c r="V596" s="263"/>
      <c r="W596" s="263"/>
      <c r="X596" s="263"/>
      <c r="Y596" s="575"/>
      <c r="Z596" s="575"/>
      <c r="AA596" s="576">
        <f t="shared" si="45"/>
        <v>0</v>
      </c>
      <c r="AB596" s="722"/>
    </row>
    <row r="597" spans="1:28" ht="15.75" customHeight="1" x14ac:dyDescent="0.35">
      <c r="A597" s="81" t="s">
        <v>2975</v>
      </c>
      <c r="C597" s="83">
        <v>43801</v>
      </c>
      <c r="D597" s="112">
        <v>43845</v>
      </c>
      <c r="E597" s="570"/>
      <c r="F597" s="88" t="s">
        <v>2976</v>
      </c>
      <c r="G597" s="88" t="s">
        <v>158</v>
      </c>
      <c r="H597" s="81" t="s">
        <v>220</v>
      </c>
      <c r="I597" s="98" t="s">
        <v>1004</v>
      </c>
      <c r="J597" s="75">
        <f t="shared" si="46"/>
        <v>1</v>
      </c>
      <c r="K597" s="76" t="s">
        <v>211</v>
      </c>
      <c r="L597" s="99" t="s">
        <v>3272</v>
      </c>
      <c r="N597" s="78" t="s">
        <v>19</v>
      </c>
      <c r="Q597" s="78" t="s">
        <v>2097</v>
      </c>
      <c r="R597" s="75">
        <f t="shared" si="47"/>
        <v>1</v>
      </c>
      <c r="S597" s="263" t="s">
        <v>1991</v>
      </c>
      <c r="T597" s="263"/>
      <c r="U597" s="263"/>
      <c r="V597" s="263"/>
      <c r="W597" s="263"/>
      <c r="X597" s="263"/>
      <c r="Y597" s="575"/>
      <c r="Z597" s="575"/>
      <c r="AA597" s="576">
        <f t="shared" si="45"/>
        <v>0</v>
      </c>
      <c r="AB597" s="722"/>
    </row>
    <row r="598" spans="1:28" ht="15.75" customHeight="1" x14ac:dyDescent="0.35">
      <c r="A598" s="81" t="s">
        <v>2977</v>
      </c>
      <c r="C598" s="83">
        <v>43801</v>
      </c>
      <c r="D598" s="112">
        <v>43845</v>
      </c>
      <c r="E598" s="570"/>
      <c r="F598" s="88" t="s">
        <v>2978</v>
      </c>
      <c r="G598" s="88" t="s">
        <v>154</v>
      </c>
      <c r="H598" s="81" t="s">
        <v>220</v>
      </c>
      <c r="I598" s="98" t="s">
        <v>722</v>
      </c>
      <c r="J598" s="75">
        <f t="shared" si="46"/>
        <v>1</v>
      </c>
      <c r="K598" s="76" t="s">
        <v>211</v>
      </c>
      <c r="L598" s="99" t="s">
        <v>3273</v>
      </c>
      <c r="N598" s="78" t="s">
        <v>17</v>
      </c>
      <c r="Q598" s="78" t="s">
        <v>2097</v>
      </c>
      <c r="R598" s="75">
        <f t="shared" si="47"/>
        <v>1</v>
      </c>
      <c r="S598" s="263" t="s">
        <v>1991</v>
      </c>
      <c r="T598" s="263"/>
      <c r="U598" s="263"/>
      <c r="V598" s="263"/>
      <c r="W598" s="263"/>
      <c r="X598" s="263"/>
      <c r="Y598" s="575"/>
      <c r="Z598" s="575"/>
      <c r="AA598" s="576">
        <f t="shared" si="45"/>
        <v>0</v>
      </c>
      <c r="AB598" s="722"/>
    </row>
    <row r="599" spans="1:28" ht="15.75" customHeight="1" x14ac:dyDescent="0.35">
      <c r="A599" s="81" t="s">
        <v>2546</v>
      </c>
      <c r="C599" s="83">
        <v>43801</v>
      </c>
      <c r="D599" s="112">
        <v>43845</v>
      </c>
      <c r="E599" s="570"/>
      <c r="F599" s="88" t="s">
        <v>2547</v>
      </c>
      <c r="G599" s="88" t="s">
        <v>417</v>
      </c>
      <c r="H599" s="81" t="s">
        <v>220</v>
      </c>
      <c r="I599" s="98" t="s">
        <v>763</v>
      </c>
      <c r="J599" s="75">
        <f t="shared" si="46"/>
        <v>1</v>
      </c>
      <c r="K599" s="76" t="s">
        <v>211</v>
      </c>
      <c r="L599" s="99" t="s">
        <v>3288</v>
      </c>
      <c r="N599" s="78" t="s">
        <v>18</v>
      </c>
      <c r="Q599" s="78" t="s">
        <v>2097</v>
      </c>
      <c r="R599" s="75">
        <f t="shared" si="47"/>
        <v>1</v>
      </c>
      <c r="S599" s="263" t="s">
        <v>1991</v>
      </c>
      <c r="T599" s="263"/>
      <c r="U599" s="263"/>
      <c r="V599" s="263"/>
      <c r="W599" s="263"/>
      <c r="X599" s="263"/>
      <c r="Y599" s="575"/>
      <c r="Z599" s="575"/>
      <c r="AA599" s="576">
        <f t="shared" si="45"/>
        <v>0</v>
      </c>
      <c r="AB599" s="722"/>
    </row>
    <row r="600" spans="1:28" ht="15.75" customHeight="1" x14ac:dyDescent="0.35">
      <c r="A600" s="98" t="s">
        <v>2550</v>
      </c>
      <c r="C600" s="83">
        <v>43802</v>
      </c>
      <c r="D600" s="112">
        <v>43846</v>
      </c>
      <c r="E600" s="570"/>
      <c r="F600" s="88" t="s">
        <v>2551</v>
      </c>
      <c r="G600" s="88" t="s">
        <v>545</v>
      </c>
      <c r="H600" s="81" t="s">
        <v>220</v>
      </c>
      <c r="I600" s="98" t="s">
        <v>722</v>
      </c>
      <c r="J600" s="75">
        <f t="shared" si="46"/>
        <v>1</v>
      </c>
      <c r="K600" s="76" t="s">
        <v>211</v>
      </c>
      <c r="L600" s="99" t="s">
        <v>3296</v>
      </c>
      <c r="N600" s="78" t="s">
        <v>18</v>
      </c>
      <c r="Q600" s="78" t="s">
        <v>2097</v>
      </c>
      <c r="R600" s="75">
        <f t="shared" si="47"/>
        <v>1</v>
      </c>
      <c r="S600" s="263" t="s">
        <v>1991</v>
      </c>
      <c r="T600" s="263"/>
      <c r="U600" s="263"/>
      <c r="V600" s="263"/>
      <c r="W600" s="263"/>
      <c r="X600" s="263"/>
      <c r="Y600" s="575"/>
      <c r="Z600" s="575"/>
      <c r="AA600" s="576">
        <f t="shared" si="45"/>
        <v>0</v>
      </c>
      <c r="AB600" s="722"/>
    </row>
    <row r="601" spans="1:28" ht="15.75" customHeight="1" x14ac:dyDescent="0.35">
      <c r="A601" s="98" t="s">
        <v>2552</v>
      </c>
      <c r="C601" s="83">
        <v>43802</v>
      </c>
      <c r="D601" s="112">
        <v>43846</v>
      </c>
      <c r="E601" s="570"/>
      <c r="F601" s="88" t="s">
        <v>2553</v>
      </c>
      <c r="G601" s="88" t="s">
        <v>181</v>
      </c>
      <c r="H601" s="81" t="s">
        <v>220</v>
      </c>
      <c r="I601" s="98" t="s">
        <v>1294</v>
      </c>
      <c r="J601" s="75">
        <f t="shared" si="46"/>
        <v>1</v>
      </c>
      <c r="K601" s="76" t="s">
        <v>211</v>
      </c>
      <c r="N601" s="78" t="s">
        <v>19</v>
      </c>
      <c r="Q601" s="78" t="s">
        <v>2097</v>
      </c>
      <c r="R601" s="75">
        <f t="shared" si="47"/>
        <v>1</v>
      </c>
      <c r="S601" s="263" t="s">
        <v>1991</v>
      </c>
      <c r="T601" s="263"/>
      <c r="U601" s="263"/>
      <c r="V601" s="263"/>
      <c r="W601" s="263"/>
      <c r="X601" s="263"/>
      <c r="Y601" s="575"/>
      <c r="Z601" s="575"/>
      <c r="AA601" s="576">
        <f t="shared" si="45"/>
        <v>0</v>
      </c>
      <c r="AB601" s="722"/>
    </row>
    <row r="602" spans="1:28" ht="15.75" customHeight="1" x14ac:dyDescent="0.35">
      <c r="A602" s="81" t="s">
        <v>2558</v>
      </c>
      <c r="C602" s="83">
        <v>43803</v>
      </c>
      <c r="D602" s="112">
        <v>43847</v>
      </c>
      <c r="E602" s="570"/>
      <c r="F602" s="88" t="s">
        <v>2559</v>
      </c>
      <c r="G602" s="88" t="s">
        <v>160</v>
      </c>
      <c r="H602" s="81" t="s">
        <v>220</v>
      </c>
      <c r="I602" s="98" t="s">
        <v>649</v>
      </c>
      <c r="J602" s="75">
        <f t="shared" si="46"/>
        <v>1</v>
      </c>
      <c r="K602" s="76" t="s">
        <v>211</v>
      </c>
      <c r="N602" s="78" t="s">
        <v>18</v>
      </c>
      <c r="Q602" s="78" t="s">
        <v>2097</v>
      </c>
      <c r="R602" s="75">
        <f t="shared" si="47"/>
        <v>1</v>
      </c>
      <c r="S602" s="263" t="s">
        <v>1991</v>
      </c>
      <c r="T602" s="263"/>
      <c r="U602" s="263"/>
      <c r="V602" s="263"/>
      <c r="W602" s="263"/>
      <c r="X602" s="263"/>
      <c r="Y602" s="575"/>
      <c r="Z602" s="575"/>
      <c r="AA602" s="576">
        <f t="shared" si="45"/>
        <v>0</v>
      </c>
      <c r="AB602" s="722"/>
    </row>
    <row r="603" spans="1:28" ht="15.75" customHeight="1" x14ac:dyDescent="0.35">
      <c r="A603" s="81" t="s">
        <v>2560</v>
      </c>
      <c r="C603" s="83">
        <v>43803</v>
      </c>
      <c r="D603" s="112">
        <v>43847</v>
      </c>
      <c r="E603" s="570"/>
      <c r="F603" s="88" t="s">
        <v>2561</v>
      </c>
      <c r="G603" s="88" t="s">
        <v>152</v>
      </c>
      <c r="H603" s="81" t="s">
        <v>220</v>
      </c>
      <c r="J603" s="75">
        <f t="shared" si="46"/>
        <v>1</v>
      </c>
      <c r="K603" s="76" t="s">
        <v>211</v>
      </c>
      <c r="N603" s="78" t="s">
        <v>17</v>
      </c>
      <c r="Q603" s="78" t="s">
        <v>2097</v>
      </c>
      <c r="R603" s="75">
        <f t="shared" si="47"/>
        <v>1</v>
      </c>
      <c r="S603" s="263" t="s">
        <v>1991</v>
      </c>
      <c r="T603" s="263"/>
      <c r="U603" s="263"/>
      <c r="V603" s="263"/>
      <c r="W603" s="263"/>
      <c r="X603" s="263"/>
      <c r="Y603" s="575"/>
      <c r="Z603" s="575"/>
      <c r="AA603" s="576">
        <f t="shared" si="45"/>
        <v>0</v>
      </c>
      <c r="AB603" s="722"/>
    </row>
    <row r="604" spans="1:28" ht="15.75" customHeight="1" x14ac:dyDescent="0.35">
      <c r="A604" s="81" t="s">
        <v>2562</v>
      </c>
      <c r="C604" s="83">
        <v>43803</v>
      </c>
      <c r="D604" s="83">
        <v>43847</v>
      </c>
      <c r="E604" s="570"/>
      <c r="F604" s="88" t="s">
        <v>2563</v>
      </c>
      <c r="G604" s="88" t="s">
        <v>152</v>
      </c>
      <c r="H604" s="81" t="s">
        <v>220</v>
      </c>
      <c r="I604" s="98" t="s">
        <v>649</v>
      </c>
      <c r="J604" s="75">
        <f t="shared" si="46"/>
        <v>1</v>
      </c>
      <c r="K604" s="76" t="s">
        <v>211</v>
      </c>
      <c r="N604" s="78" t="s">
        <v>18</v>
      </c>
      <c r="Q604" s="78" t="s">
        <v>2097</v>
      </c>
      <c r="R604" s="75">
        <f t="shared" si="47"/>
        <v>1</v>
      </c>
      <c r="S604" s="263" t="s">
        <v>1991</v>
      </c>
      <c r="T604" s="263"/>
      <c r="U604" s="263"/>
      <c r="V604" s="263"/>
      <c r="W604" s="263"/>
      <c r="X604" s="263"/>
      <c r="Y604" s="575"/>
      <c r="Z604" s="575"/>
      <c r="AA604" s="576">
        <f t="shared" si="45"/>
        <v>0</v>
      </c>
      <c r="AB604" s="722"/>
    </row>
    <row r="605" spans="1:28" ht="15.75" customHeight="1" x14ac:dyDescent="0.35">
      <c r="A605" s="81" t="s">
        <v>2981</v>
      </c>
      <c r="C605" s="83">
        <v>43809</v>
      </c>
      <c r="D605" s="112">
        <v>43839</v>
      </c>
      <c r="E605" s="570"/>
      <c r="F605" s="88" t="s">
        <v>2982</v>
      </c>
      <c r="G605" s="88" t="s">
        <v>158</v>
      </c>
      <c r="H605" s="81" t="s">
        <v>220</v>
      </c>
      <c r="J605" s="75">
        <f t="shared" si="46"/>
        <v>1</v>
      </c>
      <c r="K605" s="76" t="s">
        <v>211</v>
      </c>
      <c r="L605" s="99" t="s">
        <v>3133</v>
      </c>
      <c r="N605" s="78" t="s">
        <v>19</v>
      </c>
      <c r="Q605" s="78" t="s">
        <v>2097</v>
      </c>
      <c r="R605" s="75">
        <f t="shared" si="47"/>
        <v>1</v>
      </c>
      <c r="S605" s="263" t="s">
        <v>1991</v>
      </c>
      <c r="T605" s="263"/>
      <c r="U605" s="263"/>
      <c r="V605" s="263"/>
      <c r="W605" s="263"/>
      <c r="X605" s="263"/>
      <c r="Y605" s="575"/>
      <c r="Z605" s="575"/>
      <c r="AA605" s="576">
        <f t="shared" si="45"/>
        <v>0</v>
      </c>
      <c r="AB605" s="722"/>
    </row>
    <row r="606" spans="1:28" ht="15.75" customHeight="1" x14ac:dyDescent="0.35">
      <c r="A606" s="81" t="s">
        <v>2983</v>
      </c>
      <c r="C606" s="83">
        <v>43809</v>
      </c>
      <c r="D606" s="112">
        <v>43839</v>
      </c>
      <c r="E606" s="570"/>
      <c r="F606" s="88" t="s">
        <v>2984</v>
      </c>
      <c r="G606" s="88" t="s">
        <v>158</v>
      </c>
      <c r="H606" s="81" t="s">
        <v>220</v>
      </c>
      <c r="J606" s="75">
        <f t="shared" si="46"/>
        <v>1</v>
      </c>
      <c r="K606" s="76" t="s">
        <v>211</v>
      </c>
      <c r="Q606" s="78" t="s">
        <v>2097</v>
      </c>
      <c r="R606" s="75">
        <f t="shared" si="47"/>
        <v>1</v>
      </c>
      <c r="S606" s="263" t="s">
        <v>1991</v>
      </c>
      <c r="T606" s="263"/>
      <c r="U606" s="263"/>
      <c r="V606" s="263"/>
      <c r="W606" s="263"/>
      <c r="X606" s="263"/>
      <c r="Y606" s="575"/>
      <c r="Z606" s="575"/>
      <c r="AA606" s="576">
        <f t="shared" si="45"/>
        <v>0</v>
      </c>
      <c r="AB606" s="722"/>
    </row>
    <row r="607" spans="1:28" ht="15.75" customHeight="1" x14ac:dyDescent="0.35">
      <c r="A607" s="81" t="s">
        <v>2985</v>
      </c>
      <c r="C607" s="83">
        <v>43810</v>
      </c>
      <c r="D607" s="83">
        <v>43840</v>
      </c>
      <c r="E607" s="570"/>
      <c r="F607" s="88" t="s">
        <v>2986</v>
      </c>
      <c r="G607" s="88" t="s">
        <v>944</v>
      </c>
      <c r="H607" s="81" t="s">
        <v>220</v>
      </c>
      <c r="J607" s="75">
        <f t="shared" si="46"/>
        <v>1</v>
      </c>
      <c r="K607" s="76" t="s">
        <v>221</v>
      </c>
      <c r="Q607" s="78" t="s">
        <v>2097</v>
      </c>
      <c r="R607" s="75">
        <f t="shared" si="47"/>
        <v>1</v>
      </c>
      <c r="S607" s="263" t="s">
        <v>1991</v>
      </c>
      <c r="T607" s="263"/>
      <c r="U607" s="263"/>
      <c r="V607" s="263"/>
      <c r="W607" s="263"/>
      <c r="X607" s="263"/>
      <c r="Y607" s="575"/>
      <c r="Z607" s="575"/>
      <c r="AA607" s="576">
        <f t="shared" si="45"/>
        <v>0</v>
      </c>
      <c r="AB607" s="722"/>
    </row>
    <row r="608" spans="1:28" ht="15.75" customHeight="1" x14ac:dyDescent="0.35">
      <c r="A608" s="81" t="s">
        <v>2991</v>
      </c>
      <c r="C608" s="83">
        <v>43810</v>
      </c>
      <c r="D608" s="112">
        <v>43839</v>
      </c>
      <c r="E608" s="570"/>
      <c r="F608" s="88" t="s">
        <v>2992</v>
      </c>
      <c r="G608" s="88" t="s">
        <v>154</v>
      </c>
      <c r="H608" s="81" t="s">
        <v>220</v>
      </c>
      <c r="J608" s="75">
        <f t="shared" si="46"/>
        <v>1</v>
      </c>
      <c r="K608" s="76" t="s">
        <v>211</v>
      </c>
      <c r="Q608" s="78" t="s">
        <v>2097</v>
      </c>
      <c r="R608" s="75">
        <f t="shared" si="47"/>
        <v>1</v>
      </c>
      <c r="S608" s="263" t="s">
        <v>1991</v>
      </c>
      <c r="T608" s="263"/>
      <c r="U608" s="263"/>
      <c r="V608" s="263"/>
      <c r="W608" s="263"/>
      <c r="X608" s="263"/>
      <c r="Y608" s="575"/>
      <c r="Z608" s="575"/>
      <c r="AA608" s="576">
        <f t="shared" si="45"/>
        <v>0</v>
      </c>
      <c r="AB608" s="722"/>
    </row>
    <row r="609" spans="1:28" ht="15.75" customHeight="1" x14ac:dyDescent="0.35">
      <c r="A609" s="81" t="s">
        <v>2997</v>
      </c>
      <c r="C609" s="83">
        <v>43811</v>
      </c>
      <c r="D609" s="112">
        <v>43843</v>
      </c>
      <c r="E609" s="570"/>
      <c r="F609" s="88" t="s">
        <v>2998</v>
      </c>
      <c r="G609" s="88" t="s">
        <v>154</v>
      </c>
      <c r="H609" s="81" t="s">
        <v>220</v>
      </c>
      <c r="J609" s="75">
        <f t="shared" si="46"/>
        <v>1</v>
      </c>
      <c r="K609" s="76" t="s">
        <v>211</v>
      </c>
      <c r="Q609" s="78" t="s">
        <v>2097</v>
      </c>
      <c r="R609" s="75">
        <f t="shared" si="47"/>
        <v>1</v>
      </c>
      <c r="S609" s="263" t="s">
        <v>1991</v>
      </c>
      <c r="T609" s="263"/>
      <c r="U609" s="263"/>
      <c r="V609" s="263"/>
      <c r="W609" s="263"/>
      <c r="X609" s="263"/>
      <c r="Y609" s="575"/>
      <c r="Z609" s="575"/>
      <c r="AA609" s="576">
        <f t="shared" si="45"/>
        <v>0</v>
      </c>
      <c r="AB609" s="722"/>
    </row>
    <row r="610" spans="1:28" ht="15.75" customHeight="1" x14ac:dyDescent="0.35">
      <c r="A610" s="81" t="s">
        <v>3001</v>
      </c>
      <c r="C610" s="83">
        <v>43811</v>
      </c>
      <c r="D610" s="112">
        <v>43843</v>
      </c>
      <c r="E610" s="570"/>
      <c r="F610" s="88" t="s">
        <v>3002</v>
      </c>
      <c r="G610" s="88" t="s">
        <v>152</v>
      </c>
      <c r="H610" s="81" t="s">
        <v>220</v>
      </c>
      <c r="J610" s="75">
        <f t="shared" si="46"/>
        <v>1</v>
      </c>
      <c r="K610" s="76" t="s">
        <v>211</v>
      </c>
      <c r="Q610" s="78" t="s">
        <v>2097</v>
      </c>
      <c r="R610" s="75">
        <f t="shared" si="47"/>
        <v>1</v>
      </c>
      <c r="S610" s="263" t="s">
        <v>1991</v>
      </c>
      <c r="T610" s="263"/>
      <c r="U610" s="263"/>
      <c r="V610" s="263"/>
      <c r="W610" s="263"/>
      <c r="X610" s="263"/>
      <c r="Y610" s="575"/>
      <c r="Z610" s="575"/>
      <c r="AA610" s="576">
        <f t="shared" si="45"/>
        <v>0</v>
      </c>
      <c r="AB610" s="722"/>
    </row>
    <row r="611" spans="1:28" ht="15.75" customHeight="1" x14ac:dyDescent="0.35">
      <c r="A611" s="81" t="s">
        <v>3003</v>
      </c>
      <c r="C611" s="83">
        <v>43812</v>
      </c>
      <c r="D611" s="112">
        <v>43844</v>
      </c>
      <c r="E611" s="570"/>
      <c r="F611" s="88" t="s">
        <v>3004</v>
      </c>
      <c r="G611" s="88" t="s">
        <v>186</v>
      </c>
      <c r="H611" s="81" t="s">
        <v>220</v>
      </c>
      <c r="J611" s="75">
        <f t="shared" si="46"/>
        <v>1</v>
      </c>
      <c r="K611" s="76" t="s">
        <v>211</v>
      </c>
      <c r="Q611" s="78" t="s">
        <v>2097</v>
      </c>
      <c r="R611" s="75">
        <f t="shared" si="47"/>
        <v>1</v>
      </c>
      <c r="S611" s="263" t="s">
        <v>1991</v>
      </c>
      <c r="T611" s="263"/>
      <c r="U611" s="263"/>
      <c r="V611" s="263"/>
      <c r="W611" s="263"/>
      <c r="X611" s="263"/>
      <c r="Y611" s="575"/>
      <c r="Z611" s="575"/>
      <c r="AA611" s="576">
        <f t="shared" si="45"/>
        <v>0</v>
      </c>
      <c r="AB611" s="722"/>
    </row>
    <row r="612" spans="1:28" ht="15.75" customHeight="1" x14ac:dyDescent="0.35">
      <c r="A612" s="81" t="s">
        <v>3009</v>
      </c>
      <c r="C612" s="83">
        <v>43815</v>
      </c>
      <c r="D612" s="112">
        <v>43845</v>
      </c>
      <c r="E612" s="570"/>
      <c r="F612" s="88" t="s">
        <v>3010</v>
      </c>
      <c r="G612" s="88" t="s">
        <v>158</v>
      </c>
      <c r="H612" s="81" t="s">
        <v>220</v>
      </c>
      <c r="I612" s="98" t="s">
        <v>1004</v>
      </c>
      <c r="J612" s="75">
        <f t="shared" si="46"/>
        <v>1</v>
      </c>
      <c r="K612" s="76" t="s">
        <v>211</v>
      </c>
      <c r="N612" s="78" t="s">
        <v>19</v>
      </c>
      <c r="Q612" s="78" t="s">
        <v>2097</v>
      </c>
      <c r="R612" s="75">
        <f t="shared" si="47"/>
        <v>1</v>
      </c>
      <c r="S612" s="263" t="s">
        <v>1991</v>
      </c>
      <c r="T612" s="263"/>
      <c r="U612" s="263"/>
      <c r="V612" s="263"/>
      <c r="W612" s="263"/>
      <c r="X612" s="263"/>
      <c r="Y612" s="575"/>
      <c r="Z612" s="575"/>
      <c r="AA612" s="576">
        <f t="shared" si="45"/>
        <v>0</v>
      </c>
      <c r="AB612" s="722"/>
    </row>
    <row r="613" spans="1:28" ht="15.75" customHeight="1" x14ac:dyDescent="0.35">
      <c r="A613" s="81" t="s">
        <v>3015</v>
      </c>
      <c r="C613" s="83">
        <v>43815</v>
      </c>
      <c r="D613" s="112">
        <v>43845</v>
      </c>
      <c r="E613" s="570"/>
      <c r="F613" s="88" t="s">
        <v>3016</v>
      </c>
      <c r="G613" s="88" t="s">
        <v>158</v>
      </c>
      <c r="H613" s="81" t="s">
        <v>220</v>
      </c>
      <c r="I613" s="98" t="s">
        <v>1004</v>
      </c>
      <c r="J613" s="75">
        <f t="shared" si="46"/>
        <v>1</v>
      </c>
      <c r="K613" s="76" t="s">
        <v>211</v>
      </c>
      <c r="N613" s="78" t="s">
        <v>19</v>
      </c>
      <c r="Q613" s="78" t="s">
        <v>2097</v>
      </c>
      <c r="R613" s="75">
        <f t="shared" si="47"/>
        <v>1</v>
      </c>
      <c r="S613" s="263" t="s">
        <v>1991</v>
      </c>
      <c r="T613" s="263"/>
      <c r="U613" s="263"/>
      <c r="V613" s="263"/>
      <c r="W613" s="263"/>
      <c r="X613" s="263"/>
      <c r="Y613" s="575"/>
      <c r="Z613" s="575"/>
      <c r="AA613" s="576">
        <f t="shared" si="45"/>
        <v>0</v>
      </c>
      <c r="AB613" s="722"/>
    </row>
    <row r="614" spans="1:28" ht="15.75" customHeight="1" x14ac:dyDescent="0.35">
      <c r="A614" s="98" t="s">
        <v>3019</v>
      </c>
      <c r="C614" s="83">
        <v>43816</v>
      </c>
      <c r="D614" s="112">
        <v>43846</v>
      </c>
      <c r="E614" s="570"/>
      <c r="F614" s="88" t="s">
        <v>3020</v>
      </c>
      <c r="G614" s="88" t="s">
        <v>158</v>
      </c>
      <c r="H614" s="81" t="s">
        <v>220</v>
      </c>
      <c r="I614" s="98" t="s">
        <v>3305</v>
      </c>
      <c r="J614" s="75">
        <f t="shared" si="46"/>
        <v>1</v>
      </c>
      <c r="K614" s="76" t="s">
        <v>211</v>
      </c>
      <c r="N614" s="78" t="s">
        <v>17</v>
      </c>
      <c r="Q614" s="78" t="s">
        <v>2097</v>
      </c>
      <c r="R614" s="75">
        <f t="shared" si="47"/>
        <v>1</v>
      </c>
      <c r="S614" s="263" t="s">
        <v>1991</v>
      </c>
      <c r="T614" s="263"/>
      <c r="U614" s="263"/>
      <c r="V614" s="263"/>
      <c r="W614" s="263"/>
      <c r="X614" s="263"/>
      <c r="Y614" s="575"/>
      <c r="Z614" s="575"/>
      <c r="AA614" s="576">
        <f t="shared" si="45"/>
        <v>0</v>
      </c>
      <c r="AB614" s="722"/>
    </row>
    <row r="615" spans="1:28" ht="15.75" customHeight="1" x14ac:dyDescent="0.35">
      <c r="A615" s="81" t="s">
        <v>3021</v>
      </c>
      <c r="C615" s="83">
        <v>43816</v>
      </c>
      <c r="D615" s="112">
        <v>43846</v>
      </c>
      <c r="E615" s="570"/>
      <c r="F615" s="88" t="s">
        <v>3022</v>
      </c>
      <c r="G615" s="88" t="s">
        <v>158</v>
      </c>
      <c r="H615" s="81" t="s">
        <v>220</v>
      </c>
      <c r="J615" s="75">
        <f t="shared" si="46"/>
        <v>1</v>
      </c>
      <c r="K615" s="76" t="s">
        <v>211</v>
      </c>
      <c r="Q615" s="78" t="s">
        <v>2097</v>
      </c>
      <c r="R615" s="75">
        <f t="shared" si="47"/>
        <v>1</v>
      </c>
      <c r="S615" s="263" t="s">
        <v>1991</v>
      </c>
      <c r="T615" s="263"/>
      <c r="U615" s="263"/>
      <c r="V615" s="263"/>
      <c r="W615" s="263"/>
      <c r="X615" s="263"/>
      <c r="Y615" s="575"/>
      <c r="Z615" s="575"/>
      <c r="AA615" s="576">
        <f t="shared" si="45"/>
        <v>0</v>
      </c>
      <c r="AB615" s="722"/>
    </row>
    <row r="616" spans="1:28" ht="15.75" customHeight="1" x14ac:dyDescent="0.35">
      <c r="A616" s="81" t="s">
        <v>3024</v>
      </c>
      <c r="C616" s="83">
        <v>43777</v>
      </c>
      <c r="D616" s="112">
        <v>43844</v>
      </c>
      <c r="E616" s="570"/>
      <c r="F616" s="88" t="s">
        <v>3025</v>
      </c>
      <c r="G616" s="88" t="s">
        <v>154</v>
      </c>
      <c r="H616" s="81" t="s">
        <v>220</v>
      </c>
      <c r="I616" s="98" t="s">
        <v>698</v>
      </c>
      <c r="J616" s="75">
        <f t="shared" si="46"/>
        <v>1</v>
      </c>
      <c r="K616" s="76" t="s">
        <v>211</v>
      </c>
      <c r="L616" s="99" t="s">
        <v>3262</v>
      </c>
      <c r="Q616" s="78" t="s">
        <v>2056</v>
      </c>
      <c r="R616" s="75">
        <f t="shared" si="47"/>
        <v>1</v>
      </c>
      <c r="S616" s="263" t="s">
        <v>1991</v>
      </c>
      <c r="T616" s="263"/>
      <c r="U616" s="263"/>
      <c r="V616" s="263"/>
      <c r="W616" s="263"/>
      <c r="X616" s="263"/>
      <c r="Y616" s="575"/>
      <c r="Z616" s="575"/>
      <c r="AA616" s="576">
        <f t="shared" si="45"/>
        <v>0</v>
      </c>
      <c r="AB616" s="722"/>
    </row>
    <row r="617" spans="1:28" ht="15.75" customHeight="1" x14ac:dyDescent="0.35">
      <c r="A617" s="81" t="s">
        <v>3026</v>
      </c>
      <c r="C617" s="83">
        <v>43782</v>
      </c>
      <c r="D617" s="112">
        <v>43840</v>
      </c>
      <c r="E617" s="570"/>
      <c r="F617" s="88" t="s">
        <v>3027</v>
      </c>
      <c r="G617" s="88" t="s">
        <v>417</v>
      </c>
      <c r="H617" s="81" t="s">
        <v>220</v>
      </c>
      <c r="J617" s="75">
        <f t="shared" si="46"/>
        <v>1</v>
      </c>
      <c r="K617" s="76" t="s">
        <v>211</v>
      </c>
      <c r="Q617" s="78" t="s">
        <v>2056</v>
      </c>
      <c r="R617" s="75">
        <f t="shared" si="47"/>
        <v>1</v>
      </c>
      <c r="S617" s="263" t="s">
        <v>1991</v>
      </c>
      <c r="T617" s="263"/>
      <c r="U617" s="263"/>
      <c r="V617" s="263"/>
      <c r="W617" s="263"/>
      <c r="X617" s="263"/>
      <c r="Y617" s="575"/>
      <c r="Z617" s="575"/>
      <c r="AA617" s="576">
        <f t="shared" si="45"/>
        <v>0</v>
      </c>
      <c r="AB617" s="722"/>
    </row>
    <row r="618" spans="1:28" ht="15.75" customHeight="1" x14ac:dyDescent="0.35">
      <c r="A618" s="81" t="s">
        <v>3028</v>
      </c>
      <c r="C618" s="83">
        <v>43784</v>
      </c>
      <c r="D618" s="112">
        <v>43843</v>
      </c>
      <c r="E618" s="570"/>
      <c r="F618" s="88" t="s">
        <v>3029</v>
      </c>
      <c r="G618" s="88" t="s">
        <v>158</v>
      </c>
      <c r="H618" s="81" t="s">
        <v>220</v>
      </c>
      <c r="J618" s="75">
        <f t="shared" ref="J618:J662" si="48">IF(OR(K618="Документы готовы",K618="Запрос в ФО",K618="ЭЗ",K618="РЕШ",K618="РЕШ шаблон"),0.1,IF(OR(K618="ЭЗ согласование",K618="РЕШ согласование"),0.3,IF(OR(K618="ЭЗ согласовано",K618="РЕШ согласовано",K618="РЕШ подписано"),0.6,IF(OR(K618="ЭЗ ПР согласование",K618="РЕШ УВ согласование"),0.9,IF(OR(K618="ЭЗ ПР DONE",K618="РЕШ УВ DONE"),1,0)))))</f>
        <v>1</v>
      </c>
      <c r="K618" s="76" t="s">
        <v>211</v>
      </c>
      <c r="Q618" s="78" t="s">
        <v>2056</v>
      </c>
      <c r="R618" s="75">
        <f t="shared" ref="R618:R662" si="49">IF(S618="В работе",0.3,IF(S618="Отписано",0.6,IF(S618="На доработку",0.9,IF(S618="Согласовано",1,0))))</f>
        <v>1</v>
      </c>
      <c r="S618" s="263" t="s">
        <v>1991</v>
      </c>
      <c r="T618" s="263"/>
      <c r="U618" s="263"/>
      <c r="V618" s="263"/>
      <c r="W618" s="263"/>
      <c r="X618" s="263"/>
      <c r="Y618" s="575"/>
      <c r="Z618" s="575"/>
      <c r="AA618" s="576">
        <f t="shared" si="45"/>
        <v>0</v>
      </c>
      <c r="AB618" s="722"/>
    </row>
    <row r="619" spans="1:28" ht="15.75" customHeight="1" x14ac:dyDescent="0.35">
      <c r="A619" s="81" t="s">
        <v>3030</v>
      </c>
      <c r="C619" s="83">
        <v>43787</v>
      </c>
      <c r="D619" s="112">
        <v>43844</v>
      </c>
      <c r="E619" s="570"/>
      <c r="F619" s="88" t="s">
        <v>3031</v>
      </c>
      <c r="G619" s="88" t="s">
        <v>162</v>
      </c>
      <c r="H619" s="81" t="s">
        <v>220</v>
      </c>
      <c r="I619" s="98" t="s">
        <v>649</v>
      </c>
      <c r="J619" s="75">
        <f t="shared" si="48"/>
        <v>1</v>
      </c>
      <c r="K619" s="76" t="s">
        <v>211</v>
      </c>
      <c r="N619" s="78" t="s">
        <v>18</v>
      </c>
      <c r="Q619" s="78" t="s">
        <v>2056</v>
      </c>
      <c r="R619" s="75">
        <f t="shared" si="49"/>
        <v>1</v>
      </c>
      <c r="S619" s="263" t="s">
        <v>1991</v>
      </c>
      <c r="T619" s="263"/>
      <c r="U619" s="263"/>
      <c r="V619" s="263"/>
      <c r="W619" s="263"/>
      <c r="X619" s="263"/>
      <c r="Y619" s="575"/>
      <c r="Z619" s="575"/>
      <c r="AA619" s="576">
        <f t="shared" si="45"/>
        <v>0</v>
      </c>
      <c r="AB619" s="722"/>
    </row>
    <row r="620" spans="1:28" ht="15.75" customHeight="1" x14ac:dyDescent="0.35">
      <c r="A620" s="98" t="s">
        <v>3032</v>
      </c>
      <c r="C620" s="83">
        <v>43790</v>
      </c>
      <c r="D620" s="112">
        <v>43847</v>
      </c>
      <c r="E620" s="570"/>
      <c r="F620" s="88" t="s">
        <v>3033</v>
      </c>
      <c r="G620" s="88" t="s">
        <v>162</v>
      </c>
      <c r="H620" s="81" t="s">
        <v>220</v>
      </c>
      <c r="I620" s="98" t="s">
        <v>611</v>
      </c>
      <c r="J620" s="75">
        <f t="shared" si="48"/>
        <v>1</v>
      </c>
      <c r="K620" s="76" t="s">
        <v>211</v>
      </c>
      <c r="L620" s="99" t="s">
        <v>3309</v>
      </c>
      <c r="N620" s="78" t="s">
        <v>18</v>
      </c>
      <c r="Q620" s="78" t="s">
        <v>2056</v>
      </c>
      <c r="R620" s="75">
        <f t="shared" si="49"/>
        <v>1</v>
      </c>
      <c r="S620" s="263" t="s">
        <v>1991</v>
      </c>
      <c r="T620" s="263"/>
      <c r="U620" s="263"/>
      <c r="V620" s="263"/>
      <c r="W620" s="263"/>
      <c r="X620" s="263"/>
      <c r="Y620" s="575"/>
      <c r="Z620" s="575"/>
      <c r="AA620" s="576">
        <f t="shared" si="45"/>
        <v>0</v>
      </c>
      <c r="AB620" s="722"/>
    </row>
    <row r="621" spans="1:28" ht="15.75" customHeight="1" x14ac:dyDescent="0.35">
      <c r="A621" s="81" t="s">
        <v>3034</v>
      </c>
      <c r="C621" s="83">
        <v>43796</v>
      </c>
      <c r="D621" s="112">
        <v>43839</v>
      </c>
      <c r="E621" s="570"/>
      <c r="F621" s="88" t="s">
        <v>3035</v>
      </c>
      <c r="G621" s="88" t="s">
        <v>158</v>
      </c>
      <c r="H621" s="81" t="s">
        <v>220</v>
      </c>
      <c r="I621" s="98" t="s">
        <v>2517</v>
      </c>
      <c r="J621" s="75">
        <f t="shared" si="48"/>
        <v>1</v>
      </c>
      <c r="K621" s="76" t="s">
        <v>211</v>
      </c>
      <c r="Q621" s="78" t="s">
        <v>2056</v>
      </c>
      <c r="R621" s="75">
        <f t="shared" si="49"/>
        <v>1</v>
      </c>
      <c r="S621" s="263" t="s">
        <v>1991</v>
      </c>
      <c r="T621" s="263"/>
      <c r="U621" s="263"/>
      <c r="V621" s="263"/>
      <c r="W621" s="263"/>
      <c r="X621" s="263"/>
      <c r="Y621" s="575"/>
      <c r="Z621" s="575"/>
      <c r="AA621" s="576">
        <f t="shared" si="45"/>
        <v>0</v>
      </c>
      <c r="AB621" s="722"/>
    </row>
    <row r="622" spans="1:28" ht="15.75" customHeight="1" x14ac:dyDescent="0.35">
      <c r="A622" s="81" t="s">
        <v>3036</v>
      </c>
      <c r="C622" s="83">
        <v>43796</v>
      </c>
      <c r="D622" s="112">
        <v>43839</v>
      </c>
      <c r="E622" s="570"/>
      <c r="F622" s="88" t="s">
        <v>3037</v>
      </c>
      <c r="G622" s="88" t="s">
        <v>154</v>
      </c>
      <c r="H622" s="81" t="s">
        <v>220</v>
      </c>
      <c r="J622" s="75">
        <f t="shared" si="48"/>
        <v>1</v>
      </c>
      <c r="K622" s="76" t="s">
        <v>211</v>
      </c>
      <c r="Q622" s="78" t="s">
        <v>2056</v>
      </c>
      <c r="R622" s="75">
        <f t="shared" si="49"/>
        <v>1</v>
      </c>
      <c r="S622" s="263" t="s">
        <v>1991</v>
      </c>
      <c r="T622" s="263"/>
      <c r="U622" s="263"/>
      <c r="V622" s="263"/>
      <c r="W622" s="263"/>
      <c r="X622" s="263"/>
      <c r="Y622" s="575"/>
      <c r="Z622" s="575"/>
      <c r="AA622" s="576">
        <f t="shared" si="45"/>
        <v>0</v>
      </c>
      <c r="AB622" s="722"/>
    </row>
    <row r="623" spans="1:28" ht="15.75" customHeight="1" x14ac:dyDescent="0.35">
      <c r="A623" s="81" t="s">
        <v>3038</v>
      </c>
      <c r="C623" s="83">
        <v>43797</v>
      </c>
      <c r="D623" s="112">
        <v>43840</v>
      </c>
      <c r="E623" s="570"/>
      <c r="F623" s="88" t="s">
        <v>3039</v>
      </c>
      <c r="G623" s="88" t="s">
        <v>186</v>
      </c>
      <c r="H623" s="81" t="s">
        <v>220</v>
      </c>
      <c r="J623" s="75">
        <f t="shared" si="48"/>
        <v>1</v>
      </c>
      <c r="K623" s="76" t="s">
        <v>211</v>
      </c>
      <c r="Q623" s="304" t="s">
        <v>2056</v>
      </c>
      <c r="R623" s="75">
        <f t="shared" si="49"/>
        <v>1</v>
      </c>
      <c r="S623" s="263" t="s">
        <v>1991</v>
      </c>
      <c r="T623" s="263"/>
      <c r="U623" s="263"/>
      <c r="V623" s="263"/>
      <c r="W623" s="263"/>
      <c r="X623" s="263"/>
      <c r="Y623" s="575"/>
      <c r="Z623" s="575"/>
      <c r="AA623" s="576">
        <f t="shared" si="45"/>
        <v>0</v>
      </c>
      <c r="AB623" s="722"/>
    </row>
    <row r="624" spans="1:28" ht="15.75" customHeight="1" x14ac:dyDescent="0.35">
      <c r="A624" s="81" t="s">
        <v>2797</v>
      </c>
      <c r="C624" s="83">
        <v>43802</v>
      </c>
      <c r="D624" s="112">
        <v>43845</v>
      </c>
      <c r="E624" s="570"/>
      <c r="F624" s="88" t="s">
        <v>2822</v>
      </c>
      <c r="G624" s="88" t="s">
        <v>152</v>
      </c>
      <c r="H624" s="81" t="s">
        <v>220</v>
      </c>
      <c r="I624" s="98" t="s">
        <v>722</v>
      </c>
      <c r="J624" s="75">
        <f t="shared" si="48"/>
        <v>1</v>
      </c>
      <c r="K624" s="76" t="s">
        <v>211</v>
      </c>
      <c r="L624" s="99" t="s">
        <v>3269</v>
      </c>
      <c r="N624" s="78" t="s">
        <v>18</v>
      </c>
      <c r="Q624" s="78" t="s">
        <v>2056</v>
      </c>
      <c r="R624" s="75">
        <f t="shared" si="49"/>
        <v>1</v>
      </c>
      <c r="S624" s="263" t="s">
        <v>1991</v>
      </c>
      <c r="T624" s="263"/>
      <c r="U624" s="263"/>
      <c r="V624" s="263"/>
      <c r="W624" s="263"/>
      <c r="X624" s="263"/>
      <c r="Y624" s="575"/>
      <c r="Z624" s="575"/>
      <c r="AA624" s="576">
        <f t="shared" si="45"/>
        <v>0</v>
      </c>
      <c r="AB624" s="722"/>
    </row>
    <row r="625" spans="1:28" ht="15.75" customHeight="1" x14ac:dyDescent="0.35">
      <c r="A625" s="81" t="s">
        <v>2798</v>
      </c>
      <c r="C625" s="83">
        <v>43802</v>
      </c>
      <c r="D625" s="112">
        <v>43845</v>
      </c>
      <c r="E625" s="570"/>
      <c r="F625" s="88" t="s">
        <v>2823</v>
      </c>
      <c r="G625" s="88" t="s">
        <v>154</v>
      </c>
      <c r="H625" s="81" t="s">
        <v>220</v>
      </c>
      <c r="J625" s="75">
        <f t="shared" si="48"/>
        <v>1</v>
      </c>
      <c r="K625" s="76" t="s">
        <v>211</v>
      </c>
      <c r="L625" s="99" t="s">
        <v>3270</v>
      </c>
      <c r="N625" s="78" t="s">
        <v>17</v>
      </c>
      <c r="Q625" s="78" t="s">
        <v>2056</v>
      </c>
      <c r="R625" s="75">
        <f t="shared" si="49"/>
        <v>1</v>
      </c>
      <c r="S625" s="263" t="s">
        <v>1991</v>
      </c>
      <c r="T625" s="263"/>
      <c r="U625" s="263"/>
      <c r="V625" s="263"/>
      <c r="W625" s="263"/>
      <c r="X625" s="263"/>
      <c r="Y625" s="575"/>
      <c r="Z625" s="575"/>
      <c r="AA625" s="576">
        <f t="shared" si="45"/>
        <v>0</v>
      </c>
      <c r="AB625" s="722"/>
    </row>
    <row r="626" spans="1:28" ht="15.75" customHeight="1" x14ac:dyDescent="0.35">
      <c r="A626" s="81" t="s">
        <v>2799</v>
      </c>
      <c r="C626" s="83">
        <v>43802</v>
      </c>
      <c r="D626" s="112">
        <v>43845</v>
      </c>
      <c r="E626" s="570"/>
      <c r="F626" s="88" t="s">
        <v>2824</v>
      </c>
      <c r="G626" s="88" t="s">
        <v>149</v>
      </c>
      <c r="H626" s="81" t="s">
        <v>220</v>
      </c>
      <c r="I626" s="98" t="s">
        <v>652</v>
      </c>
      <c r="J626" s="75">
        <f t="shared" si="48"/>
        <v>1</v>
      </c>
      <c r="K626" s="76" t="s">
        <v>211</v>
      </c>
      <c r="L626" s="99" t="s">
        <v>3271</v>
      </c>
      <c r="N626" s="78" t="s">
        <v>17</v>
      </c>
      <c r="Q626" s="78" t="s">
        <v>2056</v>
      </c>
      <c r="R626" s="75">
        <f t="shared" si="49"/>
        <v>1</v>
      </c>
      <c r="S626" s="263" t="s">
        <v>1991</v>
      </c>
      <c r="T626" s="263"/>
      <c r="U626" s="263"/>
      <c r="V626" s="263"/>
      <c r="W626" s="263"/>
      <c r="X626" s="263"/>
      <c r="Y626" s="575"/>
      <c r="Z626" s="575"/>
      <c r="AA626" s="576">
        <f t="shared" si="45"/>
        <v>0</v>
      </c>
      <c r="AB626" s="722"/>
    </row>
    <row r="627" spans="1:28" ht="15.75" customHeight="1" x14ac:dyDescent="0.35">
      <c r="A627" s="98" t="s">
        <v>3040</v>
      </c>
      <c r="C627" s="83">
        <v>43803</v>
      </c>
      <c r="D627" s="112">
        <v>43847</v>
      </c>
      <c r="E627" s="570"/>
      <c r="F627" s="88" t="s">
        <v>3041</v>
      </c>
      <c r="G627" s="88" t="s">
        <v>195</v>
      </c>
      <c r="H627" s="81" t="s">
        <v>220</v>
      </c>
      <c r="I627" s="98" t="s">
        <v>722</v>
      </c>
      <c r="J627" s="75">
        <f t="shared" si="48"/>
        <v>1</v>
      </c>
      <c r="K627" s="76" t="s">
        <v>211</v>
      </c>
      <c r="N627" s="78" t="s">
        <v>18</v>
      </c>
      <c r="Q627" s="78" t="s">
        <v>2056</v>
      </c>
      <c r="R627" s="75">
        <f t="shared" si="49"/>
        <v>1</v>
      </c>
      <c r="S627" s="263" t="s">
        <v>1991</v>
      </c>
      <c r="T627" s="263"/>
      <c r="U627" s="263"/>
      <c r="V627" s="263"/>
      <c r="W627" s="263"/>
      <c r="X627" s="263"/>
      <c r="Y627" s="575"/>
      <c r="Z627" s="575"/>
      <c r="AA627" s="576">
        <f t="shared" si="45"/>
        <v>0</v>
      </c>
      <c r="AB627" s="722"/>
    </row>
    <row r="628" spans="1:28" ht="15.75" customHeight="1" x14ac:dyDescent="0.35">
      <c r="A628" s="98" t="s">
        <v>3042</v>
      </c>
      <c r="C628" s="83">
        <v>43803</v>
      </c>
      <c r="D628" s="112">
        <v>43847</v>
      </c>
      <c r="E628" s="570"/>
      <c r="F628" s="88" t="s">
        <v>3043</v>
      </c>
      <c r="G628" s="88" t="s">
        <v>149</v>
      </c>
      <c r="H628" s="81" t="s">
        <v>220</v>
      </c>
      <c r="J628" s="75">
        <f t="shared" si="48"/>
        <v>1</v>
      </c>
      <c r="K628" s="76" t="s">
        <v>211</v>
      </c>
      <c r="N628" s="78" t="s">
        <v>18</v>
      </c>
      <c r="Q628" s="78" t="s">
        <v>2056</v>
      </c>
      <c r="R628" s="75">
        <f t="shared" si="49"/>
        <v>1</v>
      </c>
      <c r="S628" s="263" t="s">
        <v>1991</v>
      </c>
      <c r="T628" s="263"/>
      <c r="U628" s="263"/>
      <c r="V628" s="263"/>
      <c r="W628" s="263"/>
      <c r="X628" s="263"/>
      <c r="Y628" s="575"/>
      <c r="Z628" s="575"/>
      <c r="AA628" s="576">
        <f t="shared" si="45"/>
        <v>0</v>
      </c>
      <c r="AB628" s="722"/>
    </row>
    <row r="629" spans="1:28" ht="15.75" customHeight="1" x14ac:dyDescent="0.35">
      <c r="A629" s="98" t="s">
        <v>2801</v>
      </c>
      <c r="C629" s="83">
        <v>43803</v>
      </c>
      <c r="D629" s="112">
        <v>43846</v>
      </c>
      <c r="E629" s="570"/>
      <c r="F629" s="88" t="s">
        <v>2826</v>
      </c>
      <c r="G629" s="88" t="s">
        <v>154</v>
      </c>
      <c r="H629" s="81" t="s">
        <v>220</v>
      </c>
      <c r="I629" s="98" t="s">
        <v>649</v>
      </c>
      <c r="J629" s="75">
        <f t="shared" si="48"/>
        <v>1</v>
      </c>
      <c r="K629" s="76" t="s">
        <v>211</v>
      </c>
      <c r="N629" s="78" t="s">
        <v>18</v>
      </c>
      <c r="Q629" s="78" t="s">
        <v>2056</v>
      </c>
      <c r="R629" s="75">
        <f t="shared" si="49"/>
        <v>1</v>
      </c>
      <c r="S629" s="263" t="s">
        <v>1991</v>
      </c>
      <c r="T629" s="263"/>
      <c r="U629" s="263"/>
      <c r="V629" s="263"/>
      <c r="W629" s="263"/>
      <c r="X629" s="263"/>
      <c r="Y629" s="575"/>
      <c r="Z629" s="575"/>
      <c r="AA629" s="576">
        <f t="shared" si="45"/>
        <v>0</v>
      </c>
      <c r="AB629" s="722"/>
    </row>
    <row r="630" spans="1:28" ht="15.75" customHeight="1" x14ac:dyDescent="0.35">
      <c r="A630" s="98" t="s">
        <v>2803</v>
      </c>
      <c r="C630" s="83">
        <v>43803</v>
      </c>
      <c r="D630" s="112">
        <v>43846</v>
      </c>
      <c r="E630" s="570"/>
      <c r="F630" s="88" t="s">
        <v>2828</v>
      </c>
      <c r="G630" s="88" t="s">
        <v>176</v>
      </c>
      <c r="H630" s="81" t="s">
        <v>220</v>
      </c>
      <c r="I630" s="98" t="s">
        <v>649</v>
      </c>
      <c r="J630" s="75">
        <f t="shared" si="48"/>
        <v>1</v>
      </c>
      <c r="K630" s="76" t="s">
        <v>211</v>
      </c>
      <c r="L630" s="99" t="s">
        <v>3289</v>
      </c>
      <c r="N630" s="78" t="s">
        <v>18</v>
      </c>
      <c r="Q630" s="78" t="s">
        <v>2056</v>
      </c>
      <c r="R630" s="75">
        <f t="shared" si="49"/>
        <v>1</v>
      </c>
      <c r="S630" s="263" t="s">
        <v>1991</v>
      </c>
      <c r="T630" s="263"/>
      <c r="U630" s="263"/>
      <c r="V630" s="263"/>
      <c r="W630" s="263"/>
      <c r="X630" s="263"/>
      <c r="Y630" s="575"/>
      <c r="Z630" s="575"/>
      <c r="AA630" s="576">
        <f t="shared" si="45"/>
        <v>0</v>
      </c>
      <c r="AB630" s="722"/>
    </row>
    <row r="631" spans="1:28" ht="15.75" customHeight="1" x14ac:dyDescent="0.35">
      <c r="A631" s="81" t="s">
        <v>3048</v>
      </c>
      <c r="C631" s="83">
        <v>43810</v>
      </c>
      <c r="D631" s="112">
        <v>43839</v>
      </c>
      <c r="E631" s="570"/>
      <c r="F631" s="88" t="s">
        <v>3049</v>
      </c>
      <c r="G631" s="88" t="s">
        <v>158</v>
      </c>
      <c r="H631" s="81" t="s">
        <v>220</v>
      </c>
      <c r="J631" s="75">
        <f t="shared" si="48"/>
        <v>1</v>
      </c>
      <c r="K631" s="76" t="s">
        <v>211</v>
      </c>
      <c r="Q631" s="78" t="s">
        <v>2056</v>
      </c>
      <c r="R631" s="75">
        <f t="shared" si="49"/>
        <v>1</v>
      </c>
      <c r="S631" s="263" t="s">
        <v>1991</v>
      </c>
      <c r="T631" s="263"/>
      <c r="U631" s="263"/>
      <c r="V631" s="263"/>
      <c r="W631" s="263"/>
      <c r="X631" s="263"/>
      <c r="Y631" s="575"/>
      <c r="Z631" s="575"/>
      <c r="AA631" s="576">
        <f t="shared" si="45"/>
        <v>0</v>
      </c>
      <c r="AB631" s="722"/>
    </row>
    <row r="632" spans="1:28" ht="15.75" customHeight="1" x14ac:dyDescent="0.35">
      <c r="A632" s="81" t="s">
        <v>3050</v>
      </c>
      <c r="C632" s="83">
        <v>43810</v>
      </c>
      <c r="D632" s="112">
        <v>43839</v>
      </c>
      <c r="E632" s="570"/>
      <c r="F632" s="88" t="s">
        <v>3051</v>
      </c>
      <c r="G632" s="88" t="s">
        <v>168</v>
      </c>
      <c r="H632" s="81" t="s">
        <v>220</v>
      </c>
      <c r="J632" s="75">
        <f t="shared" si="48"/>
        <v>1</v>
      </c>
      <c r="K632" s="76" t="s">
        <v>211</v>
      </c>
      <c r="Q632" s="78" t="s">
        <v>2056</v>
      </c>
      <c r="R632" s="75">
        <f t="shared" si="49"/>
        <v>1</v>
      </c>
      <c r="S632" s="263" t="s">
        <v>1991</v>
      </c>
      <c r="T632" s="263"/>
      <c r="U632" s="263"/>
      <c r="V632" s="263"/>
      <c r="W632" s="263"/>
      <c r="X632" s="263"/>
      <c r="Y632" s="575"/>
      <c r="Z632" s="575"/>
      <c r="AA632" s="576">
        <f t="shared" si="45"/>
        <v>0</v>
      </c>
      <c r="AB632" s="722"/>
    </row>
    <row r="633" spans="1:28" ht="15.75" customHeight="1" x14ac:dyDescent="0.35">
      <c r="A633" s="81" t="s">
        <v>3052</v>
      </c>
      <c r="C633" s="83">
        <v>43810</v>
      </c>
      <c r="D633" s="112">
        <v>43839</v>
      </c>
      <c r="E633" s="570"/>
      <c r="F633" s="88" t="s">
        <v>3053</v>
      </c>
      <c r="G633" s="88" t="s">
        <v>176</v>
      </c>
      <c r="H633" s="81" t="s">
        <v>220</v>
      </c>
      <c r="J633" s="75">
        <f t="shared" si="48"/>
        <v>1</v>
      </c>
      <c r="K633" s="76" t="s">
        <v>211</v>
      </c>
      <c r="Q633" s="78" t="s">
        <v>2056</v>
      </c>
      <c r="R633" s="75">
        <f t="shared" si="49"/>
        <v>1</v>
      </c>
      <c r="S633" s="263" t="s">
        <v>1991</v>
      </c>
      <c r="T633" s="263"/>
      <c r="U633" s="263"/>
      <c r="V633" s="263"/>
      <c r="W633" s="263"/>
      <c r="X633" s="263"/>
      <c r="Y633" s="575"/>
      <c r="Z633" s="575"/>
      <c r="AA633" s="576">
        <f t="shared" si="45"/>
        <v>0</v>
      </c>
      <c r="AB633" s="722"/>
    </row>
    <row r="634" spans="1:28" ht="15.75" customHeight="1" x14ac:dyDescent="0.35">
      <c r="A634" s="81" t="s">
        <v>3056</v>
      </c>
      <c r="C634" s="83">
        <v>43811</v>
      </c>
      <c r="D634" s="112">
        <v>43840</v>
      </c>
      <c r="E634" s="570"/>
      <c r="F634" s="88" t="s">
        <v>3057</v>
      </c>
      <c r="G634" s="88" t="s">
        <v>149</v>
      </c>
      <c r="H634" s="81" t="s">
        <v>275</v>
      </c>
      <c r="J634" s="75">
        <f t="shared" si="48"/>
        <v>1</v>
      </c>
      <c r="K634" s="76" t="s">
        <v>211</v>
      </c>
      <c r="Q634" s="78" t="s">
        <v>2056</v>
      </c>
      <c r="R634" s="75">
        <f t="shared" si="49"/>
        <v>1</v>
      </c>
      <c r="S634" s="263" t="s">
        <v>1991</v>
      </c>
      <c r="T634" s="263"/>
      <c r="U634" s="263"/>
      <c r="V634" s="263"/>
      <c r="W634" s="263"/>
      <c r="X634" s="263"/>
      <c r="Y634" s="575"/>
      <c r="Z634" s="575"/>
      <c r="AA634" s="576">
        <f t="shared" si="45"/>
        <v>0</v>
      </c>
      <c r="AB634" s="722"/>
    </row>
    <row r="635" spans="1:28" ht="15.75" customHeight="1" x14ac:dyDescent="0.35">
      <c r="A635" s="81" t="s">
        <v>3058</v>
      </c>
      <c r="C635" s="83">
        <v>43811</v>
      </c>
      <c r="D635" s="83">
        <v>43840</v>
      </c>
      <c r="E635" s="570"/>
      <c r="F635" s="88" t="s">
        <v>3059</v>
      </c>
      <c r="G635" s="88" t="s">
        <v>149</v>
      </c>
      <c r="H635" s="81" t="s">
        <v>220</v>
      </c>
      <c r="J635" s="75">
        <f t="shared" si="48"/>
        <v>1</v>
      </c>
      <c r="K635" s="76" t="s">
        <v>221</v>
      </c>
      <c r="Q635" s="78" t="s">
        <v>2056</v>
      </c>
      <c r="R635" s="75">
        <f t="shared" si="49"/>
        <v>1</v>
      </c>
      <c r="S635" s="263" t="s">
        <v>1991</v>
      </c>
      <c r="T635" s="263"/>
      <c r="U635" s="263"/>
      <c r="V635" s="263"/>
      <c r="W635" s="263"/>
      <c r="X635" s="263"/>
      <c r="Y635" s="575"/>
      <c r="Z635" s="575"/>
      <c r="AA635" s="576">
        <f t="shared" si="45"/>
        <v>0</v>
      </c>
      <c r="AB635" s="722"/>
    </row>
    <row r="636" spans="1:28" ht="15.75" customHeight="1" x14ac:dyDescent="0.35">
      <c r="A636" s="81" t="s">
        <v>3066</v>
      </c>
      <c r="C636" s="83">
        <v>43812</v>
      </c>
      <c r="D636" s="112">
        <v>43843</v>
      </c>
      <c r="E636" s="570"/>
      <c r="F636" s="88" t="s">
        <v>3067</v>
      </c>
      <c r="G636" s="88" t="s">
        <v>158</v>
      </c>
      <c r="H636" s="81" t="s">
        <v>220</v>
      </c>
      <c r="J636" s="75">
        <f t="shared" si="48"/>
        <v>1</v>
      </c>
      <c r="K636" s="76" t="s">
        <v>211</v>
      </c>
      <c r="L636" s="99" t="s">
        <v>3261</v>
      </c>
      <c r="N636" s="78" t="s">
        <v>18</v>
      </c>
      <c r="Q636" s="78" t="s">
        <v>2056</v>
      </c>
      <c r="R636" s="75">
        <f t="shared" si="49"/>
        <v>1</v>
      </c>
      <c r="S636" s="263" t="s">
        <v>1991</v>
      </c>
      <c r="T636" s="263"/>
      <c r="U636" s="263"/>
      <c r="V636" s="263"/>
      <c r="W636" s="263"/>
      <c r="X636" s="263"/>
      <c r="Y636" s="575"/>
      <c r="Z636" s="575"/>
      <c r="AA636" s="576">
        <f t="shared" si="45"/>
        <v>0</v>
      </c>
      <c r="AB636" s="722"/>
    </row>
    <row r="637" spans="1:28" ht="15.75" customHeight="1" x14ac:dyDescent="0.35">
      <c r="A637" s="81" t="s">
        <v>3072</v>
      </c>
      <c r="C637" s="83">
        <v>43815</v>
      </c>
      <c r="D637" s="112">
        <v>43844</v>
      </c>
      <c r="E637" s="570"/>
      <c r="F637" s="88" t="s">
        <v>3073</v>
      </c>
      <c r="G637" s="88" t="s">
        <v>162</v>
      </c>
      <c r="H637" s="81" t="s">
        <v>220</v>
      </c>
      <c r="I637" s="98" t="s">
        <v>981</v>
      </c>
      <c r="J637" s="75">
        <f t="shared" si="48"/>
        <v>1</v>
      </c>
      <c r="K637" s="76" t="s">
        <v>211</v>
      </c>
      <c r="Q637" s="78" t="s">
        <v>2056</v>
      </c>
      <c r="R637" s="75">
        <f t="shared" si="49"/>
        <v>1</v>
      </c>
      <c r="S637" s="263" t="s">
        <v>1991</v>
      </c>
      <c r="T637" s="263"/>
      <c r="U637" s="263"/>
      <c r="V637" s="263"/>
      <c r="W637" s="263"/>
      <c r="X637" s="263"/>
      <c r="Y637" s="575"/>
      <c r="Z637" s="575"/>
      <c r="AA637" s="576">
        <f t="shared" si="45"/>
        <v>0</v>
      </c>
      <c r="AB637" s="722"/>
    </row>
    <row r="638" spans="1:28" ht="15.75" customHeight="1" x14ac:dyDescent="0.35">
      <c r="A638" s="98" t="s">
        <v>3079</v>
      </c>
      <c r="C638" s="83">
        <v>43816</v>
      </c>
      <c r="D638" s="112">
        <v>43845</v>
      </c>
      <c r="E638" s="570"/>
      <c r="F638" s="88" t="s">
        <v>3080</v>
      </c>
      <c r="G638" s="88" t="s">
        <v>156</v>
      </c>
      <c r="H638" s="81" t="s">
        <v>220</v>
      </c>
      <c r="I638" s="98" t="s">
        <v>4961</v>
      </c>
      <c r="J638" s="75">
        <f t="shared" si="48"/>
        <v>1</v>
      </c>
      <c r="K638" s="76" t="s">
        <v>211</v>
      </c>
      <c r="L638" s="99" t="s">
        <v>8388</v>
      </c>
      <c r="Q638" s="78" t="s">
        <v>2056</v>
      </c>
      <c r="R638" s="75">
        <f t="shared" si="49"/>
        <v>1</v>
      </c>
      <c r="S638" s="263" t="s">
        <v>1991</v>
      </c>
      <c r="T638" s="263"/>
      <c r="U638" s="263"/>
      <c r="V638" s="263"/>
      <c r="W638" s="263"/>
      <c r="X638" s="263"/>
      <c r="Y638" s="575"/>
      <c r="Z638" s="575"/>
      <c r="AA638" s="576">
        <f t="shared" si="45"/>
        <v>0</v>
      </c>
      <c r="AB638" s="722"/>
    </row>
    <row r="639" spans="1:28" ht="15.75" customHeight="1" x14ac:dyDescent="0.35">
      <c r="A639" s="81" t="s">
        <v>3081</v>
      </c>
      <c r="C639" s="83">
        <v>43816</v>
      </c>
      <c r="D639" s="112">
        <v>43845</v>
      </c>
      <c r="E639" s="570"/>
      <c r="F639" s="88" t="s">
        <v>3082</v>
      </c>
      <c r="G639" s="88" t="s">
        <v>149</v>
      </c>
      <c r="H639" s="81" t="s">
        <v>220</v>
      </c>
      <c r="I639" s="98" t="s">
        <v>863</v>
      </c>
      <c r="J639" s="75">
        <f t="shared" si="48"/>
        <v>1</v>
      </c>
      <c r="K639" s="76" t="s">
        <v>211</v>
      </c>
      <c r="L639" s="99" t="s">
        <v>3275</v>
      </c>
      <c r="N639" s="78" t="s">
        <v>18</v>
      </c>
      <c r="Q639" s="78" t="s">
        <v>2056</v>
      </c>
      <c r="R639" s="75">
        <f t="shared" si="49"/>
        <v>1</v>
      </c>
      <c r="S639" s="263" t="s">
        <v>1991</v>
      </c>
      <c r="T639" s="263"/>
      <c r="U639" s="263"/>
      <c r="V639" s="263"/>
      <c r="W639" s="263"/>
      <c r="X639" s="263"/>
      <c r="Y639" s="575"/>
      <c r="Z639" s="575"/>
      <c r="AA639" s="576">
        <f t="shared" si="45"/>
        <v>0</v>
      </c>
      <c r="AB639" s="722"/>
    </row>
    <row r="640" spans="1:28" ht="15.75" customHeight="1" x14ac:dyDescent="0.35">
      <c r="A640" s="98" t="s">
        <v>3085</v>
      </c>
      <c r="C640" s="83">
        <v>43816</v>
      </c>
      <c r="D640" s="112">
        <v>43845</v>
      </c>
      <c r="E640" s="570"/>
      <c r="F640" s="88" t="s">
        <v>3086</v>
      </c>
      <c r="G640" s="88" t="s">
        <v>154</v>
      </c>
      <c r="H640" s="81" t="s">
        <v>220</v>
      </c>
      <c r="I640" s="98" t="s">
        <v>1293</v>
      </c>
      <c r="J640" s="75">
        <f t="shared" si="48"/>
        <v>1</v>
      </c>
      <c r="K640" s="76" t="s">
        <v>211</v>
      </c>
      <c r="L640" s="99" t="s">
        <v>3274</v>
      </c>
      <c r="N640" s="78" t="s">
        <v>19</v>
      </c>
      <c r="Q640" s="78" t="s">
        <v>2056</v>
      </c>
      <c r="R640" s="75">
        <f t="shared" si="49"/>
        <v>1</v>
      </c>
      <c r="S640" s="263" t="s">
        <v>1991</v>
      </c>
      <c r="T640" s="263"/>
      <c r="U640" s="263"/>
      <c r="V640" s="263"/>
      <c r="W640" s="263"/>
      <c r="X640" s="263"/>
      <c r="Y640" s="575"/>
      <c r="Z640" s="575"/>
      <c r="AA640" s="576">
        <f t="shared" si="45"/>
        <v>0</v>
      </c>
      <c r="AB640" s="722"/>
    </row>
    <row r="641" spans="1:28" ht="15.75" customHeight="1" x14ac:dyDescent="0.35">
      <c r="A641" s="98" t="s">
        <v>3087</v>
      </c>
      <c r="C641" s="83">
        <v>43817</v>
      </c>
      <c r="D641" s="112">
        <v>43846</v>
      </c>
      <c r="E641" s="570"/>
      <c r="F641" s="88" t="s">
        <v>3088</v>
      </c>
      <c r="G641" s="88" t="s">
        <v>158</v>
      </c>
      <c r="H641" s="81" t="s">
        <v>220</v>
      </c>
      <c r="I641" s="98" t="s">
        <v>3290</v>
      </c>
      <c r="J641" s="75">
        <f t="shared" si="48"/>
        <v>1</v>
      </c>
      <c r="K641" s="76" t="s">
        <v>211</v>
      </c>
      <c r="L641" s="99" t="s">
        <v>3291</v>
      </c>
      <c r="N641" s="78" t="s">
        <v>19</v>
      </c>
      <c r="Q641" s="304" t="s">
        <v>2056</v>
      </c>
      <c r="R641" s="75">
        <f t="shared" si="49"/>
        <v>1</v>
      </c>
      <c r="S641" s="263" t="s">
        <v>1991</v>
      </c>
      <c r="T641" s="263"/>
      <c r="U641" s="263"/>
      <c r="V641" s="263"/>
      <c r="W641" s="263"/>
      <c r="X641" s="263"/>
      <c r="Y641" s="575"/>
      <c r="Z641" s="575"/>
      <c r="AA641" s="576">
        <f t="shared" si="45"/>
        <v>0</v>
      </c>
      <c r="AB641" s="722"/>
    </row>
    <row r="642" spans="1:28" ht="15.75" customHeight="1" x14ac:dyDescent="0.35">
      <c r="A642" s="98" t="s">
        <v>3091</v>
      </c>
      <c r="C642" s="83">
        <v>43817</v>
      </c>
      <c r="D642" s="112">
        <v>43846</v>
      </c>
      <c r="E642" s="570"/>
      <c r="F642" s="88" t="s">
        <v>3092</v>
      </c>
      <c r="G642" s="88" t="s">
        <v>183</v>
      </c>
      <c r="H642" s="81" t="s">
        <v>220</v>
      </c>
      <c r="I642" s="98" t="s">
        <v>656</v>
      </c>
      <c r="J642" s="75">
        <f t="shared" si="48"/>
        <v>1</v>
      </c>
      <c r="K642" s="76" t="s">
        <v>211</v>
      </c>
      <c r="L642" s="99" t="s">
        <v>3292</v>
      </c>
      <c r="N642" s="78" t="s">
        <v>17</v>
      </c>
      <c r="Q642" s="78" t="s">
        <v>2056</v>
      </c>
      <c r="R642" s="75">
        <f t="shared" si="49"/>
        <v>1</v>
      </c>
      <c r="S642" s="263" t="s">
        <v>1991</v>
      </c>
      <c r="T642" s="263"/>
      <c r="U642" s="263"/>
      <c r="V642" s="263"/>
      <c r="W642" s="263"/>
      <c r="X642" s="263"/>
      <c r="Y642" s="575"/>
      <c r="Z642" s="575"/>
      <c r="AA642" s="576">
        <f t="shared" si="45"/>
        <v>0</v>
      </c>
      <c r="AB642" s="722"/>
    </row>
    <row r="643" spans="1:28" ht="15.75" customHeight="1" x14ac:dyDescent="0.35">
      <c r="A643" s="81" t="s">
        <v>3093</v>
      </c>
      <c r="C643" s="83">
        <v>43817</v>
      </c>
      <c r="D643" s="112">
        <v>43846</v>
      </c>
      <c r="E643" s="570"/>
      <c r="F643" s="88" t="s">
        <v>3094</v>
      </c>
      <c r="G643" s="88" t="s">
        <v>154</v>
      </c>
      <c r="H643" s="81" t="s">
        <v>220</v>
      </c>
      <c r="I643" s="98" t="s">
        <v>1122</v>
      </c>
      <c r="J643" s="75">
        <f t="shared" si="48"/>
        <v>1</v>
      </c>
      <c r="K643" s="76" t="s">
        <v>211</v>
      </c>
      <c r="N643" s="78" t="s">
        <v>18</v>
      </c>
      <c r="Q643" s="78" t="s">
        <v>2056</v>
      </c>
      <c r="R643" s="75">
        <f t="shared" si="49"/>
        <v>1</v>
      </c>
      <c r="S643" s="263" t="s">
        <v>1991</v>
      </c>
      <c r="T643" s="263"/>
      <c r="U643" s="263"/>
      <c r="V643" s="263"/>
      <c r="W643" s="263"/>
      <c r="X643" s="263"/>
      <c r="Y643" s="575"/>
      <c r="Z643" s="575"/>
      <c r="AA643" s="576">
        <f t="shared" ref="AA643:AA706" si="50">Z643-Y643</f>
        <v>0</v>
      </c>
      <c r="AB643" s="722"/>
    </row>
    <row r="644" spans="1:28" ht="15.75" customHeight="1" x14ac:dyDescent="0.35">
      <c r="A644" s="98" t="s">
        <v>3125</v>
      </c>
      <c r="C644" s="83">
        <v>43809</v>
      </c>
      <c r="D644" s="112">
        <v>43839</v>
      </c>
      <c r="E644" s="570"/>
      <c r="F644" s="99" t="s">
        <v>3126</v>
      </c>
      <c r="G644" s="99" t="s">
        <v>152</v>
      </c>
      <c r="H644" s="98" t="s">
        <v>220</v>
      </c>
      <c r="J644" s="75">
        <f t="shared" si="48"/>
        <v>1</v>
      </c>
      <c r="K644" s="76" t="s">
        <v>211</v>
      </c>
      <c r="Q644" s="304" t="s">
        <v>2409</v>
      </c>
      <c r="R644" s="75">
        <f t="shared" si="49"/>
        <v>1</v>
      </c>
      <c r="S644" s="263" t="s">
        <v>1991</v>
      </c>
      <c r="T644" s="263"/>
      <c r="U644" s="263"/>
      <c r="V644" s="263"/>
      <c r="W644" s="263"/>
      <c r="X644" s="263"/>
      <c r="Y644" s="575"/>
      <c r="Z644" s="575"/>
      <c r="AA644" s="576">
        <f t="shared" si="50"/>
        <v>0</v>
      </c>
      <c r="AB644" s="722"/>
    </row>
    <row r="645" spans="1:28" ht="15.75" customHeight="1" x14ac:dyDescent="0.35">
      <c r="A645" s="98" t="s">
        <v>3127</v>
      </c>
      <c r="C645" s="83">
        <v>43809</v>
      </c>
      <c r="D645" s="112">
        <v>43839</v>
      </c>
      <c r="E645" s="570"/>
      <c r="F645" s="99" t="s">
        <v>3128</v>
      </c>
      <c r="G645" s="99" t="s">
        <v>162</v>
      </c>
      <c r="H645" s="98" t="s">
        <v>220</v>
      </c>
      <c r="J645" s="75">
        <f t="shared" si="48"/>
        <v>1</v>
      </c>
      <c r="K645" s="76" t="s">
        <v>211</v>
      </c>
      <c r="Q645" s="78" t="s">
        <v>2409</v>
      </c>
      <c r="R645" s="75">
        <f t="shared" si="49"/>
        <v>1</v>
      </c>
      <c r="S645" s="263" t="s">
        <v>1991</v>
      </c>
      <c r="T645" s="263"/>
      <c r="U645" s="263"/>
      <c r="V645" s="263"/>
      <c r="W645" s="263"/>
      <c r="X645" s="263"/>
      <c r="Y645" s="575"/>
      <c r="Z645" s="575"/>
      <c r="AA645" s="576">
        <f t="shared" si="50"/>
        <v>0</v>
      </c>
      <c r="AB645" s="722"/>
    </row>
    <row r="646" spans="1:28" ht="15.75" customHeight="1" x14ac:dyDescent="0.35">
      <c r="A646" s="98" t="s">
        <v>3129</v>
      </c>
      <c r="C646" s="83">
        <v>43809</v>
      </c>
      <c r="D646" s="112">
        <v>43839</v>
      </c>
      <c r="E646" s="570"/>
      <c r="F646" s="99" t="s">
        <v>3130</v>
      </c>
      <c r="G646" s="99" t="s">
        <v>160</v>
      </c>
      <c r="H646" s="98" t="s">
        <v>220</v>
      </c>
      <c r="I646" s="98" t="s">
        <v>696</v>
      </c>
      <c r="J646" s="75">
        <f t="shared" si="48"/>
        <v>1</v>
      </c>
      <c r="K646" s="76" t="s">
        <v>211</v>
      </c>
      <c r="L646" s="99" t="s">
        <v>3200</v>
      </c>
      <c r="N646" s="78" t="s">
        <v>17</v>
      </c>
      <c r="Q646" s="304" t="s">
        <v>2409</v>
      </c>
      <c r="R646" s="75">
        <f t="shared" si="49"/>
        <v>1</v>
      </c>
      <c r="S646" s="263" t="s">
        <v>1991</v>
      </c>
      <c r="T646" s="263"/>
      <c r="U646" s="263"/>
      <c r="V646" s="263"/>
      <c r="W646" s="263"/>
      <c r="X646" s="263"/>
      <c r="Y646" s="575"/>
      <c r="Z646" s="575"/>
      <c r="AA646" s="576">
        <f t="shared" si="50"/>
        <v>0</v>
      </c>
      <c r="AB646" s="722"/>
    </row>
    <row r="647" spans="1:28" ht="15.75" customHeight="1" x14ac:dyDescent="0.35">
      <c r="A647" s="98" t="s">
        <v>3131</v>
      </c>
      <c r="C647" s="83">
        <v>43810</v>
      </c>
      <c r="D647" s="112">
        <v>43840</v>
      </c>
      <c r="E647" s="570"/>
      <c r="F647" s="127" t="s">
        <v>3132</v>
      </c>
      <c r="G647" s="99" t="s">
        <v>162</v>
      </c>
      <c r="H647" s="98" t="s">
        <v>220</v>
      </c>
      <c r="J647" s="75">
        <f t="shared" si="48"/>
        <v>1</v>
      </c>
      <c r="K647" s="76" t="s">
        <v>211</v>
      </c>
      <c r="Q647" s="78" t="s">
        <v>2409</v>
      </c>
      <c r="R647" s="75">
        <f t="shared" si="49"/>
        <v>1</v>
      </c>
      <c r="S647" s="263" t="s">
        <v>1991</v>
      </c>
      <c r="T647" s="263"/>
      <c r="U647" s="263"/>
      <c r="V647" s="263"/>
      <c r="W647" s="263"/>
      <c r="X647" s="263"/>
      <c r="Y647" s="575"/>
      <c r="Z647" s="575"/>
      <c r="AA647" s="576">
        <f t="shared" si="50"/>
        <v>0</v>
      </c>
      <c r="AB647" s="722"/>
    </row>
    <row r="648" spans="1:28" ht="15.75" customHeight="1" x14ac:dyDescent="0.35">
      <c r="A648" s="81" t="s">
        <v>2333</v>
      </c>
      <c r="C648" s="83">
        <v>43796</v>
      </c>
      <c r="D648" s="83">
        <v>43839</v>
      </c>
      <c r="E648" s="570"/>
      <c r="F648" s="88" t="s">
        <v>2334</v>
      </c>
      <c r="G648" s="88" t="s">
        <v>154</v>
      </c>
      <c r="H648" s="81" t="s">
        <v>220</v>
      </c>
      <c r="J648" s="75">
        <f t="shared" si="48"/>
        <v>1</v>
      </c>
      <c r="K648" s="76" t="s">
        <v>211</v>
      </c>
      <c r="Q648" s="78" t="s">
        <v>2130</v>
      </c>
      <c r="R648" s="75">
        <f t="shared" si="49"/>
        <v>1</v>
      </c>
      <c r="S648" s="263" t="s">
        <v>1991</v>
      </c>
      <c r="T648" s="263"/>
      <c r="U648" s="263"/>
      <c r="V648" s="263"/>
      <c r="W648" s="263"/>
      <c r="X648" s="263"/>
      <c r="Y648" s="575"/>
      <c r="Z648" s="575"/>
      <c r="AA648" s="576">
        <f t="shared" si="50"/>
        <v>0</v>
      </c>
      <c r="AB648" s="722"/>
    </row>
    <row r="649" spans="1:28" ht="15.75" customHeight="1" x14ac:dyDescent="0.35">
      <c r="A649" s="81" t="s">
        <v>2339</v>
      </c>
      <c r="C649" s="83">
        <v>43796</v>
      </c>
      <c r="D649" s="112">
        <v>43840</v>
      </c>
      <c r="E649" s="570"/>
      <c r="F649" s="88" t="s">
        <v>2340</v>
      </c>
      <c r="G649" s="88" t="s">
        <v>154</v>
      </c>
      <c r="H649" s="81" t="s">
        <v>220</v>
      </c>
      <c r="J649" s="75">
        <f t="shared" si="48"/>
        <v>1</v>
      </c>
      <c r="K649" s="76" t="s">
        <v>211</v>
      </c>
      <c r="Q649" s="78" t="s">
        <v>2130</v>
      </c>
      <c r="R649" s="75">
        <f t="shared" si="49"/>
        <v>1</v>
      </c>
      <c r="S649" s="263" t="s">
        <v>1991</v>
      </c>
      <c r="T649" s="263"/>
      <c r="U649" s="263"/>
      <c r="V649" s="263"/>
      <c r="W649" s="263"/>
      <c r="X649" s="263"/>
      <c r="Y649" s="575"/>
      <c r="Z649" s="575"/>
      <c r="AA649" s="576">
        <f t="shared" si="50"/>
        <v>0</v>
      </c>
      <c r="AB649" s="722"/>
    </row>
    <row r="650" spans="1:28" ht="15.75" customHeight="1" x14ac:dyDescent="0.35">
      <c r="A650" s="81" t="s">
        <v>2341</v>
      </c>
      <c r="C650" s="83">
        <v>43796</v>
      </c>
      <c r="D650" s="112">
        <v>43840</v>
      </c>
      <c r="E650" s="570"/>
      <c r="F650" s="88" t="s">
        <v>2342</v>
      </c>
      <c r="G650" s="88" t="s">
        <v>162</v>
      </c>
      <c r="H650" s="81" t="s">
        <v>220</v>
      </c>
      <c r="J650" s="75">
        <f t="shared" si="48"/>
        <v>1</v>
      </c>
      <c r="K650" s="76" t="s">
        <v>211</v>
      </c>
      <c r="Q650" s="78" t="s">
        <v>2130</v>
      </c>
      <c r="R650" s="75">
        <f t="shared" si="49"/>
        <v>1</v>
      </c>
      <c r="S650" s="263" t="s">
        <v>1991</v>
      </c>
      <c r="T650" s="263"/>
      <c r="U650" s="263"/>
      <c r="V650" s="263"/>
      <c r="W650" s="263"/>
      <c r="X650" s="263"/>
      <c r="Y650" s="575"/>
      <c r="Z650" s="575"/>
      <c r="AA650" s="576">
        <f t="shared" si="50"/>
        <v>0</v>
      </c>
      <c r="AB650" s="722"/>
    </row>
    <row r="651" spans="1:28" ht="15.75" customHeight="1" x14ac:dyDescent="0.35">
      <c r="A651" s="81" t="s">
        <v>2343</v>
      </c>
      <c r="C651" s="83">
        <v>43796</v>
      </c>
      <c r="D651" s="112">
        <v>43840</v>
      </c>
      <c r="E651" s="570"/>
      <c r="F651" s="88" t="s">
        <v>2344</v>
      </c>
      <c r="G651" s="88" t="s">
        <v>162</v>
      </c>
      <c r="H651" s="81" t="s">
        <v>220</v>
      </c>
      <c r="J651" s="75">
        <f t="shared" si="48"/>
        <v>1</v>
      </c>
      <c r="K651" s="76" t="s">
        <v>211</v>
      </c>
      <c r="Q651" s="78" t="s">
        <v>2130</v>
      </c>
      <c r="R651" s="75">
        <f t="shared" si="49"/>
        <v>1</v>
      </c>
      <c r="S651" s="263" t="s">
        <v>1991</v>
      </c>
      <c r="T651" s="263"/>
      <c r="U651" s="263"/>
      <c r="V651" s="263"/>
      <c r="W651" s="263"/>
      <c r="X651" s="263"/>
      <c r="Y651" s="575"/>
      <c r="Z651" s="575"/>
      <c r="AA651" s="576">
        <f t="shared" si="50"/>
        <v>0</v>
      </c>
      <c r="AB651" s="722"/>
    </row>
    <row r="652" spans="1:28" ht="15.75" customHeight="1" x14ac:dyDescent="0.35">
      <c r="A652" s="81" t="s">
        <v>3134</v>
      </c>
      <c r="C652" s="83">
        <v>43797</v>
      </c>
      <c r="D652" s="112">
        <v>43843</v>
      </c>
      <c r="E652" s="570"/>
      <c r="F652" s="88" t="s">
        <v>3135</v>
      </c>
      <c r="G652" s="88" t="s">
        <v>154</v>
      </c>
      <c r="H652" s="81" t="s">
        <v>220</v>
      </c>
      <c r="J652" s="75">
        <f t="shared" si="48"/>
        <v>1</v>
      </c>
      <c r="K652" s="76" t="s">
        <v>211</v>
      </c>
      <c r="Q652" s="78" t="s">
        <v>2130</v>
      </c>
      <c r="R652" s="75">
        <f t="shared" si="49"/>
        <v>1</v>
      </c>
      <c r="S652" s="263" t="s">
        <v>1991</v>
      </c>
      <c r="T652" s="263"/>
      <c r="U652" s="263"/>
      <c r="V652" s="263"/>
      <c r="W652" s="263"/>
      <c r="X652" s="263"/>
      <c r="Y652" s="575"/>
      <c r="Z652" s="575"/>
      <c r="AA652" s="576">
        <f t="shared" si="50"/>
        <v>0</v>
      </c>
      <c r="AB652" s="722"/>
    </row>
    <row r="653" spans="1:28" ht="15.75" customHeight="1" x14ac:dyDescent="0.35">
      <c r="A653" s="81" t="s">
        <v>3136</v>
      </c>
      <c r="C653" s="83">
        <v>43798</v>
      </c>
      <c r="D653" s="112">
        <v>43844</v>
      </c>
      <c r="E653" s="570"/>
      <c r="F653" s="88" t="s">
        <v>3137</v>
      </c>
      <c r="G653" s="88" t="s">
        <v>152</v>
      </c>
      <c r="H653" s="81" t="s">
        <v>220</v>
      </c>
      <c r="J653" s="75">
        <f t="shared" si="48"/>
        <v>1</v>
      </c>
      <c r="K653" s="76" t="s">
        <v>211</v>
      </c>
      <c r="Q653" s="78" t="s">
        <v>2130</v>
      </c>
      <c r="R653" s="75">
        <f t="shared" si="49"/>
        <v>1</v>
      </c>
      <c r="S653" s="263" t="s">
        <v>1991</v>
      </c>
      <c r="T653" s="263"/>
      <c r="U653" s="263"/>
      <c r="V653" s="263"/>
      <c r="W653" s="263"/>
      <c r="X653" s="263"/>
      <c r="Y653" s="575"/>
      <c r="Z653" s="575"/>
      <c r="AA653" s="576">
        <f t="shared" si="50"/>
        <v>0</v>
      </c>
      <c r="AB653" s="722"/>
    </row>
    <row r="654" spans="1:28" ht="15.75" customHeight="1" x14ac:dyDescent="0.35">
      <c r="A654" s="81" t="s">
        <v>2724</v>
      </c>
      <c r="C654" s="83">
        <v>43798</v>
      </c>
      <c r="D654" s="112">
        <v>43844</v>
      </c>
      <c r="E654" s="570"/>
      <c r="F654" s="88" t="s">
        <v>2725</v>
      </c>
      <c r="G654" s="88" t="s">
        <v>195</v>
      </c>
      <c r="H654" s="81" t="s">
        <v>220</v>
      </c>
      <c r="J654" s="75">
        <f t="shared" si="48"/>
        <v>1</v>
      </c>
      <c r="K654" s="76" t="s">
        <v>211</v>
      </c>
      <c r="Q654" s="78" t="s">
        <v>2130</v>
      </c>
      <c r="R654" s="75">
        <f t="shared" si="49"/>
        <v>1</v>
      </c>
      <c r="S654" s="263" t="s">
        <v>1991</v>
      </c>
      <c r="T654" s="263"/>
      <c r="U654" s="263"/>
      <c r="V654" s="263"/>
      <c r="W654" s="263"/>
      <c r="X654" s="263"/>
      <c r="Y654" s="575"/>
      <c r="Z654" s="575"/>
      <c r="AA654" s="576">
        <f t="shared" si="50"/>
        <v>0</v>
      </c>
      <c r="AB654" s="722"/>
    </row>
    <row r="655" spans="1:28" ht="15.75" customHeight="1" x14ac:dyDescent="0.35">
      <c r="A655" s="81" t="s">
        <v>2347</v>
      </c>
      <c r="C655" s="83">
        <v>43798</v>
      </c>
      <c r="D655" s="112">
        <v>43843</v>
      </c>
      <c r="E655" s="570"/>
      <c r="F655" s="88" t="s">
        <v>2348</v>
      </c>
      <c r="G655" s="88" t="s">
        <v>152</v>
      </c>
      <c r="H655" s="81" t="s">
        <v>220</v>
      </c>
      <c r="J655" s="75">
        <f t="shared" si="48"/>
        <v>1</v>
      </c>
      <c r="K655" s="76" t="s">
        <v>211</v>
      </c>
      <c r="Q655" s="78" t="s">
        <v>2130</v>
      </c>
      <c r="R655" s="75">
        <f t="shared" si="49"/>
        <v>1</v>
      </c>
      <c r="S655" s="263" t="s">
        <v>1991</v>
      </c>
      <c r="T655" s="263"/>
      <c r="U655" s="263"/>
      <c r="V655" s="263"/>
      <c r="W655" s="263"/>
      <c r="X655" s="263"/>
      <c r="Y655" s="575"/>
      <c r="Z655" s="575"/>
      <c r="AA655" s="576">
        <f t="shared" si="50"/>
        <v>0</v>
      </c>
      <c r="AB655" s="722"/>
    </row>
    <row r="656" spans="1:28" ht="15.75" customHeight="1" x14ac:dyDescent="0.35">
      <c r="A656" s="81" t="s">
        <v>2726</v>
      </c>
      <c r="C656" s="83">
        <v>43801</v>
      </c>
      <c r="D656" s="112">
        <v>43845</v>
      </c>
      <c r="E656" s="570"/>
      <c r="F656" s="88" t="s">
        <v>2727</v>
      </c>
      <c r="G656" s="88" t="s">
        <v>158</v>
      </c>
      <c r="H656" s="81" t="s">
        <v>220</v>
      </c>
      <c r="I656" s="98" t="s">
        <v>3287</v>
      </c>
      <c r="J656" s="75">
        <f t="shared" si="48"/>
        <v>1</v>
      </c>
      <c r="K656" s="76" t="s">
        <v>211</v>
      </c>
      <c r="N656" s="78" t="s">
        <v>18</v>
      </c>
      <c r="Q656" s="304" t="s">
        <v>2130</v>
      </c>
      <c r="R656" s="75">
        <f t="shared" si="49"/>
        <v>1</v>
      </c>
      <c r="S656" s="263" t="s">
        <v>1991</v>
      </c>
      <c r="T656" s="263"/>
      <c r="U656" s="263"/>
      <c r="V656" s="263"/>
      <c r="W656" s="263"/>
      <c r="X656" s="263"/>
      <c r="Y656" s="575"/>
      <c r="Z656" s="575"/>
      <c r="AA656" s="576">
        <f t="shared" si="50"/>
        <v>0</v>
      </c>
      <c r="AB656" s="722"/>
    </row>
    <row r="657" spans="1:28" ht="15.75" customHeight="1" x14ac:dyDescent="0.35">
      <c r="A657" s="81" t="s">
        <v>3138</v>
      </c>
      <c r="C657" s="83">
        <v>43801</v>
      </c>
      <c r="D657" s="112">
        <v>43845</v>
      </c>
      <c r="E657" s="570"/>
      <c r="F657" s="88" t="s">
        <v>3139</v>
      </c>
      <c r="G657" s="88" t="s">
        <v>176</v>
      </c>
      <c r="H657" s="81" t="s">
        <v>220</v>
      </c>
      <c r="I657" s="98" t="s">
        <v>648</v>
      </c>
      <c r="J657" s="75">
        <f t="shared" si="48"/>
        <v>1</v>
      </c>
      <c r="K657" s="76" t="s">
        <v>211</v>
      </c>
      <c r="N657" s="78" t="s">
        <v>17</v>
      </c>
      <c r="Q657" s="78" t="s">
        <v>2130</v>
      </c>
      <c r="R657" s="75">
        <f t="shared" si="49"/>
        <v>1</v>
      </c>
      <c r="S657" s="263" t="s">
        <v>1991</v>
      </c>
      <c r="T657" s="263"/>
      <c r="U657" s="263"/>
      <c r="V657" s="263"/>
      <c r="W657" s="263"/>
      <c r="X657" s="263"/>
      <c r="Y657" s="575"/>
      <c r="Z657" s="575"/>
      <c r="AA657" s="576">
        <f t="shared" si="50"/>
        <v>0</v>
      </c>
      <c r="AB657" s="722"/>
    </row>
    <row r="658" spans="1:28" ht="15.75" customHeight="1" x14ac:dyDescent="0.35">
      <c r="A658" s="98" t="s">
        <v>2736</v>
      </c>
      <c r="C658" s="83">
        <v>43802</v>
      </c>
      <c r="D658" s="112">
        <v>43846</v>
      </c>
      <c r="E658" s="570"/>
      <c r="F658" s="88" t="s">
        <v>2737</v>
      </c>
      <c r="G658" s="88" t="s">
        <v>417</v>
      </c>
      <c r="H658" s="81" t="s">
        <v>220</v>
      </c>
      <c r="I658" s="98" t="s">
        <v>649</v>
      </c>
      <c r="J658" s="75">
        <f t="shared" si="48"/>
        <v>1</v>
      </c>
      <c r="K658" s="76" t="s">
        <v>211</v>
      </c>
      <c r="N658" s="78" t="s">
        <v>18</v>
      </c>
      <c r="Q658" s="78" t="s">
        <v>2130</v>
      </c>
      <c r="R658" s="75">
        <f t="shared" si="49"/>
        <v>1</v>
      </c>
      <c r="S658" s="263" t="s">
        <v>1991</v>
      </c>
      <c r="T658" s="263"/>
      <c r="U658" s="263"/>
      <c r="V658" s="263"/>
      <c r="W658" s="263"/>
      <c r="X658" s="263"/>
      <c r="Y658" s="575"/>
      <c r="Z658" s="575"/>
      <c r="AA658" s="576">
        <f t="shared" si="50"/>
        <v>0</v>
      </c>
      <c r="AB658" s="722"/>
    </row>
    <row r="659" spans="1:28" ht="15.75" customHeight="1" x14ac:dyDescent="0.35">
      <c r="A659" s="98" t="s">
        <v>2740</v>
      </c>
      <c r="C659" s="83">
        <v>43802</v>
      </c>
      <c r="D659" s="112">
        <v>43846</v>
      </c>
      <c r="E659" s="570"/>
      <c r="F659" s="88" t="s">
        <v>2741</v>
      </c>
      <c r="G659" s="88" t="s">
        <v>158</v>
      </c>
      <c r="H659" s="81" t="s">
        <v>220</v>
      </c>
      <c r="I659" s="98" t="s">
        <v>722</v>
      </c>
      <c r="J659" s="75">
        <f t="shared" si="48"/>
        <v>1</v>
      </c>
      <c r="K659" s="76" t="s">
        <v>211</v>
      </c>
      <c r="N659" s="78" t="s">
        <v>17</v>
      </c>
      <c r="Q659" s="78" t="s">
        <v>2130</v>
      </c>
      <c r="R659" s="75">
        <f t="shared" si="49"/>
        <v>1</v>
      </c>
      <c r="S659" s="263" t="s">
        <v>1991</v>
      </c>
      <c r="T659" s="263"/>
      <c r="U659" s="263"/>
      <c r="V659" s="263"/>
      <c r="W659" s="263"/>
      <c r="X659" s="263"/>
      <c r="Y659" s="575"/>
      <c r="Z659" s="575"/>
      <c r="AA659" s="576">
        <f t="shared" si="50"/>
        <v>0</v>
      </c>
      <c r="AB659" s="722"/>
    </row>
    <row r="660" spans="1:28" ht="15.75" customHeight="1" x14ac:dyDescent="0.35">
      <c r="A660" s="98" t="s">
        <v>2742</v>
      </c>
      <c r="C660" s="83">
        <v>43802</v>
      </c>
      <c r="D660" s="112">
        <v>43846</v>
      </c>
      <c r="E660" s="570"/>
      <c r="F660" s="88" t="s">
        <v>2743</v>
      </c>
      <c r="G660" s="88" t="s">
        <v>152</v>
      </c>
      <c r="H660" s="81" t="s">
        <v>220</v>
      </c>
      <c r="I660" s="98" t="s">
        <v>648</v>
      </c>
      <c r="J660" s="75">
        <f t="shared" si="48"/>
        <v>1</v>
      </c>
      <c r="K660" s="76" t="s">
        <v>211</v>
      </c>
      <c r="N660" s="78" t="s">
        <v>17</v>
      </c>
      <c r="Q660" s="304" t="s">
        <v>2130</v>
      </c>
      <c r="R660" s="75">
        <f t="shared" si="49"/>
        <v>1</v>
      </c>
      <c r="S660" s="263" t="s">
        <v>1991</v>
      </c>
      <c r="T660" s="263"/>
      <c r="U660" s="263"/>
      <c r="V660" s="263"/>
      <c r="W660" s="263"/>
      <c r="X660" s="263"/>
      <c r="Y660" s="575"/>
      <c r="Z660" s="575"/>
      <c r="AA660" s="576">
        <f t="shared" si="50"/>
        <v>0</v>
      </c>
      <c r="AB660" s="722"/>
    </row>
    <row r="661" spans="1:28" ht="15.75" customHeight="1" x14ac:dyDescent="0.35">
      <c r="A661" s="81" t="s">
        <v>2746</v>
      </c>
      <c r="C661" s="83">
        <v>43803</v>
      </c>
      <c r="D661" s="112">
        <v>43847</v>
      </c>
      <c r="E661" s="570"/>
      <c r="F661" s="88" t="s">
        <v>2747</v>
      </c>
      <c r="G661" s="88" t="s">
        <v>181</v>
      </c>
      <c r="H661" s="81" t="s">
        <v>220</v>
      </c>
      <c r="I661" s="98" t="s">
        <v>648</v>
      </c>
      <c r="J661" s="75">
        <f t="shared" si="48"/>
        <v>1</v>
      </c>
      <c r="K661" s="76" t="s">
        <v>211</v>
      </c>
      <c r="N661" s="78" t="s">
        <v>17</v>
      </c>
      <c r="Q661" s="78" t="s">
        <v>2130</v>
      </c>
      <c r="R661" s="75">
        <f t="shared" si="49"/>
        <v>1</v>
      </c>
      <c r="S661" s="263" t="s">
        <v>1991</v>
      </c>
      <c r="T661" s="263"/>
      <c r="U661" s="263"/>
      <c r="V661" s="263"/>
      <c r="W661" s="263"/>
      <c r="X661" s="263"/>
      <c r="Y661" s="575"/>
      <c r="Z661" s="575"/>
      <c r="AA661" s="576">
        <f t="shared" si="50"/>
        <v>0</v>
      </c>
      <c r="AB661" s="722"/>
    </row>
    <row r="662" spans="1:28" ht="15.75" customHeight="1" x14ac:dyDescent="0.35">
      <c r="A662" s="81" t="s">
        <v>2748</v>
      </c>
      <c r="C662" s="83">
        <v>43803</v>
      </c>
      <c r="D662" s="112">
        <v>43847</v>
      </c>
      <c r="E662" s="570"/>
      <c r="F662" s="88" t="s">
        <v>2749</v>
      </c>
      <c r="G662" s="88" t="s">
        <v>149</v>
      </c>
      <c r="H662" s="81" t="s">
        <v>220</v>
      </c>
      <c r="I662" s="98" t="s">
        <v>722</v>
      </c>
      <c r="J662" s="75">
        <f t="shared" si="48"/>
        <v>1</v>
      </c>
      <c r="K662" s="76" t="s">
        <v>211</v>
      </c>
      <c r="N662" s="78" t="s">
        <v>18</v>
      </c>
      <c r="Q662" s="78" t="s">
        <v>2130</v>
      </c>
      <c r="R662" s="75">
        <f t="shared" si="49"/>
        <v>1</v>
      </c>
      <c r="S662" s="263" t="s">
        <v>1991</v>
      </c>
      <c r="T662" s="263"/>
      <c r="U662" s="263"/>
      <c r="V662" s="263"/>
      <c r="W662" s="263"/>
      <c r="X662" s="263"/>
      <c r="Y662" s="575"/>
      <c r="Z662" s="575"/>
      <c r="AA662" s="576">
        <f t="shared" si="50"/>
        <v>0</v>
      </c>
      <c r="AB662" s="722"/>
    </row>
    <row r="663" spans="1:28" ht="15.75" customHeight="1" x14ac:dyDescent="0.35">
      <c r="A663" s="81" t="s">
        <v>2809</v>
      </c>
      <c r="C663" s="83">
        <v>43804</v>
      </c>
      <c r="D663" s="112">
        <v>43847</v>
      </c>
      <c r="E663" s="570"/>
      <c r="F663" s="88" t="s">
        <v>2834</v>
      </c>
      <c r="G663" s="88" t="s">
        <v>154</v>
      </c>
      <c r="H663" s="81" t="s">
        <v>220</v>
      </c>
      <c r="I663" s="98" t="s">
        <v>722</v>
      </c>
      <c r="J663" s="75">
        <f t="shared" ref="J663:J678" si="51">IF(OR(K663="Документы готовы",K663="Запрос в ФО",K663="ЭЗ",K663="РЕШ",K663="РЕШ шаблон"),0.1,IF(OR(K663="ЭЗ согласование",K663="РЕШ согласование"),0.3,IF(OR(K663="ЭЗ согласовано",K663="РЕШ согласовано",K663="РЕШ подписано"),0.6,IF(OR(K663="ЭЗ ПР согласование",K663="РЕШ УВ согласование"),0.9,IF(OR(K663="ЭЗ ПР DONE",K663="РЕШ УВ DONE"),1,0)))))</f>
        <v>1</v>
      </c>
      <c r="K663" s="76" t="s">
        <v>211</v>
      </c>
      <c r="N663" s="78" t="s">
        <v>18</v>
      </c>
      <c r="Q663" s="78" t="s">
        <v>2130</v>
      </c>
      <c r="R663" s="75">
        <f t="shared" ref="R663:R678" si="52">IF(S663="В работе",0.3,IF(S663="Отписано",0.6,IF(S663="На доработку",0.9,IF(S663="Согласовано",1,0))))</f>
        <v>1</v>
      </c>
      <c r="S663" s="263" t="s">
        <v>1991</v>
      </c>
      <c r="T663" s="263"/>
      <c r="U663" s="263"/>
      <c r="V663" s="263"/>
      <c r="W663" s="263"/>
      <c r="X663" s="263"/>
      <c r="Y663" s="575"/>
      <c r="Z663" s="575"/>
      <c r="AA663" s="576">
        <f t="shared" si="50"/>
        <v>0</v>
      </c>
      <c r="AB663" s="722"/>
    </row>
    <row r="664" spans="1:28" ht="15.75" customHeight="1" x14ac:dyDescent="0.35">
      <c r="A664" s="81" t="s">
        <v>3140</v>
      </c>
      <c r="C664" s="83">
        <v>43809</v>
      </c>
      <c r="D664" s="112">
        <v>43839</v>
      </c>
      <c r="E664" s="570"/>
      <c r="F664" s="88" t="s">
        <v>3141</v>
      </c>
      <c r="G664" s="88" t="s">
        <v>158</v>
      </c>
      <c r="H664" s="81" t="s">
        <v>220</v>
      </c>
      <c r="J664" s="75">
        <f t="shared" si="51"/>
        <v>1</v>
      </c>
      <c r="K664" s="76" t="s">
        <v>211</v>
      </c>
      <c r="Q664" s="78" t="s">
        <v>2130</v>
      </c>
      <c r="R664" s="75">
        <f t="shared" si="52"/>
        <v>1</v>
      </c>
      <c r="S664" s="263" t="s">
        <v>1991</v>
      </c>
      <c r="T664" s="263"/>
      <c r="U664" s="263"/>
      <c r="V664" s="263"/>
      <c r="W664" s="263"/>
      <c r="X664" s="263"/>
      <c r="Y664" s="575"/>
      <c r="Z664" s="575"/>
      <c r="AA664" s="576">
        <f t="shared" si="50"/>
        <v>0</v>
      </c>
      <c r="AB664" s="722"/>
    </row>
    <row r="665" spans="1:28" ht="15.75" customHeight="1" x14ac:dyDescent="0.35">
      <c r="A665" s="81" t="s">
        <v>3148</v>
      </c>
      <c r="C665" s="83">
        <v>43810</v>
      </c>
      <c r="D665" s="112">
        <v>43840</v>
      </c>
      <c r="E665" s="570"/>
      <c r="F665" s="88" t="s">
        <v>3149</v>
      </c>
      <c r="G665" s="88" t="s">
        <v>149</v>
      </c>
      <c r="H665" s="81" t="s">
        <v>275</v>
      </c>
      <c r="I665" s="98" t="s">
        <v>3222</v>
      </c>
      <c r="J665" s="75">
        <f t="shared" si="51"/>
        <v>1</v>
      </c>
      <c r="K665" s="76" t="s">
        <v>211</v>
      </c>
      <c r="L665" s="99" t="s">
        <v>3223</v>
      </c>
      <c r="N665" s="78" t="s">
        <v>18</v>
      </c>
      <c r="Q665" s="78" t="s">
        <v>2130</v>
      </c>
      <c r="R665" s="75">
        <f t="shared" si="52"/>
        <v>1</v>
      </c>
      <c r="S665" s="263" t="s">
        <v>1991</v>
      </c>
      <c r="T665" s="263"/>
      <c r="U665" s="263"/>
      <c r="V665" s="263"/>
      <c r="W665" s="263"/>
      <c r="X665" s="263"/>
      <c r="Y665" s="575"/>
      <c r="Z665" s="575"/>
      <c r="AA665" s="576">
        <f t="shared" si="50"/>
        <v>0</v>
      </c>
      <c r="AB665" s="722"/>
    </row>
    <row r="666" spans="1:28" ht="15.75" customHeight="1" x14ac:dyDescent="0.35">
      <c r="A666" s="81" t="s">
        <v>3150</v>
      </c>
      <c r="C666" s="83">
        <v>43810</v>
      </c>
      <c r="D666" s="112">
        <v>43840</v>
      </c>
      <c r="E666" s="570"/>
      <c r="F666" s="88" t="s">
        <v>3151</v>
      </c>
      <c r="G666" s="88" t="s">
        <v>154</v>
      </c>
      <c r="H666" s="81" t="s">
        <v>220</v>
      </c>
      <c r="I666" s="98" t="s">
        <v>2027</v>
      </c>
      <c r="J666" s="75">
        <f t="shared" si="51"/>
        <v>1</v>
      </c>
      <c r="K666" s="76" t="s">
        <v>211</v>
      </c>
      <c r="N666" s="78" t="s">
        <v>18</v>
      </c>
      <c r="Q666" s="304" t="s">
        <v>2130</v>
      </c>
      <c r="R666" s="75">
        <f t="shared" si="52"/>
        <v>1</v>
      </c>
      <c r="S666" s="263" t="s">
        <v>1991</v>
      </c>
      <c r="T666" s="263"/>
      <c r="U666" s="263"/>
      <c r="V666" s="263"/>
      <c r="W666" s="263"/>
      <c r="X666" s="263"/>
      <c r="Y666" s="575"/>
      <c r="Z666" s="575"/>
      <c r="AA666" s="576">
        <f t="shared" si="50"/>
        <v>0</v>
      </c>
      <c r="AB666" s="722"/>
    </row>
    <row r="667" spans="1:28" ht="15.75" customHeight="1" x14ac:dyDescent="0.35">
      <c r="A667" s="81" t="s">
        <v>3152</v>
      </c>
      <c r="C667" s="83">
        <v>43812</v>
      </c>
      <c r="D667" s="112">
        <v>43843</v>
      </c>
      <c r="E667" s="570"/>
      <c r="F667" s="88" t="s">
        <v>3153</v>
      </c>
      <c r="G667" s="88" t="s">
        <v>154</v>
      </c>
      <c r="H667" s="81" t="s">
        <v>220</v>
      </c>
      <c r="J667" s="75">
        <f t="shared" si="51"/>
        <v>1</v>
      </c>
      <c r="K667" s="76" t="s">
        <v>211</v>
      </c>
      <c r="Q667" s="78" t="s">
        <v>2130</v>
      </c>
      <c r="R667" s="75">
        <f t="shared" si="52"/>
        <v>1</v>
      </c>
      <c r="S667" s="263" t="s">
        <v>1991</v>
      </c>
      <c r="T667" s="263"/>
      <c r="U667" s="263"/>
      <c r="V667" s="263"/>
      <c r="W667" s="263"/>
      <c r="X667" s="263"/>
      <c r="Y667" s="575"/>
      <c r="Z667" s="575"/>
      <c r="AA667" s="576">
        <f t="shared" si="50"/>
        <v>0</v>
      </c>
      <c r="AB667" s="722"/>
    </row>
    <row r="668" spans="1:28" ht="15.75" customHeight="1" x14ac:dyDescent="0.35">
      <c r="A668" s="81" t="s">
        <v>3158</v>
      </c>
      <c r="C668" s="83">
        <v>43812</v>
      </c>
      <c r="D668" s="112">
        <v>43843</v>
      </c>
      <c r="E668" s="570"/>
      <c r="F668" s="88" t="s">
        <v>3159</v>
      </c>
      <c r="G668" s="88" t="s">
        <v>195</v>
      </c>
      <c r="H668" s="81" t="s">
        <v>220</v>
      </c>
      <c r="J668" s="75">
        <f t="shared" si="51"/>
        <v>1</v>
      </c>
      <c r="K668" s="76" t="s">
        <v>211</v>
      </c>
      <c r="Q668" s="78" t="s">
        <v>2130</v>
      </c>
      <c r="R668" s="75">
        <f t="shared" si="52"/>
        <v>1</v>
      </c>
      <c r="S668" s="263" t="s">
        <v>1991</v>
      </c>
      <c r="T668" s="263"/>
      <c r="U668" s="263"/>
      <c r="V668" s="263"/>
      <c r="W668" s="263"/>
      <c r="X668" s="263"/>
      <c r="Y668" s="575"/>
      <c r="Z668" s="575"/>
      <c r="AA668" s="576">
        <f t="shared" si="50"/>
        <v>0</v>
      </c>
      <c r="AB668" s="722"/>
    </row>
    <row r="669" spans="1:28" ht="15.75" customHeight="1" x14ac:dyDescent="0.35">
      <c r="A669" s="81" t="s">
        <v>3164</v>
      </c>
      <c r="C669" s="83">
        <v>43812</v>
      </c>
      <c r="D669" s="112">
        <v>43844</v>
      </c>
      <c r="E669" s="570"/>
      <c r="F669" s="88" t="s">
        <v>3165</v>
      </c>
      <c r="G669" s="88" t="s">
        <v>154</v>
      </c>
      <c r="H669" s="81" t="s">
        <v>220</v>
      </c>
      <c r="J669" s="75">
        <f t="shared" si="51"/>
        <v>1</v>
      </c>
      <c r="K669" s="76" t="s">
        <v>211</v>
      </c>
      <c r="Q669" s="78" t="s">
        <v>2130</v>
      </c>
      <c r="R669" s="75">
        <f t="shared" si="52"/>
        <v>1</v>
      </c>
      <c r="S669" s="263" t="s">
        <v>1991</v>
      </c>
      <c r="T669" s="263"/>
      <c r="U669" s="263"/>
      <c r="V669" s="263"/>
      <c r="W669" s="263"/>
      <c r="X669" s="263"/>
      <c r="Y669" s="575"/>
      <c r="Z669" s="575"/>
      <c r="AA669" s="576">
        <f t="shared" si="50"/>
        <v>0</v>
      </c>
      <c r="AB669" s="722"/>
    </row>
    <row r="670" spans="1:28" ht="15.75" customHeight="1" x14ac:dyDescent="0.35">
      <c r="A670" s="81" t="s">
        <v>3166</v>
      </c>
      <c r="C670" s="83">
        <v>43815</v>
      </c>
      <c r="D670" s="112">
        <v>43845</v>
      </c>
      <c r="E670" s="570"/>
      <c r="F670" s="88" t="s">
        <v>3167</v>
      </c>
      <c r="G670" s="88" t="s">
        <v>191</v>
      </c>
      <c r="H670" s="81" t="s">
        <v>220</v>
      </c>
      <c r="I670" s="98" t="s">
        <v>763</v>
      </c>
      <c r="J670" s="75">
        <f t="shared" si="51"/>
        <v>1</v>
      </c>
      <c r="K670" s="76" t="s">
        <v>211</v>
      </c>
      <c r="N670" s="78" t="s">
        <v>18</v>
      </c>
      <c r="Q670" s="78" t="s">
        <v>2130</v>
      </c>
      <c r="R670" s="75">
        <f t="shared" si="52"/>
        <v>1</v>
      </c>
      <c r="S670" s="263" t="s">
        <v>1991</v>
      </c>
      <c r="T670" s="263"/>
      <c r="U670" s="263"/>
      <c r="V670" s="263"/>
      <c r="W670" s="263"/>
      <c r="X670" s="263"/>
      <c r="Y670" s="575"/>
      <c r="Z670" s="575"/>
      <c r="AA670" s="576">
        <f t="shared" si="50"/>
        <v>0</v>
      </c>
      <c r="AB670" s="722"/>
    </row>
    <row r="671" spans="1:28" ht="15.75" customHeight="1" x14ac:dyDescent="0.35">
      <c r="A671" s="81" t="s">
        <v>3174</v>
      </c>
      <c r="C671" s="83">
        <v>43816</v>
      </c>
      <c r="D671" s="112">
        <v>43846</v>
      </c>
      <c r="E671" s="570"/>
      <c r="F671" s="88" t="s">
        <v>3175</v>
      </c>
      <c r="G671" s="88" t="s">
        <v>166</v>
      </c>
      <c r="H671" s="81" t="s">
        <v>220</v>
      </c>
      <c r="I671" s="98" t="s">
        <v>3260</v>
      </c>
      <c r="J671" s="75">
        <f t="shared" si="51"/>
        <v>1</v>
      </c>
      <c r="K671" s="76" t="s">
        <v>211</v>
      </c>
      <c r="N671" s="78" t="s">
        <v>19</v>
      </c>
      <c r="Q671" s="78" t="s">
        <v>2130</v>
      </c>
      <c r="R671" s="75">
        <f t="shared" si="52"/>
        <v>1</v>
      </c>
      <c r="S671" s="263" t="s">
        <v>1991</v>
      </c>
      <c r="T671" s="263"/>
      <c r="U671" s="263"/>
      <c r="V671" s="263"/>
      <c r="W671" s="263"/>
      <c r="X671" s="263"/>
      <c r="Y671" s="575"/>
      <c r="Z671" s="575"/>
      <c r="AA671" s="576">
        <f t="shared" si="50"/>
        <v>0</v>
      </c>
      <c r="AB671" s="722"/>
    </row>
    <row r="672" spans="1:28" ht="15.75" customHeight="1" x14ac:dyDescent="0.35">
      <c r="A672" s="81" t="s">
        <v>3176</v>
      </c>
      <c r="C672" s="83">
        <v>43816</v>
      </c>
      <c r="D672" s="112">
        <v>43846</v>
      </c>
      <c r="E672" s="570"/>
      <c r="F672" s="88" t="s">
        <v>3177</v>
      </c>
      <c r="G672" s="88" t="s">
        <v>158</v>
      </c>
      <c r="H672" s="81" t="s">
        <v>220</v>
      </c>
      <c r="I672" s="98" t="s">
        <v>3302</v>
      </c>
      <c r="J672" s="75">
        <f t="shared" si="51"/>
        <v>1</v>
      </c>
      <c r="K672" s="76" t="s">
        <v>211</v>
      </c>
      <c r="L672" s="99" t="s">
        <v>3304</v>
      </c>
      <c r="N672" s="78" t="s">
        <v>18</v>
      </c>
      <c r="Q672" s="78" t="s">
        <v>2130</v>
      </c>
      <c r="R672" s="75">
        <f t="shared" si="52"/>
        <v>1</v>
      </c>
      <c r="S672" s="263" t="s">
        <v>1991</v>
      </c>
      <c r="T672" s="263"/>
      <c r="U672" s="263"/>
      <c r="V672" s="263"/>
      <c r="W672" s="263"/>
      <c r="X672" s="263"/>
      <c r="Y672" s="575"/>
      <c r="Z672" s="575"/>
      <c r="AA672" s="576">
        <f t="shared" si="50"/>
        <v>0</v>
      </c>
      <c r="AB672" s="722"/>
    </row>
    <row r="673" spans="1:28" ht="15.75" customHeight="1" x14ac:dyDescent="0.35">
      <c r="A673" s="81" t="s">
        <v>3178</v>
      </c>
      <c r="C673" s="83">
        <v>43816</v>
      </c>
      <c r="D673" s="112">
        <v>43846</v>
      </c>
      <c r="E673" s="570"/>
      <c r="F673" s="88" t="s">
        <v>3179</v>
      </c>
      <c r="G673" s="88" t="s">
        <v>177</v>
      </c>
      <c r="H673" s="81" t="s">
        <v>220</v>
      </c>
      <c r="I673" s="98" t="s">
        <v>1004</v>
      </c>
      <c r="J673" s="75">
        <f t="shared" si="51"/>
        <v>1</v>
      </c>
      <c r="K673" s="76" t="s">
        <v>211</v>
      </c>
      <c r="N673" s="78" t="s">
        <v>19</v>
      </c>
      <c r="Q673" s="78" t="s">
        <v>2130</v>
      </c>
      <c r="R673" s="75">
        <f t="shared" si="52"/>
        <v>1</v>
      </c>
      <c r="S673" s="263" t="s">
        <v>1991</v>
      </c>
      <c r="T673" s="263"/>
      <c r="U673" s="263"/>
      <c r="V673" s="263"/>
      <c r="W673" s="263"/>
      <c r="X673" s="263"/>
      <c r="Y673" s="575"/>
      <c r="Z673" s="575"/>
      <c r="AA673" s="576">
        <f t="shared" si="50"/>
        <v>0</v>
      </c>
      <c r="AB673" s="722"/>
    </row>
    <row r="674" spans="1:28" ht="15.75" customHeight="1" x14ac:dyDescent="0.35">
      <c r="A674" s="81" t="s">
        <v>3180</v>
      </c>
      <c r="C674" s="83">
        <v>43816</v>
      </c>
      <c r="D674" s="112">
        <v>43846</v>
      </c>
      <c r="E674" s="570"/>
      <c r="F674" s="255" t="s">
        <v>3181</v>
      </c>
      <c r="G674" s="88" t="s">
        <v>417</v>
      </c>
      <c r="H674" s="98" t="s">
        <v>220</v>
      </c>
      <c r="I674" s="98" t="s">
        <v>1004</v>
      </c>
      <c r="J674" s="75">
        <f t="shared" si="51"/>
        <v>1</v>
      </c>
      <c r="K674" s="76" t="s">
        <v>211</v>
      </c>
      <c r="L674" s="99" t="s">
        <v>3303</v>
      </c>
      <c r="N674" s="78" t="s">
        <v>19</v>
      </c>
      <c r="Q674" s="78" t="s">
        <v>2130</v>
      </c>
      <c r="R674" s="75">
        <f t="shared" si="52"/>
        <v>1</v>
      </c>
      <c r="S674" s="263" t="s">
        <v>1991</v>
      </c>
      <c r="T674" s="263"/>
      <c r="U674" s="263"/>
      <c r="V674" s="263"/>
      <c r="W674" s="263"/>
      <c r="X674" s="263"/>
      <c r="Y674" s="575"/>
      <c r="Z674" s="575"/>
      <c r="AA674" s="576">
        <f t="shared" si="50"/>
        <v>0</v>
      </c>
      <c r="AB674" s="722"/>
    </row>
    <row r="675" spans="1:28" ht="15.75" customHeight="1" x14ac:dyDescent="0.35">
      <c r="A675" s="81" t="s">
        <v>2434</v>
      </c>
      <c r="C675" s="83">
        <v>43796</v>
      </c>
      <c r="D675" s="112">
        <v>43840</v>
      </c>
      <c r="E675" s="570"/>
      <c r="F675" s="88" t="s">
        <v>2435</v>
      </c>
      <c r="G675" s="88" t="s">
        <v>162</v>
      </c>
      <c r="H675" s="81" t="s">
        <v>220</v>
      </c>
      <c r="J675" s="75">
        <f t="shared" si="51"/>
        <v>1</v>
      </c>
      <c r="K675" s="76" t="s">
        <v>211</v>
      </c>
      <c r="L675" s="99" t="s">
        <v>3220</v>
      </c>
      <c r="Q675" s="78" t="s">
        <v>2409</v>
      </c>
      <c r="R675" s="75">
        <f t="shared" si="52"/>
        <v>1</v>
      </c>
      <c r="S675" s="263" t="s">
        <v>1991</v>
      </c>
      <c r="T675" s="263"/>
      <c r="U675" s="263"/>
      <c r="V675" s="263"/>
      <c r="W675" s="263"/>
      <c r="X675" s="263"/>
      <c r="Y675" s="575"/>
      <c r="Z675" s="575"/>
      <c r="AA675" s="576">
        <f t="shared" si="50"/>
        <v>0</v>
      </c>
      <c r="AB675" s="722"/>
    </row>
    <row r="676" spans="1:28" ht="15.75" customHeight="1" x14ac:dyDescent="0.35">
      <c r="A676" s="81" t="s">
        <v>3182</v>
      </c>
      <c r="C676" s="83">
        <v>43809</v>
      </c>
      <c r="D676" s="83">
        <v>43839</v>
      </c>
      <c r="E676" s="570"/>
      <c r="F676" s="88" t="s">
        <v>3183</v>
      </c>
      <c r="G676" s="88" t="s">
        <v>162</v>
      </c>
      <c r="H676" s="81" t="s">
        <v>220</v>
      </c>
      <c r="J676" s="75">
        <f t="shared" si="51"/>
        <v>1</v>
      </c>
      <c r="K676" s="76" t="s">
        <v>221</v>
      </c>
      <c r="Q676" s="78" t="s">
        <v>2409</v>
      </c>
      <c r="R676" s="75">
        <f t="shared" si="52"/>
        <v>1</v>
      </c>
      <c r="S676" s="263" t="s">
        <v>1991</v>
      </c>
      <c r="T676" s="263"/>
      <c r="U676" s="263"/>
      <c r="V676" s="263"/>
      <c r="W676" s="263"/>
      <c r="X676" s="263"/>
      <c r="Y676" s="575"/>
      <c r="Z676" s="575"/>
      <c r="AA676" s="576">
        <f t="shared" si="50"/>
        <v>0</v>
      </c>
      <c r="AB676" s="722"/>
    </row>
    <row r="677" spans="1:28" ht="15.75" customHeight="1" x14ac:dyDescent="0.35">
      <c r="A677" s="81" t="s">
        <v>3184</v>
      </c>
      <c r="C677" s="83">
        <v>43810</v>
      </c>
      <c r="D677" s="83">
        <v>43840</v>
      </c>
      <c r="E677" s="570"/>
      <c r="F677" s="88" t="s">
        <v>3185</v>
      </c>
      <c r="G677" s="88" t="s">
        <v>154</v>
      </c>
      <c r="H677" s="81" t="s">
        <v>220</v>
      </c>
      <c r="J677" s="75">
        <f t="shared" si="51"/>
        <v>1</v>
      </c>
      <c r="K677" s="76" t="s">
        <v>221</v>
      </c>
      <c r="L677" s="99" t="s">
        <v>3217</v>
      </c>
      <c r="Q677" s="78" t="s">
        <v>2409</v>
      </c>
      <c r="R677" s="75">
        <f t="shared" si="52"/>
        <v>1</v>
      </c>
      <c r="S677" s="263" t="s">
        <v>1991</v>
      </c>
      <c r="T677" s="263"/>
      <c r="U677" s="263"/>
      <c r="V677" s="263"/>
      <c r="W677" s="263"/>
      <c r="X677" s="263"/>
      <c r="Y677" s="575"/>
      <c r="Z677" s="575"/>
      <c r="AA677" s="576">
        <f t="shared" si="50"/>
        <v>0</v>
      </c>
      <c r="AB677" s="722"/>
    </row>
    <row r="678" spans="1:28" ht="15.75" customHeight="1" x14ac:dyDescent="0.35">
      <c r="A678" s="81" t="s">
        <v>3186</v>
      </c>
      <c r="C678" s="83">
        <v>43810</v>
      </c>
      <c r="D678" s="112">
        <v>43840</v>
      </c>
      <c r="E678" s="570"/>
      <c r="F678" s="88" t="s">
        <v>3187</v>
      </c>
      <c r="G678" s="88" t="s">
        <v>158</v>
      </c>
      <c r="H678" s="81" t="s">
        <v>220</v>
      </c>
      <c r="J678" s="75">
        <f t="shared" si="51"/>
        <v>1</v>
      </c>
      <c r="K678" s="76" t="s">
        <v>211</v>
      </c>
      <c r="L678" s="99" t="s">
        <v>3216</v>
      </c>
      <c r="Q678" s="304" t="s">
        <v>2163</v>
      </c>
      <c r="R678" s="75">
        <f t="shared" si="52"/>
        <v>1</v>
      </c>
      <c r="S678" s="263" t="s">
        <v>1991</v>
      </c>
      <c r="T678" s="263"/>
      <c r="U678" s="263"/>
      <c r="V678" s="263"/>
      <c r="W678" s="263"/>
      <c r="X678" s="263"/>
      <c r="Y678" s="575"/>
      <c r="Z678" s="575"/>
      <c r="AA678" s="576">
        <f t="shared" si="50"/>
        <v>0</v>
      </c>
      <c r="AB678" s="722"/>
    </row>
    <row r="679" spans="1:28" ht="15.75" customHeight="1" x14ac:dyDescent="0.35">
      <c r="A679" s="81" t="s">
        <v>3188</v>
      </c>
      <c r="C679" s="118">
        <v>43809</v>
      </c>
      <c r="D679" s="118">
        <v>43839</v>
      </c>
      <c r="E679" s="570"/>
      <c r="F679" s="88" t="s">
        <v>3194</v>
      </c>
      <c r="G679" s="88" t="s">
        <v>152</v>
      </c>
      <c r="H679" s="81" t="s">
        <v>220</v>
      </c>
      <c r="J679" s="75">
        <f t="shared" ref="J679:J683" si="53">IF(OR(K679="Документы готовы",K679="Запрос в ФО",K679="ЭЗ",K679="РЕШ",K679="РЕШ шаблон"),0.1,IF(OR(K679="ЭЗ согласование",K679="РЕШ согласование"),0.3,IF(OR(K679="ЭЗ согласовано",K679="РЕШ согласовано",K679="РЕШ подписано"),0.6,IF(OR(K679="ЭЗ ПР согласование",K679="РЕШ УВ согласование"),0.9,IF(OR(K679="ЭЗ ПР DONE",K679="РЕШ УВ DONE"),1,0)))))</f>
        <v>1</v>
      </c>
      <c r="K679" s="76" t="s">
        <v>221</v>
      </c>
      <c r="Q679" s="304" t="s">
        <v>2447</v>
      </c>
      <c r="R679" s="75">
        <f t="shared" ref="R679:R683" si="54">IF(S679="В работе",0.3,IF(S679="Отписано",0.6,IF(S679="На доработку",0.9,IF(S679="Согласовано",1,0))))</f>
        <v>1</v>
      </c>
      <c r="S679" s="263" t="s">
        <v>1991</v>
      </c>
      <c r="T679" s="263"/>
      <c r="U679" s="263"/>
      <c r="V679" s="263"/>
      <c r="W679" s="263"/>
      <c r="X679" s="263"/>
      <c r="Y679" s="575"/>
      <c r="Z679" s="575"/>
      <c r="AA679" s="576">
        <f t="shared" si="50"/>
        <v>0</v>
      </c>
      <c r="AB679" s="722"/>
    </row>
    <row r="680" spans="1:28" ht="15.75" customHeight="1" x14ac:dyDescent="0.35">
      <c r="A680" s="81" t="s">
        <v>3193</v>
      </c>
      <c r="C680" s="118">
        <v>43810</v>
      </c>
      <c r="D680" s="318">
        <v>43840</v>
      </c>
      <c r="E680" s="570"/>
      <c r="F680" s="255" t="s">
        <v>3199</v>
      </c>
      <c r="G680" s="88" t="s">
        <v>156</v>
      </c>
      <c r="H680" s="81" t="s">
        <v>220</v>
      </c>
      <c r="I680" s="98" t="s">
        <v>3221</v>
      </c>
      <c r="J680" s="75">
        <f t="shared" si="53"/>
        <v>1</v>
      </c>
      <c r="K680" s="76" t="s">
        <v>211</v>
      </c>
      <c r="L680" s="99" t="s">
        <v>4766</v>
      </c>
      <c r="N680" s="78" t="s">
        <v>17</v>
      </c>
      <c r="Q680" s="304" t="s">
        <v>2447</v>
      </c>
      <c r="R680" s="75">
        <f t="shared" si="54"/>
        <v>1</v>
      </c>
      <c r="S680" s="263" t="s">
        <v>1991</v>
      </c>
      <c r="T680" s="263"/>
      <c r="U680" s="263"/>
      <c r="V680" s="263"/>
      <c r="W680" s="263"/>
      <c r="X680" s="263"/>
      <c r="Y680" s="575"/>
      <c r="Z680" s="575"/>
      <c r="AA680" s="576">
        <f t="shared" si="50"/>
        <v>0</v>
      </c>
      <c r="AB680" s="722"/>
    </row>
    <row r="681" spans="1:28" ht="15.75" customHeight="1" x14ac:dyDescent="0.35">
      <c r="A681" s="81" t="s">
        <v>3238</v>
      </c>
      <c r="C681" s="83">
        <v>43782</v>
      </c>
      <c r="D681" s="112">
        <v>43847</v>
      </c>
      <c r="E681" s="570"/>
      <c r="F681" s="88" t="s">
        <v>3239</v>
      </c>
      <c r="G681" s="88" t="s">
        <v>154</v>
      </c>
      <c r="H681" s="81" t="s">
        <v>220</v>
      </c>
      <c r="I681" s="98" t="s">
        <v>1004</v>
      </c>
      <c r="J681" s="75">
        <f t="shared" si="53"/>
        <v>1</v>
      </c>
      <c r="K681" s="76" t="s">
        <v>211</v>
      </c>
      <c r="N681" s="78" t="s">
        <v>19</v>
      </c>
      <c r="Q681" s="78" t="s">
        <v>2097</v>
      </c>
      <c r="R681" s="75">
        <f t="shared" si="54"/>
        <v>1</v>
      </c>
      <c r="S681" s="263" t="s">
        <v>1991</v>
      </c>
      <c r="T681" s="263"/>
      <c r="U681" s="263"/>
      <c r="V681" s="263"/>
      <c r="W681" s="263"/>
      <c r="X681" s="263"/>
      <c r="Y681" s="575"/>
      <c r="Z681" s="575"/>
      <c r="AA681" s="576">
        <f t="shared" si="50"/>
        <v>0</v>
      </c>
      <c r="AB681" s="722"/>
    </row>
    <row r="682" spans="1:28" ht="15.75" customHeight="1" x14ac:dyDescent="0.35">
      <c r="A682" s="98" t="s">
        <v>3240</v>
      </c>
      <c r="C682" s="83">
        <v>43817</v>
      </c>
      <c r="D682" s="112">
        <v>43847</v>
      </c>
      <c r="E682" s="570"/>
      <c r="F682" s="88" t="s">
        <v>3241</v>
      </c>
      <c r="G682" s="88" t="s">
        <v>149</v>
      </c>
      <c r="H682" s="81" t="s">
        <v>220</v>
      </c>
      <c r="I682" s="98" t="s">
        <v>652</v>
      </c>
      <c r="J682" s="75">
        <f t="shared" si="53"/>
        <v>1</v>
      </c>
      <c r="K682" s="76" t="s">
        <v>211</v>
      </c>
      <c r="L682" s="99" t="s">
        <v>3475</v>
      </c>
      <c r="N682" s="78" t="s">
        <v>18</v>
      </c>
      <c r="Q682" s="78" t="s">
        <v>2097</v>
      </c>
      <c r="R682" s="75">
        <f t="shared" si="54"/>
        <v>1</v>
      </c>
      <c r="S682" s="263" t="s">
        <v>1991</v>
      </c>
      <c r="T682" s="263"/>
      <c r="U682" s="263"/>
      <c r="V682" s="263"/>
      <c r="W682" s="263"/>
      <c r="X682" s="263"/>
      <c r="Y682" s="575"/>
      <c r="Z682" s="575"/>
      <c r="AA682" s="576">
        <f t="shared" si="50"/>
        <v>0</v>
      </c>
      <c r="AB682" s="722"/>
    </row>
    <row r="683" spans="1:28" ht="15.75" customHeight="1" x14ac:dyDescent="0.35">
      <c r="A683" s="81" t="s">
        <v>3242</v>
      </c>
      <c r="C683" s="83">
        <v>43817</v>
      </c>
      <c r="D683" s="112">
        <v>43847</v>
      </c>
      <c r="E683" s="570"/>
      <c r="F683" s="88" t="s">
        <v>3243</v>
      </c>
      <c r="G683" s="88" t="s">
        <v>162</v>
      </c>
      <c r="H683" s="81" t="s">
        <v>220</v>
      </c>
      <c r="I683" s="98" t="s">
        <v>656</v>
      </c>
      <c r="J683" s="75">
        <f t="shared" si="53"/>
        <v>1</v>
      </c>
      <c r="K683" s="76" t="s">
        <v>211</v>
      </c>
      <c r="N683" s="78" t="s">
        <v>17</v>
      </c>
      <c r="Q683" s="78" t="s">
        <v>2097</v>
      </c>
      <c r="R683" s="75">
        <f t="shared" si="54"/>
        <v>1</v>
      </c>
      <c r="S683" s="263" t="s">
        <v>1991</v>
      </c>
      <c r="T683" s="263"/>
      <c r="U683" s="263"/>
      <c r="V683" s="263"/>
      <c r="W683" s="263"/>
      <c r="X683" s="263"/>
      <c r="Y683" s="575"/>
      <c r="Z683" s="575"/>
      <c r="AA683" s="576">
        <f t="shared" si="50"/>
        <v>0</v>
      </c>
      <c r="AB683" s="722"/>
    </row>
    <row r="684" spans="1:28" ht="15.75" customHeight="1" x14ac:dyDescent="0.35">
      <c r="A684" s="98" t="s">
        <v>3248</v>
      </c>
      <c r="C684" s="83">
        <v>43817</v>
      </c>
      <c r="D684" s="112">
        <v>43847</v>
      </c>
      <c r="E684" s="570"/>
      <c r="F684" s="88" t="s">
        <v>3249</v>
      </c>
      <c r="G684" s="88" t="s">
        <v>154</v>
      </c>
      <c r="H684" s="98" t="s">
        <v>220</v>
      </c>
      <c r="I684" s="98" t="s">
        <v>3308</v>
      </c>
      <c r="J684" s="75">
        <f t="shared" ref="J684:J685" si="55">IF(OR(K684="Документы готовы",K684="Запрос в ФО",K684="ЭЗ",K684="РЕШ",K684="РЕШ шаблон"),0.1,IF(OR(K684="ЭЗ согласование",K684="РЕШ согласование"),0.3,IF(OR(K684="ЭЗ согласовано",K684="РЕШ согласовано",K684="РЕШ подписано"),0.6,IF(OR(K684="ЭЗ ПР согласование",K684="РЕШ УВ согласование"),0.9,IF(OR(K684="ЭЗ ПР DONE",K684="РЕШ УВ DONE"),1,0)))))</f>
        <v>1</v>
      </c>
      <c r="K684" s="76" t="s">
        <v>211</v>
      </c>
      <c r="N684" s="78" t="s">
        <v>17</v>
      </c>
      <c r="Q684" s="78" t="s">
        <v>2056</v>
      </c>
      <c r="R684" s="75">
        <f t="shared" ref="R684:R685" si="56">IF(S684="В работе",0.3,IF(S684="Отписано",0.6,IF(S684="На доработку",0.9,IF(S684="Согласовано",1,0))))</f>
        <v>1</v>
      </c>
      <c r="S684" s="263" t="s">
        <v>1991</v>
      </c>
      <c r="T684" s="263"/>
      <c r="U684" s="263"/>
      <c r="V684" s="263"/>
      <c r="W684" s="263"/>
      <c r="X684" s="263"/>
      <c r="Y684" s="575"/>
      <c r="Z684" s="575"/>
      <c r="AA684" s="576">
        <f t="shared" si="50"/>
        <v>0</v>
      </c>
      <c r="AB684" s="722"/>
    </row>
    <row r="685" spans="1:28" ht="15.75" customHeight="1" x14ac:dyDescent="0.35">
      <c r="A685" s="98" t="s">
        <v>3250</v>
      </c>
      <c r="C685" s="83">
        <v>43804</v>
      </c>
      <c r="D685" s="112">
        <v>43847</v>
      </c>
      <c r="E685" s="570"/>
      <c r="F685" s="88" t="s">
        <v>3251</v>
      </c>
      <c r="G685" s="88" t="s">
        <v>417</v>
      </c>
      <c r="H685" s="81" t="s">
        <v>220</v>
      </c>
      <c r="I685" s="98" t="s">
        <v>652</v>
      </c>
      <c r="J685" s="75">
        <f t="shared" si="55"/>
        <v>1</v>
      </c>
      <c r="K685" s="76" t="s">
        <v>211</v>
      </c>
      <c r="N685" s="78" t="s">
        <v>17</v>
      </c>
      <c r="Q685" s="78" t="s">
        <v>2163</v>
      </c>
      <c r="R685" s="75">
        <f t="shared" si="56"/>
        <v>1</v>
      </c>
      <c r="S685" s="263" t="s">
        <v>1991</v>
      </c>
      <c r="T685" s="263"/>
      <c r="U685" s="263"/>
      <c r="V685" s="263"/>
      <c r="W685" s="263"/>
      <c r="X685" s="263"/>
      <c r="Y685" s="575"/>
      <c r="Z685" s="575"/>
      <c r="AA685" s="576">
        <f t="shared" si="50"/>
        <v>0</v>
      </c>
      <c r="AB685" s="722"/>
    </row>
    <row r="686" spans="1:28" ht="15.75" customHeight="1" x14ac:dyDescent="0.35">
      <c r="A686" s="98" t="s">
        <v>3254</v>
      </c>
      <c r="C686" s="83">
        <v>43817</v>
      </c>
      <c r="D686" s="112">
        <v>43847</v>
      </c>
      <c r="E686" s="570"/>
      <c r="F686" s="88" t="s">
        <v>3255</v>
      </c>
      <c r="G686" s="88" t="s">
        <v>162</v>
      </c>
      <c r="H686" s="81" t="s">
        <v>220</v>
      </c>
      <c r="I686" s="98" t="s">
        <v>3469</v>
      </c>
      <c r="J686" s="75">
        <f t="shared" ref="J686:J713" si="57">IF(OR(K686="Документы готовы",K686="Запрос в ФО",K686="ЭЗ",K686="РЕШ",K686="РЕШ шаблон"),0.1,IF(OR(K686="ЭЗ согласование",K686="РЕШ согласование"),0.3,IF(OR(K686="ЭЗ согласовано",K686="РЕШ согласовано",K686="РЕШ подписано"),0.6,IF(OR(K686="ЭЗ ПР согласование",K686="РЕШ УВ согласование"),0.9,IF(OR(K686="ЭЗ ПР DONE",K686="РЕШ УВ DONE"),1,0)))))</f>
        <v>1</v>
      </c>
      <c r="K686" s="76" t="s">
        <v>211</v>
      </c>
      <c r="N686" s="78" t="s">
        <v>18</v>
      </c>
      <c r="Q686" s="78" t="s">
        <v>2163</v>
      </c>
      <c r="R686" s="75">
        <f t="shared" ref="R686:R713" si="58">IF(S686="В работе",0.3,IF(S686="Отписано",0.6,IF(S686="На доработку",0.9,IF(S686="Согласовано",1,0))))</f>
        <v>1</v>
      </c>
      <c r="S686" s="263" t="s">
        <v>1991</v>
      </c>
      <c r="T686" s="263"/>
      <c r="U686" s="263"/>
      <c r="V686" s="263"/>
      <c r="W686" s="263"/>
      <c r="X686" s="263"/>
      <c r="Y686" s="575"/>
      <c r="Z686" s="575"/>
      <c r="AA686" s="576">
        <f t="shared" si="50"/>
        <v>0</v>
      </c>
      <c r="AB686" s="722"/>
    </row>
    <row r="687" spans="1:28" ht="15.75" customHeight="1" x14ac:dyDescent="0.35">
      <c r="A687" s="98" t="s">
        <v>3256</v>
      </c>
      <c r="C687" s="83">
        <v>43817</v>
      </c>
      <c r="D687" s="112">
        <v>43847</v>
      </c>
      <c r="E687" s="570"/>
      <c r="F687" s="88" t="s">
        <v>3257</v>
      </c>
      <c r="G687" s="88" t="s">
        <v>172</v>
      </c>
      <c r="H687" s="81" t="s">
        <v>220</v>
      </c>
      <c r="I687" s="98" t="s">
        <v>656</v>
      </c>
      <c r="J687" s="75">
        <f t="shared" si="57"/>
        <v>1</v>
      </c>
      <c r="K687" s="76" t="s">
        <v>211</v>
      </c>
      <c r="N687" s="78" t="s">
        <v>17</v>
      </c>
      <c r="Q687" s="304" t="s">
        <v>2163</v>
      </c>
      <c r="R687" s="75">
        <f t="shared" si="58"/>
        <v>1</v>
      </c>
      <c r="S687" s="263" t="s">
        <v>1991</v>
      </c>
      <c r="T687" s="263"/>
      <c r="U687" s="263"/>
      <c r="V687" s="263"/>
      <c r="W687" s="263"/>
      <c r="X687" s="263"/>
      <c r="Y687" s="575"/>
      <c r="Z687" s="575"/>
      <c r="AA687" s="576">
        <f t="shared" si="50"/>
        <v>0</v>
      </c>
      <c r="AB687" s="722"/>
    </row>
    <row r="688" spans="1:28" ht="15.75" customHeight="1" x14ac:dyDescent="0.35">
      <c r="A688" s="98" t="s">
        <v>3258</v>
      </c>
      <c r="C688" s="83">
        <v>43798</v>
      </c>
      <c r="D688" s="112">
        <v>43843</v>
      </c>
      <c r="E688" s="570"/>
      <c r="F688" s="99" t="s">
        <v>3259</v>
      </c>
      <c r="G688" s="99" t="s">
        <v>156</v>
      </c>
      <c r="H688" s="98" t="s">
        <v>220</v>
      </c>
      <c r="J688" s="75">
        <f t="shared" si="57"/>
        <v>1</v>
      </c>
      <c r="K688" s="76" t="s">
        <v>211</v>
      </c>
      <c r="Q688" s="304" t="s">
        <v>2447</v>
      </c>
      <c r="R688" s="75">
        <f t="shared" si="58"/>
        <v>1</v>
      </c>
      <c r="S688" s="263" t="s">
        <v>1991</v>
      </c>
      <c r="T688" s="263"/>
      <c r="U688" s="263"/>
      <c r="V688" s="263"/>
      <c r="W688" s="263"/>
      <c r="X688" s="263"/>
      <c r="Y688" s="575"/>
      <c r="Z688" s="575"/>
      <c r="AA688" s="576">
        <f t="shared" si="50"/>
        <v>0</v>
      </c>
      <c r="AB688" s="722"/>
    </row>
    <row r="689" spans="1:28" ht="15.75" customHeight="1" x14ac:dyDescent="0.35">
      <c r="A689" s="98" t="s">
        <v>3263</v>
      </c>
      <c r="C689" s="83">
        <v>43798</v>
      </c>
      <c r="D689" s="112">
        <v>43844</v>
      </c>
      <c r="E689" s="570"/>
      <c r="F689" s="99" t="s">
        <v>3264</v>
      </c>
      <c r="G689" s="99" t="s">
        <v>1051</v>
      </c>
      <c r="H689" s="98" t="s">
        <v>220</v>
      </c>
      <c r="J689" s="75">
        <f t="shared" si="57"/>
        <v>1</v>
      </c>
      <c r="K689" s="76" t="s">
        <v>211</v>
      </c>
      <c r="Q689" s="304" t="s">
        <v>2447</v>
      </c>
      <c r="R689" s="75">
        <f t="shared" si="58"/>
        <v>1</v>
      </c>
      <c r="S689" s="263" t="s">
        <v>1991</v>
      </c>
      <c r="T689" s="263"/>
      <c r="U689" s="263"/>
      <c r="V689" s="263"/>
      <c r="W689" s="263"/>
      <c r="X689" s="263"/>
      <c r="Y689" s="575"/>
      <c r="Z689" s="575"/>
      <c r="AA689" s="576">
        <f t="shared" si="50"/>
        <v>0</v>
      </c>
      <c r="AB689" s="722"/>
    </row>
    <row r="690" spans="1:28" ht="15.75" customHeight="1" x14ac:dyDescent="0.35">
      <c r="A690" s="98" t="s">
        <v>3265</v>
      </c>
      <c r="C690" s="83">
        <v>43812</v>
      </c>
      <c r="D690" s="112">
        <v>43844</v>
      </c>
      <c r="E690" s="570"/>
      <c r="F690" s="99" t="s">
        <v>3266</v>
      </c>
      <c r="G690" s="99" t="s">
        <v>154</v>
      </c>
      <c r="H690" s="98" t="s">
        <v>220</v>
      </c>
      <c r="J690" s="75">
        <f t="shared" si="57"/>
        <v>1</v>
      </c>
      <c r="K690" s="76" t="s">
        <v>211</v>
      </c>
      <c r="Q690" s="78" t="s">
        <v>2447</v>
      </c>
      <c r="R690" s="75">
        <f t="shared" si="58"/>
        <v>1</v>
      </c>
      <c r="S690" s="263" t="s">
        <v>1991</v>
      </c>
      <c r="T690" s="263"/>
      <c r="U690" s="263"/>
      <c r="V690" s="263"/>
      <c r="W690" s="263"/>
      <c r="X690" s="263"/>
      <c r="Y690" s="575"/>
      <c r="Z690" s="575"/>
      <c r="AA690" s="576">
        <f t="shared" si="50"/>
        <v>0</v>
      </c>
      <c r="AB690" s="722"/>
    </row>
    <row r="691" spans="1:28" ht="15.75" customHeight="1" x14ac:dyDescent="0.35">
      <c r="A691" s="98" t="s">
        <v>3267</v>
      </c>
      <c r="C691" s="83">
        <v>43801</v>
      </c>
      <c r="D691" s="112">
        <v>43844</v>
      </c>
      <c r="E691" s="570"/>
      <c r="F691" s="99" t="s">
        <v>3268</v>
      </c>
      <c r="G691" s="99" t="s">
        <v>154</v>
      </c>
      <c r="H691" s="81" t="s">
        <v>220</v>
      </c>
      <c r="J691" s="75">
        <f t="shared" si="57"/>
        <v>1</v>
      </c>
      <c r="K691" s="76" t="s">
        <v>211</v>
      </c>
      <c r="Q691" s="304" t="s">
        <v>2447</v>
      </c>
      <c r="R691" s="75">
        <f t="shared" si="58"/>
        <v>1</v>
      </c>
      <c r="S691" s="263" t="s">
        <v>1991</v>
      </c>
      <c r="T691" s="263"/>
      <c r="U691" s="263"/>
      <c r="V691" s="263"/>
      <c r="W691" s="263"/>
      <c r="X691" s="263"/>
      <c r="Y691" s="575"/>
      <c r="Z691" s="575"/>
      <c r="AA691" s="576">
        <f t="shared" si="50"/>
        <v>0</v>
      </c>
      <c r="AB691" s="722"/>
    </row>
    <row r="692" spans="1:28" ht="15.75" customHeight="1" x14ac:dyDescent="0.35">
      <c r="A692" s="98" t="s">
        <v>3276</v>
      </c>
      <c r="C692" s="83">
        <v>43815</v>
      </c>
      <c r="D692" s="112">
        <v>43845</v>
      </c>
      <c r="E692" s="570"/>
      <c r="F692" s="99" t="s">
        <v>3277</v>
      </c>
      <c r="G692" s="99" t="s">
        <v>158</v>
      </c>
      <c r="H692" s="98" t="s">
        <v>220</v>
      </c>
      <c r="I692" s="98" t="s">
        <v>1004</v>
      </c>
      <c r="J692" s="75">
        <f t="shared" si="57"/>
        <v>1</v>
      </c>
      <c r="K692" s="76" t="s">
        <v>211</v>
      </c>
      <c r="N692" s="78" t="s">
        <v>19</v>
      </c>
      <c r="Q692" s="304" t="s">
        <v>2447</v>
      </c>
      <c r="R692" s="75">
        <f t="shared" si="58"/>
        <v>1</v>
      </c>
      <c r="S692" s="263" t="s">
        <v>1991</v>
      </c>
      <c r="T692" s="263"/>
      <c r="U692" s="263"/>
      <c r="V692" s="263"/>
      <c r="W692" s="263"/>
      <c r="X692" s="263"/>
      <c r="Y692" s="575"/>
      <c r="Z692" s="575"/>
      <c r="AA692" s="576">
        <f t="shared" si="50"/>
        <v>0</v>
      </c>
      <c r="AB692" s="722"/>
    </row>
    <row r="693" spans="1:28" ht="15.75" customHeight="1" x14ac:dyDescent="0.35">
      <c r="A693" s="98" t="s">
        <v>3278</v>
      </c>
      <c r="C693" s="83">
        <v>43801</v>
      </c>
      <c r="D693" s="112">
        <v>43845</v>
      </c>
      <c r="E693" s="570"/>
      <c r="F693" s="99" t="s">
        <v>3281</v>
      </c>
      <c r="G693" s="99" t="s">
        <v>162</v>
      </c>
      <c r="H693" s="98" t="s">
        <v>220</v>
      </c>
      <c r="I693" s="98" t="s">
        <v>2024</v>
      </c>
      <c r="J693" s="75">
        <f t="shared" si="57"/>
        <v>1</v>
      </c>
      <c r="K693" s="76" t="s">
        <v>211</v>
      </c>
      <c r="N693" s="78" t="s">
        <v>17</v>
      </c>
      <c r="Q693" s="78" t="s">
        <v>2447</v>
      </c>
      <c r="R693" s="75">
        <f t="shared" si="58"/>
        <v>1</v>
      </c>
      <c r="S693" s="263" t="s">
        <v>1991</v>
      </c>
      <c r="T693" s="263"/>
      <c r="U693" s="263"/>
      <c r="V693" s="263"/>
      <c r="W693" s="263"/>
      <c r="X693" s="263"/>
      <c r="Y693" s="575"/>
      <c r="Z693" s="575"/>
      <c r="AA693" s="576">
        <f t="shared" si="50"/>
        <v>0</v>
      </c>
      <c r="AB693" s="722"/>
    </row>
    <row r="694" spans="1:28" ht="15.75" customHeight="1" x14ac:dyDescent="0.35">
      <c r="A694" s="98" t="s">
        <v>3279</v>
      </c>
      <c r="C694" s="83">
        <v>43802</v>
      </c>
      <c r="D694" s="112">
        <v>43845</v>
      </c>
      <c r="E694" s="570"/>
      <c r="F694" s="99" t="s">
        <v>3282</v>
      </c>
      <c r="G694" s="99" t="s">
        <v>154</v>
      </c>
      <c r="H694" s="98" t="s">
        <v>220</v>
      </c>
      <c r="I694" s="98" t="s">
        <v>1308</v>
      </c>
      <c r="J694" s="75">
        <f t="shared" si="57"/>
        <v>1</v>
      </c>
      <c r="K694" s="76" t="s">
        <v>211</v>
      </c>
      <c r="L694" s="99" t="s">
        <v>3286</v>
      </c>
      <c r="N694" s="78" t="s">
        <v>17</v>
      </c>
      <c r="Q694" s="78" t="s">
        <v>2447</v>
      </c>
      <c r="R694" s="75">
        <f t="shared" si="58"/>
        <v>1</v>
      </c>
      <c r="S694" s="263" t="s">
        <v>1991</v>
      </c>
      <c r="T694" s="263"/>
      <c r="U694" s="263"/>
      <c r="V694" s="263"/>
      <c r="W694" s="263"/>
      <c r="X694" s="263"/>
      <c r="Y694" s="575"/>
      <c r="Z694" s="575"/>
      <c r="AA694" s="576">
        <f t="shared" si="50"/>
        <v>0</v>
      </c>
      <c r="AB694" s="722"/>
    </row>
    <row r="695" spans="1:28" ht="15.75" customHeight="1" x14ac:dyDescent="0.35">
      <c r="A695" s="98" t="s">
        <v>3280</v>
      </c>
      <c r="C695" s="83">
        <v>43787</v>
      </c>
      <c r="D695" s="112">
        <v>43845</v>
      </c>
      <c r="E695" s="570"/>
      <c r="F695" s="99" t="s">
        <v>3283</v>
      </c>
      <c r="G695" s="99" t="s">
        <v>158</v>
      </c>
      <c r="H695" s="98" t="s">
        <v>220</v>
      </c>
      <c r="I695" s="98" t="s">
        <v>649</v>
      </c>
      <c r="J695" s="75">
        <f t="shared" si="57"/>
        <v>1</v>
      </c>
      <c r="K695" s="76" t="s">
        <v>211</v>
      </c>
      <c r="N695" s="78" t="s">
        <v>18</v>
      </c>
      <c r="Q695" s="304" t="s">
        <v>2447</v>
      </c>
      <c r="R695" s="75">
        <f t="shared" si="58"/>
        <v>1</v>
      </c>
      <c r="S695" s="263" t="s">
        <v>1991</v>
      </c>
      <c r="T695" s="263"/>
      <c r="U695" s="263"/>
      <c r="V695" s="263"/>
      <c r="W695" s="263"/>
      <c r="X695" s="263"/>
      <c r="Y695" s="575"/>
      <c r="Z695" s="575"/>
      <c r="AA695" s="576">
        <f t="shared" si="50"/>
        <v>0</v>
      </c>
      <c r="AB695" s="722"/>
    </row>
    <row r="696" spans="1:28" ht="15.75" customHeight="1" x14ac:dyDescent="0.35">
      <c r="A696" s="98" t="s">
        <v>3297</v>
      </c>
      <c r="C696" s="83">
        <v>43816</v>
      </c>
      <c r="D696" s="112">
        <v>43846</v>
      </c>
      <c r="E696" s="570"/>
      <c r="F696" s="99" t="s">
        <v>6391</v>
      </c>
      <c r="G696" s="99" t="s">
        <v>166</v>
      </c>
      <c r="H696" s="81" t="s">
        <v>220</v>
      </c>
      <c r="I696" s="98" t="s">
        <v>691</v>
      </c>
      <c r="J696" s="75">
        <f t="shared" si="57"/>
        <v>1</v>
      </c>
      <c r="K696" s="76" t="s">
        <v>211</v>
      </c>
      <c r="N696" s="78" t="s">
        <v>18</v>
      </c>
      <c r="Q696" s="304" t="s">
        <v>2447</v>
      </c>
      <c r="R696" s="75">
        <f t="shared" si="58"/>
        <v>1</v>
      </c>
      <c r="S696" s="263" t="s">
        <v>1991</v>
      </c>
      <c r="T696" s="263"/>
      <c r="U696" s="263"/>
      <c r="V696" s="263"/>
      <c r="W696" s="263"/>
      <c r="X696" s="263"/>
      <c r="Y696" s="575"/>
      <c r="Z696" s="575"/>
      <c r="AA696" s="576">
        <f t="shared" si="50"/>
        <v>0</v>
      </c>
      <c r="AB696" s="722"/>
    </row>
    <row r="697" spans="1:28" ht="15.75" customHeight="1" x14ac:dyDescent="0.35">
      <c r="A697" s="352" t="s">
        <v>3299</v>
      </c>
      <c r="C697" s="83">
        <v>43802</v>
      </c>
      <c r="D697" s="112">
        <v>43846</v>
      </c>
      <c r="E697" s="570"/>
      <c r="F697" s="99" t="s">
        <v>6392</v>
      </c>
      <c r="G697" s="99" t="s">
        <v>177</v>
      </c>
      <c r="H697" s="81" t="s">
        <v>220</v>
      </c>
      <c r="I697" s="98" t="s">
        <v>722</v>
      </c>
      <c r="J697" s="75">
        <f t="shared" si="57"/>
        <v>1</v>
      </c>
      <c r="K697" s="76" t="s">
        <v>211</v>
      </c>
      <c r="N697" s="78" t="s">
        <v>17</v>
      </c>
      <c r="Q697" s="78" t="s">
        <v>2447</v>
      </c>
      <c r="R697" s="75">
        <f t="shared" si="58"/>
        <v>1</v>
      </c>
      <c r="S697" s="263" t="s">
        <v>1991</v>
      </c>
      <c r="T697" s="263"/>
      <c r="U697" s="263"/>
      <c r="V697" s="263"/>
      <c r="W697" s="263"/>
      <c r="X697" s="263"/>
      <c r="Y697" s="575"/>
      <c r="Z697" s="575"/>
      <c r="AA697" s="576">
        <f t="shared" si="50"/>
        <v>0</v>
      </c>
      <c r="AB697" s="722"/>
    </row>
    <row r="698" spans="1:28" ht="15.75" customHeight="1" x14ac:dyDescent="0.35">
      <c r="A698" s="81" t="s">
        <v>2269</v>
      </c>
      <c r="C698" s="83">
        <v>43794</v>
      </c>
      <c r="D698" s="112">
        <v>43851</v>
      </c>
      <c r="E698" s="570"/>
      <c r="F698" s="88" t="s">
        <v>2270</v>
      </c>
      <c r="G698" s="88" t="s">
        <v>158</v>
      </c>
      <c r="H698" s="98" t="s">
        <v>220</v>
      </c>
      <c r="I698" s="98" t="s">
        <v>649</v>
      </c>
      <c r="J698" s="75">
        <f t="shared" si="57"/>
        <v>1</v>
      </c>
      <c r="K698" s="76" t="s">
        <v>211</v>
      </c>
      <c r="N698" s="78" t="s">
        <v>18</v>
      </c>
      <c r="Q698" s="78" t="s">
        <v>2097</v>
      </c>
      <c r="R698" s="75">
        <f t="shared" si="58"/>
        <v>1</v>
      </c>
      <c r="S698" s="263" t="s">
        <v>1991</v>
      </c>
      <c r="T698" s="263"/>
      <c r="U698" s="263"/>
      <c r="V698" s="263"/>
      <c r="W698" s="263"/>
      <c r="X698" s="263"/>
      <c r="Y698" s="575"/>
      <c r="Z698" s="575"/>
      <c r="AA698" s="576">
        <f t="shared" si="50"/>
        <v>0</v>
      </c>
      <c r="AB698" s="722"/>
    </row>
    <row r="699" spans="1:28" ht="15.75" customHeight="1" x14ac:dyDescent="0.35">
      <c r="A699" s="98" t="s">
        <v>2566</v>
      </c>
      <c r="C699" s="83">
        <v>43804</v>
      </c>
      <c r="D699" s="112">
        <v>43850</v>
      </c>
      <c r="E699" s="570"/>
      <c r="F699" s="88" t="s">
        <v>2567</v>
      </c>
      <c r="G699" s="88" t="s">
        <v>156</v>
      </c>
      <c r="H699" s="98" t="s">
        <v>220</v>
      </c>
      <c r="I699" s="98" t="s">
        <v>664</v>
      </c>
      <c r="J699" s="75">
        <f t="shared" si="57"/>
        <v>1</v>
      </c>
      <c r="K699" s="76" t="s">
        <v>211</v>
      </c>
      <c r="N699" s="78" t="s">
        <v>17</v>
      </c>
      <c r="Q699" s="78" t="s">
        <v>2097</v>
      </c>
      <c r="R699" s="75">
        <f t="shared" si="58"/>
        <v>1</v>
      </c>
      <c r="S699" s="263" t="s">
        <v>1991</v>
      </c>
      <c r="T699" s="263"/>
      <c r="U699" s="263"/>
      <c r="V699" s="263"/>
      <c r="W699" s="263"/>
      <c r="X699" s="263"/>
      <c r="Y699" s="575"/>
      <c r="Z699" s="575"/>
      <c r="AA699" s="576">
        <f t="shared" si="50"/>
        <v>0</v>
      </c>
      <c r="AB699" s="722"/>
    </row>
    <row r="700" spans="1:28" ht="15.75" customHeight="1" x14ac:dyDescent="0.35">
      <c r="A700" s="81" t="s">
        <v>2570</v>
      </c>
      <c r="C700" s="83">
        <v>43804</v>
      </c>
      <c r="D700" s="112">
        <v>43850</v>
      </c>
      <c r="E700" s="570"/>
      <c r="F700" s="88" t="s">
        <v>2571</v>
      </c>
      <c r="G700" s="88" t="s">
        <v>152</v>
      </c>
      <c r="H700" s="98" t="s">
        <v>220</v>
      </c>
      <c r="J700" s="75">
        <f t="shared" si="57"/>
        <v>1</v>
      </c>
      <c r="K700" s="76" t="s">
        <v>211</v>
      </c>
      <c r="Q700" s="78" t="s">
        <v>2097</v>
      </c>
      <c r="R700" s="75">
        <f t="shared" si="58"/>
        <v>1</v>
      </c>
      <c r="S700" s="263" t="s">
        <v>1991</v>
      </c>
      <c r="T700" s="263"/>
      <c r="U700" s="263"/>
      <c r="V700" s="263"/>
      <c r="W700" s="263"/>
      <c r="X700" s="263"/>
      <c r="Y700" s="575"/>
      <c r="Z700" s="575"/>
      <c r="AA700" s="576">
        <f t="shared" si="50"/>
        <v>0</v>
      </c>
      <c r="AB700" s="722"/>
    </row>
    <row r="701" spans="1:28" ht="15.75" customHeight="1" x14ac:dyDescent="0.35">
      <c r="A701" s="81" t="s">
        <v>2580</v>
      </c>
      <c r="C701" s="83">
        <v>43808</v>
      </c>
      <c r="D701" s="112">
        <v>43852</v>
      </c>
      <c r="E701" s="570"/>
      <c r="F701" s="88" t="s">
        <v>2581</v>
      </c>
      <c r="G701" s="88" t="s">
        <v>193</v>
      </c>
      <c r="H701" s="98" t="s">
        <v>220</v>
      </c>
      <c r="I701" s="98" t="s">
        <v>649</v>
      </c>
      <c r="J701" s="75">
        <f t="shared" si="57"/>
        <v>1</v>
      </c>
      <c r="K701" s="76" t="s">
        <v>211</v>
      </c>
      <c r="N701" s="78" t="s">
        <v>18</v>
      </c>
      <c r="Q701" s="78" t="s">
        <v>2097</v>
      </c>
      <c r="R701" s="75">
        <f t="shared" si="58"/>
        <v>1</v>
      </c>
      <c r="S701" s="263" t="s">
        <v>1991</v>
      </c>
      <c r="T701" s="263"/>
      <c r="U701" s="263"/>
      <c r="V701" s="263"/>
      <c r="W701" s="263"/>
      <c r="X701" s="263"/>
      <c r="Y701" s="575"/>
      <c r="Z701" s="575"/>
      <c r="AA701" s="576">
        <f t="shared" si="50"/>
        <v>0</v>
      </c>
      <c r="AB701" s="722"/>
    </row>
    <row r="702" spans="1:28" ht="15.75" customHeight="1" x14ac:dyDescent="0.35">
      <c r="A702" s="81" t="s">
        <v>2582</v>
      </c>
      <c r="C702" s="83">
        <v>43808</v>
      </c>
      <c r="D702" s="112">
        <v>43852</v>
      </c>
      <c r="E702" s="570"/>
      <c r="F702" s="88" t="s">
        <v>2583</v>
      </c>
      <c r="G702" s="88" t="s">
        <v>186</v>
      </c>
      <c r="H702" s="98" t="s">
        <v>220</v>
      </c>
      <c r="I702" s="98" t="s">
        <v>649</v>
      </c>
      <c r="J702" s="75">
        <f t="shared" si="57"/>
        <v>1</v>
      </c>
      <c r="K702" s="76" t="s">
        <v>211</v>
      </c>
      <c r="N702" s="78" t="s">
        <v>18</v>
      </c>
      <c r="Q702" s="78" t="s">
        <v>2097</v>
      </c>
      <c r="R702" s="75">
        <f t="shared" si="58"/>
        <v>1</v>
      </c>
      <c r="S702" s="263" t="s">
        <v>1991</v>
      </c>
      <c r="T702" s="263"/>
      <c r="U702" s="263"/>
      <c r="V702" s="263"/>
      <c r="W702" s="263"/>
      <c r="X702" s="263"/>
      <c r="Y702" s="575"/>
      <c r="Z702" s="575"/>
      <c r="AA702" s="576">
        <f t="shared" si="50"/>
        <v>0</v>
      </c>
      <c r="AB702" s="722"/>
    </row>
    <row r="703" spans="1:28" ht="15.75" customHeight="1" x14ac:dyDescent="0.35">
      <c r="A703" s="81" t="s">
        <v>2588</v>
      </c>
      <c r="C703" s="83">
        <v>43808</v>
      </c>
      <c r="D703" s="112">
        <v>43852</v>
      </c>
      <c r="E703" s="570"/>
      <c r="F703" s="88" t="s">
        <v>2589</v>
      </c>
      <c r="G703" s="88" t="s">
        <v>158</v>
      </c>
      <c r="H703" s="98" t="s">
        <v>220</v>
      </c>
      <c r="I703" s="98" t="s">
        <v>722</v>
      </c>
      <c r="J703" s="75">
        <f t="shared" si="57"/>
        <v>1</v>
      </c>
      <c r="K703" s="76" t="s">
        <v>211</v>
      </c>
      <c r="N703" s="78" t="s">
        <v>17</v>
      </c>
      <c r="Q703" s="78" t="s">
        <v>2097</v>
      </c>
      <c r="R703" s="75">
        <f t="shared" si="58"/>
        <v>1</v>
      </c>
      <c r="S703" s="263" t="s">
        <v>1991</v>
      </c>
      <c r="T703" s="263"/>
      <c r="U703" s="263"/>
      <c r="V703" s="263"/>
      <c r="W703" s="263"/>
      <c r="X703" s="263"/>
      <c r="Y703" s="575"/>
      <c r="Z703" s="575"/>
      <c r="AA703" s="576">
        <f t="shared" si="50"/>
        <v>0</v>
      </c>
      <c r="AB703" s="722"/>
    </row>
    <row r="704" spans="1:28" ht="15.75" customHeight="1" x14ac:dyDescent="0.35">
      <c r="A704" s="81" t="s">
        <v>2979</v>
      </c>
      <c r="C704" s="83">
        <v>43809</v>
      </c>
      <c r="D704" s="112">
        <v>43853</v>
      </c>
      <c r="E704" s="570"/>
      <c r="F704" s="88" t="s">
        <v>2980</v>
      </c>
      <c r="G704" s="88" t="s">
        <v>156</v>
      </c>
      <c r="H704" s="98" t="s">
        <v>220</v>
      </c>
      <c r="I704" s="98" t="s">
        <v>722</v>
      </c>
      <c r="J704" s="75">
        <f t="shared" si="57"/>
        <v>1</v>
      </c>
      <c r="K704" s="76" t="s">
        <v>211</v>
      </c>
      <c r="N704" s="78" t="s">
        <v>17</v>
      </c>
      <c r="Q704" s="78" t="s">
        <v>2097</v>
      </c>
      <c r="R704" s="75">
        <f t="shared" si="58"/>
        <v>1</v>
      </c>
      <c r="S704" s="263" t="s">
        <v>1991</v>
      </c>
      <c r="T704" s="263"/>
      <c r="U704" s="263"/>
      <c r="V704" s="263"/>
      <c r="W704" s="263"/>
      <c r="X704" s="263"/>
      <c r="Y704" s="575"/>
      <c r="Z704" s="575"/>
      <c r="AA704" s="576">
        <f t="shared" si="50"/>
        <v>0</v>
      </c>
      <c r="AB704" s="722"/>
    </row>
    <row r="705" spans="1:28" ht="15.75" customHeight="1" x14ac:dyDescent="0.35">
      <c r="A705" s="81" t="s">
        <v>2987</v>
      </c>
      <c r="C705" s="83">
        <v>43810</v>
      </c>
      <c r="D705" s="112">
        <v>43854</v>
      </c>
      <c r="E705" s="570"/>
      <c r="F705" s="88" t="s">
        <v>2988</v>
      </c>
      <c r="G705" s="88" t="s">
        <v>154</v>
      </c>
      <c r="H705" s="98" t="s">
        <v>220</v>
      </c>
      <c r="I705" s="98" t="s">
        <v>722</v>
      </c>
      <c r="J705" s="75">
        <f t="shared" si="57"/>
        <v>1</v>
      </c>
      <c r="K705" s="76" t="s">
        <v>211</v>
      </c>
      <c r="N705" s="78" t="s">
        <v>17</v>
      </c>
      <c r="Q705" s="78" t="s">
        <v>2097</v>
      </c>
      <c r="R705" s="75">
        <f t="shared" si="58"/>
        <v>1</v>
      </c>
      <c r="S705" s="263" t="s">
        <v>1991</v>
      </c>
      <c r="T705" s="263"/>
      <c r="U705" s="263"/>
      <c r="V705" s="263"/>
      <c r="W705" s="263"/>
      <c r="X705" s="263"/>
      <c r="Y705" s="575"/>
      <c r="Z705" s="575"/>
      <c r="AA705" s="576">
        <f t="shared" si="50"/>
        <v>0</v>
      </c>
      <c r="AB705" s="722"/>
    </row>
    <row r="706" spans="1:28" ht="15.75" customHeight="1" x14ac:dyDescent="0.35">
      <c r="A706" s="81" t="s">
        <v>2989</v>
      </c>
      <c r="C706" s="83">
        <v>43810</v>
      </c>
      <c r="D706" s="83">
        <v>43854</v>
      </c>
      <c r="E706" s="570"/>
      <c r="F706" s="88" t="s">
        <v>2990</v>
      </c>
      <c r="G706" s="88" t="s">
        <v>158</v>
      </c>
      <c r="H706" s="98" t="s">
        <v>220</v>
      </c>
      <c r="J706" s="75">
        <f t="shared" si="57"/>
        <v>1</v>
      </c>
      <c r="K706" s="76" t="s">
        <v>221</v>
      </c>
      <c r="Q706" s="78" t="s">
        <v>2097</v>
      </c>
      <c r="R706" s="75">
        <f t="shared" si="58"/>
        <v>1</v>
      </c>
      <c r="S706" s="263" t="s">
        <v>1991</v>
      </c>
      <c r="T706" s="263"/>
      <c r="U706" s="263"/>
      <c r="V706" s="263"/>
      <c r="W706" s="263"/>
      <c r="X706" s="263"/>
      <c r="Y706" s="575"/>
      <c r="Z706" s="575"/>
      <c r="AA706" s="576">
        <f t="shared" si="50"/>
        <v>0</v>
      </c>
      <c r="AB706" s="722"/>
    </row>
    <row r="707" spans="1:28" ht="15.75" customHeight="1" x14ac:dyDescent="0.35">
      <c r="A707" s="81" t="s">
        <v>3310</v>
      </c>
      <c r="C707" s="83">
        <v>43810</v>
      </c>
      <c r="D707" s="112">
        <v>43853</v>
      </c>
      <c r="E707" s="570"/>
      <c r="F707" s="88" t="s">
        <v>3311</v>
      </c>
      <c r="G707" s="88" t="s">
        <v>158</v>
      </c>
      <c r="H707" s="98" t="s">
        <v>220</v>
      </c>
      <c r="I707" s="98" t="s">
        <v>722</v>
      </c>
      <c r="J707" s="75">
        <f t="shared" si="57"/>
        <v>1</v>
      </c>
      <c r="K707" s="76" t="s">
        <v>221</v>
      </c>
      <c r="N707" s="78" t="s">
        <v>17</v>
      </c>
      <c r="Q707" s="78" t="s">
        <v>2097</v>
      </c>
      <c r="R707" s="75">
        <f t="shared" si="58"/>
        <v>1</v>
      </c>
      <c r="S707" s="263" t="s">
        <v>1991</v>
      </c>
      <c r="T707" s="263"/>
      <c r="U707" s="263"/>
      <c r="V707" s="263"/>
      <c r="W707" s="263"/>
      <c r="X707" s="263"/>
      <c r="Y707" s="575"/>
      <c r="Z707" s="575"/>
      <c r="AA707" s="576">
        <f t="shared" ref="AA707:AA770" si="59">Z707-Y707</f>
        <v>0</v>
      </c>
      <c r="AB707" s="722"/>
    </row>
    <row r="708" spans="1:28" ht="15.75" customHeight="1" x14ac:dyDescent="0.35">
      <c r="A708" s="81" t="s">
        <v>2993</v>
      </c>
      <c r="C708" s="83">
        <v>43811</v>
      </c>
      <c r="D708" s="112">
        <v>43857</v>
      </c>
      <c r="E708" s="570"/>
      <c r="F708" s="88" t="s">
        <v>2994</v>
      </c>
      <c r="G708" s="88" t="s">
        <v>149</v>
      </c>
      <c r="H708" s="98" t="s">
        <v>220</v>
      </c>
      <c r="I708" s="98" t="s">
        <v>649</v>
      </c>
      <c r="J708" s="75">
        <f t="shared" si="57"/>
        <v>1</v>
      </c>
      <c r="K708" s="76" t="s">
        <v>211</v>
      </c>
      <c r="N708" s="78" t="s">
        <v>18</v>
      </c>
      <c r="Q708" s="78" t="s">
        <v>2097</v>
      </c>
      <c r="R708" s="75">
        <f t="shared" si="58"/>
        <v>1</v>
      </c>
      <c r="S708" s="263" t="s">
        <v>1991</v>
      </c>
      <c r="T708" s="263"/>
      <c r="U708" s="263"/>
      <c r="V708" s="263"/>
      <c r="W708" s="263"/>
      <c r="X708" s="263"/>
      <c r="Y708" s="575"/>
      <c r="Z708" s="575"/>
      <c r="AA708" s="576">
        <f t="shared" si="59"/>
        <v>0</v>
      </c>
      <c r="AB708" s="722"/>
    </row>
    <row r="709" spans="1:28" ht="15.75" customHeight="1" x14ac:dyDescent="0.35">
      <c r="A709" s="81" t="s">
        <v>2995</v>
      </c>
      <c r="C709" s="83">
        <v>43811</v>
      </c>
      <c r="D709" s="112">
        <v>43857</v>
      </c>
      <c r="E709" s="570"/>
      <c r="F709" s="88" t="s">
        <v>2996</v>
      </c>
      <c r="G709" s="88" t="s">
        <v>152</v>
      </c>
      <c r="H709" s="98" t="s">
        <v>220</v>
      </c>
      <c r="I709" s="98" t="s">
        <v>649</v>
      </c>
      <c r="J709" s="75">
        <f t="shared" si="57"/>
        <v>1</v>
      </c>
      <c r="K709" s="76" t="s">
        <v>211</v>
      </c>
      <c r="L709" s="99" t="s">
        <v>3721</v>
      </c>
      <c r="N709" s="78" t="s">
        <v>17</v>
      </c>
      <c r="Q709" s="78" t="s">
        <v>2097</v>
      </c>
      <c r="R709" s="75">
        <f t="shared" si="58"/>
        <v>1</v>
      </c>
      <c r="S709" s="263" t="s">
        <v>1991</v>
      </c>
      <c r="T709" s="263"/>
      <c r="U709" s="263"/>
      <c r="V709" s="263"/>
      <c r="W709" s="263"/>
      <c r="X709" s="263"/>
      <c r="Y709" s="575"/>
      <c r="Z709" s="575"/>
      <c r="AA709" s="576">
        <f t="shared" si="59"/>
        <v>0</v>
      </c>
      <c r="AB709" s="722"/>
    </row>
    <row r="710" spans="1:28" ht="15.75" customHeight="1" x14ac:dyDescent="0.35">
      <c r="A710" s="81" t="s">
        <v>2999</v>
      </c>
      <c r="C710" s="83">
        <v>43811</v>
      </c>
      <c r="D710" s="112">
        <v>43857</v>
      </c>
      <c r="E710" s="570"/>
      <c r="F710" s="88" t="s">
        <v>3000</v>
      </c>
      <c r="G710" s="88" t="s">
        <v>183</v>
      </c>
      <c r="H710" s="98" t="s">
        <v>220</v>
      </c>
      <c r="I710" s="98" t="s">
        <v>722</v>
      </c>
      <c r="J710" s="75">
        <f t="shared" si="57"/>
        <v>1</v>
      </c>
      <c r="K710" s="76" t="s">
        <v>211</v>
      </c>
      <c r="N710" s="78" t="s">
        <v>17</v>
      </c>
      <c r="Q710" s="78" t="s">
        <v>2097</v>
      </c>
      <c r="R710" s="75">
        <f t="shared" si="58"/>
        <v>1</v>
      </c>
      <c r="S710" s="263" t="s">
        <v>1991</v>
      </c>
      <c r="T710" s="263"/>
      <c r="U710" s="263"/>
      <c r="V710" s="263"/>
      <c r="W710" s="263"/>
      <c r="X710" s="263"/>
      <c r="Y710" s="575"/>
      <c r="Z710" s="575"/>
      <c r="AA710" s="576">
        <f t="shared" si="59"/>
        <v>0</v>
      </c>
      <c r="AB710" s="722"/>
    </row>
    <row r="711" spans="1:28" ht="15.75" customHeight="1" x14ac:dyDescent="0.35">
      <c r="A711" s="81" t="s">
        <v>3314</v>
      </c>
      <c r="C711" s="83">
        <v>43818</v>
      </c>
      <c r="D711" s="112">
        <v>43850</v>
      </c>
      <c r="E711" s="570"/>
      <c r="F711" s="88" t="s">
        <v>3315</v>
      </c>
      <c r="G711" s="88" t="s">
        <v>158</v>
      </c>
      <c r="H711" s="98" t="s">
        <v>220</v>
      </c>
      <c r="I711" s="98" t="s">
        <v>3546</v>
      </c>
      <c r="J711" s="75">
        <f t="shared" si="57"/>
        <v>1</v>
      </c>
      <c r="K711" s="76" t="s">
        <v>211</v>
      </c>
      <c r="N711" s="78" t="s">
        <v>17</v>
      </c>
      <c r="Q711" s="78" t="s">
        <v>2097</v>
      </c>
      <c r="R711" s="75">
        <f t="shared" si="58"/>
        <v>1</v>
      </c>
      <c r="S711" s="263" t="s">
        <v>1991</v>
      </c>
      <c r="T711" s="263"/>
      <c r="U711" s="263"/>
      <c r="V711" s="263"/>
      <c r="W711" s="263"/>
      <c r="X711" s="263"/>
      <c r="Y711" s="575"/>
      <c r="Z711" s="575"/>
      <c r="AA711" s="576">
        <f t="shared" si="59"/>
        <v>0</v>
      </c>
      <c r="AB711" s="722"/>
    </row>
    <row r="712" spans="1:28" ht="15.75" customHeight="1" x14ac:dyDescent="0.35">
      <c r="A712" s="98" t="s">
        <v>3316</v>
      </c>
      <c r="C712" s="83">
        <v>43818</v>
      </c>
      <c r="D712" s="112">
        <v>43850</v>
      </c>
      <c r="E712" s="570"/>
      <c r="F712" s="88" t="s">
        <v>3317</v>
      </c>
      <c r="G712" s="88" t="s">
        <v>154</v>
      </c>
      <c r="H712" s="98" t="s">
        <v>220</v>
      </c>
      <c r="I712" s="98" t="s">
        <v>2213</v>
      </c>
      <c r="J712" s="75">
        <f t="shared" si="57"/>
        <v>1</v>
      </c>
      <c r="K712" s="76" t="s">
        <v>211</v>
      </c>
      <c r="L712" s="99" t="s">
        <v>3476</v>
      </c>
      <c r="N712" s="78" t="s">
        <v>17</v>
      </c>
      <c r="Q712" s="78" t="s">
        <v>2097</v>
      </c>
      <c r="R712" s="75">
        <f t="shared" si="58"/>
        <v>1</v>
      </c>
      <c r="S712" s="263" t="s">
        <v>1991</v>
      </c>
      <c r="T712" s="263"/>
      <c r="U712" s="263"/>
      <c r="V712" s="263"/>
      <c r="W712" s="263"/>
      <c r="X712" s="263"/>
      <c r="Y712" s="575"/>
      <c r="Z712" s="575"/>
      <c r="AA712" s="576">
        <f t="shared" si="59"/>
        <v>0</v>
      </c>
      <c r="AB712" s="722"/>
    </row>
    <row r="713" spans="1:28" ht="15.75" customHeight="1" x14ac:dyDescent="0.35">
      <c r="A713" s="81" t="s">
        <v>3318</v>
      </c>
      <c r="C713" s="83">
        <v>43819</v>
      </c>
      <c r="D713" s="112">
        <v>43851</v>
      </c>
      <c r="E713" s="570"/>
      <c r="F713" s="88" t="s">
        <v>3319</v>
      </c>
      <c r="G713" s="88" t="s">
        <v>154</v>
      </c>
      <c r="H713" s="98" t="s">
        <v>220</v>
      </c>
      <c r="I713" s="98" t="s">
        <v>3551</v>
      </c>
      <c r="J713" s="75">
        <f t="shared" si="57"/>
        <v>1</v>
      </c>
      <c r="K713" s="76" t="s">
        <v>211</v>
      </c>
      <c r="N713" s="78" t="s">
        <v>18</v>
      </c>
      <c r="Q713" s="78" t="s">
        <v>2097</v>
      </c>
      <c r="R713" s="75">
        <f t="shared" si="58"/>
        <v>1</v>
      </c>
      <c r="S713" s="263" t="s">
        <v>1991</v>
      </c>
      <c r="T713" s="263"/>
      <c r="U713" s="263"/>
      <c r="V713" s="263"/>
      <c r="W713" s="263"/>
      <c r="X713" s="263"/>
      <c r="Y713" s="575"/>
      <c r="Z713" s="575"/>
      <c r="AA713" s="576">
        <f t="shared" si="59"/>
        <v>0</v>
      </c>
      <c r="AB713" s="722"/>
    </row>
    <row r="714" spans="1:28" ht="15.75" customHeight="1" x14ac:dyDescent="0.35">
      <c r="A714" s="81" t="s">
        <v>3328</v>
      </c>
      <c r="C714" s="83">
        <v>43822</v>
      </c>
      <c r="D714" s="112">
        <v>43852</v>
      </c>
      <c r="E714" s="570"/>
      <c r="F714" s="88" t="s">
        <v>3329</v>
      </c>
      <c r="G714" s="88" t="s">
        <v>162</v>
      </c>
      <c r="H714" s="98" t="s">
        <v>220</v>
      </c>
      <c r="I714" s="98" t="s">
        <v>656</v>
      </c>
      <c r="J714" s="75">
        <f t="shared" ref="J714" si="60">IF(OR(K714="Документы готовы",K714="Запрос в ФО",K714="ЭЗ",K714="РЕШ",K714="РЕШ шаблон"),0.1,IF(OR(K714="ЭЗ согласование",K714="РЕШ согласование"),0.3,IF(OR(K714="ЭЗ согласовано",K714="РЕШ согласовано",K714="РЕШ подписано"),0.6,IF(OR(K714="ЭЗ ПР согласование",K714="РЕШ УВ согласование"),0.9,IF(OR(K714="ЭЗ ПР DONE",K714="РЕШ УВ DONE"),1,0)))))</f>
        <v>1</v>
      </c>
      <c r="K714" s="76" t="s">
        <v>211</v>
      </c>
      <c r="N714" s="78" t="s">
        <v>17</v>
      </c>
      <c r="Q714" s="78" t="s">
        <v>2097</v>
      </c>
      <c r="R714" s="75">
        <f t="shared" ref="R714" si="61">IF(S714="В работе",0.3,IF(S714="Отписано",0.6,IF(S714="На доработку",0.9,IF(S714="Согласовано",1,0))))</f>
        <v>1</v>
      </c>
      <c r="S714" s="263" t="s">
        <v>1991</v>
      </c>
      <c r="T714" s="263"/>
      <c r="U714" s="263"/>
      <c r="V714" s="263"/>
      <c r="W714" s="263"/>
      <c r="X714" s="263"/>
      <c r="Y714" s="575"/>
      <c r="Z714" s="575"/>
      <c r="AA714" s="576">
        <f t="shared" si="59"/>
        <v>0</v>
      </c>
      <c r="AB714" s="722"/>
    </row>
    <row r="715" spans="1:28" ht="15.75" customHeight="1" x14ac:dyDescent="0.35">
      <c r="A715" s="81" t="s">
        <v>3332</v>
      </c>
      <c r="C715" s="83">
        <v>43823</v>
      </c>
      <c r="D715" s="112">
        <v>43853</v>
      </c>
      <c r="E715" s="570"/>
      <c r="F715" s="88" t="s">
        <v>3333</v>
      </c>
      <c r="G715" s="88" t="s">
        <v>162</v>
      </c>
      <c r="H715" s="98" t="s">
        <v>220</v>
      </c>
      <c r="J715" s="75">
        <f t="shared" ref="J715:J748" si="62">IF(OR(K715="Документы готовы",K715="Запрос в ФО",K715="ЭЗ",K715="РЕШ",K715="РЕШ шаблон"),0.1,IF(OR(K715="ЭЗ согласование",K715="РЕШ согласование"),0.3,IF(OR(K715="ЭЗ согласовано",K715="РЕШ согласовано",K715="РЕШ подписано"),0.6,IF(OR(K715="ЭЗ ПР согласование",K715="РЕШ УВ согласование"),0.9,IF(OR(K715="ЭЗ ПР DONE",K715="РЕШ УВ DONE"),1,0)))))</f>
        <v>1</v>
      </c>
      <c r="K715" s="76" t="s">
        <v>211</v>
      </c>
      <c r="N715" s="78" t="s">
        <v>17</v>
      </c>
      <c r="Q715" s="78" t="s">
        <v>2097</v>
      </c>
      <c r="R715" s="75">
        <f t="shared" ref="R715:R748" si="63">IF(S715="В работе",0.3,IF(S715="Отписано",0.6,IF(S715="На доработку",0.9,IF(S715="Согласовано",1,0))))</f>
        <v>1</v>
      </c>
      <c r="S715" s="263" t="s">
        <v>1991</v>
      </c>
      <c r="T715" s="263"/>
      <c r="U715" s="263"/>
      <c r="V715" s="263"/>
      <c r="W715" s="263"/>
      <c r="X715" s="263"/>
      <c r="Y715" s="575"/>
      <c r="Z715" s="575"/>
      <c r="AA715" s="576">
        <f t="shared" si="59"/>
        <v>0</v>
      </c>
      <c r="AB715" s="722"/>
    </row>
    <row r="716" spans="1:28" ht="15.75" customHeight="1" x14ac:dyDescent="0.35">
      <c r="A716" s="98" t="s">
        <v>3340</v>
      </c>
      <c r="C716" s="83">
        <v>43797</v>
      </c>
      <c r="D716" s="112">
        <v>43850</v>
      </c>
      <c r="E716" s="570"/>
      <c r="F716" s="88" t="s">
        <v>3341</v>
      </c>
      <c r="G716" s="88" t="s">
        <v>162</v>
      </c>
      <c r="H716" s="98" t="s">
        <v>220</v>
      </c>
      <c r="I716" s="98" t="s">
        <v>698</v>
      </c>
      <c r="J716" s="75">
        <f t="shared" si="62"/>
        <v>1</v>
      </c>
      <c r="K716" s="76" t="s">
        <v>211</v>
      </c>
      <c r="L716" s="99" t="s">
        <v>3544</v>
      </c>
      <c r="N716" s="78" t="s">
        <v>18</v>
      </c>
      <c r="Q716" s="78" t="s">
        <v>2056</v>
      </c>
      <c r="R716" s="75">
        <f t="shared" si="63"/>
        <v>1</v>
      </c>
      <c r="S716" s="263" t="s">
        <v>1991</v>
      </c>
      <c r="T716" s="263"/>
      <c r="U716" s="263"/>
      <c r="V716" s="263"/>
      <c r="W716" s="263"/>
      <c r="X716" s="263"/>
      <c r="Y716" s="575"/>
      <c r="Z716" s="575"/>
      <c r="AA716" s="576">
        <f t="shared" si="59"/>
        <v>0</v>
      </c>
      <c r="AB716" s="722"/>
    </row>
    <row r="717" spans="1:28" ht="15.75" customHeight="1" x14ac:dyDescent="0.35">
      <c r="A717" s="98" t="s">
        <v>2806</v>
      </c>
      <c r="C717" s="83">
        <v>43804</v>
      </c>
      <c r="D717" s="112">
        <v>43850</v>
      </c>
      <c r="E717" s="570"/>
      <c r="F717" s="88" t="s">
        <v>2831</v>
      </c>
      <c r="G717" s="88" t="s">
        <v>154</v>
      </c>
      <c r="H717" s="98" t="s">
        <v>220</v>
      </c>
      <c r="I717" s="98" t="s">
        <v>3545</v>
      </c>
      <c r="J717" s="75">
        <f t="shared" si="62"/>
        <v>1</v>
      </c>
      <c r="K717" s="76" t="s">
        <v>211</v>
      </c>
      <c r="N717" s="78" t="s">
        <v>17</v>
      </c>
      <c r="Q717" s="78" t="s">
        <v>2056</v>
      </c>
      <c r="R717" s="75">
        <f t="shared" si="63"/>
        <v>1</v>
      </c>
      <c r="S717" s="263" t="s">
        <v>1991</v>
      </c>
      <c r="T717" s="263"/>
      <c r="U717" s="263"/>
      <c r="V717" s="263"/>
      <c r="W717" s="263"/>
      <c r="X717" s="263"/>
      <c r="Y717" s="575"/>
      <c r="Z717" s="575"/>
      <c r="AA717" s="576">
        <f t="shared" si="59"/>
        <v>0</v>
      </c>
      <c r="AB717" s="722"/>
    </row>
    <row r="718" spans="1:28" ht="15.75" customHeight="1" x14ac:dyDescent="0.35">
      <c r="A718" s="81" t="s">
        <v>3342</v>
      </c>
      <c r="C718" s="83">
        <v>43808</v>
      </c>
      <c r="D718" s="112">
        <v>43852</v>
      </c>
      <c r="E718" s="570"/>
      <c r="F718" s="88" t="s">
        <v>3343</v>
      </c>
      <c r="G718" s="88" t="s">
        <v>149</v>
      </c>
      <c r="H718" s="98" t="s">
        <v>220</v>
      </c>
      <c r="I718" s="98" t="s">
        <v>649</v>
      </c>
      <c r="J718" s="75">
        <f t="shared" si="62"/>
        <v>1</v>
      </c>
      <c r="K718" s="76" t="s">
        <v>211</v>
      </c>
      <c r="N718" s="78" t="s">
        <v>18</v>
      </c>
      <c r="Q718" s="78" t="s">
        <v>2056</v>
      </c>
      <c r="R718" s="75">
        <f t="shared" si="63"/>
        <v>1</v>
      </c>
      <c r="S718" s="263" t="s">
        <v>1991</v>
      </c>
      <c r="T718" s="263"/>
      <c r="U718" s="263"/>
      <c r="V718" s="263"/>
      <c r="W718" s="263"/>
      <c r="X718" s="263"/>
      <c r="Y718" s="575"/>
      <c r="Z718" s="575"/>
      <c r="AA718" s="576">
        <f t="shared" si="59"/>
        <v>0</v>
      </c>
      <c r="AB718" s="722"/>
    </row>
    <row r="719" spans="1:28" ht="15.75" customHeight="1" x14ac:dyDescent="0.35">
      <c r="A719" s="98" t="s">
        <v>3344</v>
      </c>
      <c r="C719" s="83">
        <v>43808</v>
      </c>
      <c r="D719" s="112">
        <v>43852</v>
      </c>
      <c r="E719" s="570"/>
      <c r="F719" s="88" t="s">
        <v>3345</v>
      </c>
      <c r="G719" s="88" t="s">
        <v>160</v>
      </c>
      <c r="H719" s="98" t="s">
        <v>220</v>
      </c>
      <c r="J719" s="75">
        <f t="shared" si="62"/>
        <v>1</v>
      </c>
      <c r="K719" s="76" t="s">
        <v>211</v>
      </c>
      <c r="N719" s="78" t="s">
        <v>18</v>
      </c>
      <c r="Q719" s="78" t="s">
        <v>2056</v>
      </c>
      <c r="R719" s="75">
        <f t="shared" si="63"/>
        <v>1</v>
      </c>
      <c r="S719" s="263" t="s">
        <v>1991</v>
      </c>
      <c r="T719" s="263"/>
      <c r="U719" s="263"/>
      <c r="V719" s="263"/>
      <c r="W719" s="263"/>
      <c r="X719" s="263"/>
      <c r="Y719" s="575"/>
      <c r="Z719" s="575"/>
      <c r="AA719" s="576">
        <f t="shared" si="59"/>
        <v>0</v>
      </c>
      <c r="AB719" s="722"/>
    </row>
    <row r="720" spans="1:28" ht="15.75" customHeight="1" x14ac:dyDescent="0.35">
      <c r="A720" s="98" t="s">
        <v>3044</v>
      </c>
      <c r="C720" s="83">
        <v>43808</v>
      </c>
      <c r="D720" s="112">
        <v>43851</v>
      </c>
      <c r="E720" s="570"/>
      <c r="F720" s="88" t="s">
        <v>3045</v>
      </c>
      <c r="G720" s="88" t="s">
        <v>152</v>
      </c>
      <c r="H720" s="98" t="s">
        <v>220</v>
      </c>
      <c r="I720" s="98" t="s">
        <v>722</v>
      </c>
      <c r="J720" s="75">
        <f t="shared" si="62"/>
        <v>1</v>
      </c>
      <c r="K720" s="76" t="s">
        <v>211</v>
      </c>
      <c r="N720" s="78" t="s">
        <v>17</v>
      </c>
      <c r="Q720" s="78" t="s">
        <v>2056</v>
      </c>
      <c r="R720" s="75">
        <f t="shared" si="63"/>
        <v>1</v>
      </c>
      <c r="S720" s="263" t="s">
        <v>1991</v>
      </c>
      <c r="T720" s="263"/>
      <c r="U720" s="263"/>
      <c r="V720" s="263"/>
      <c r="W720" s="263"/>
      <c r="X720" s="263"/>
      <c r="Y720" s="575"/>
      <c r="Z720" s="575"/>
      <c r="AA720" s="576">
        <f t="shared" si="59"/>
        <v>0</v>
      </c>
      <c r="AB720" s="722"/>
    </row>
    <row r="721" spans="1:28" ht="15.75" customHeight="1" x14ac:dyDescent="0.35">
      <c r="A721" s="98" t="s">
        <v>3046</v>
      </c>
      <c r="C721" s="83">
        <v>43808</v>
      </c>
      <c r="D721" s="112">
        <v>43851</v>
      </c>
      <c r="E721" s="570"/>
      <c r="F721" s="88" t="s">
        <v>3047</v>
      </c>
      <c r="G721" s="88" t="s">
        <v>162</v>
      </c>
      <c r="H721" s="98" t="s">
        <v>220</v>
      </c>
      <c r="I721" s="98" t="s">
        <v>722</v>
      </c>
      <c r="J721" s="75">
        <f t="shared" si="62"/>
        <v>1</v>
      </c>
      <c r="K721" s="76" t="s">
        <v>211</v>
      </c>
      <c r="N721" s="78" t="s">
        <v>17</v>
      </c>
      <c r="Q721" s="78" t="s">
        <v>2056</v>
      </c>
      <c r="R721" s="75">
        <f t="shared" si="63"/>
        <v>1</v>
      </c>
      <c r="S721" s="263" t="s">
        <v>1991</v>
      </c>
      <c r="T721" s="263"/>
      <c r="U721" s="263"/>
      <c r="V721" s="263"/>
      <c r="W721" s="263"/>
      <c r="X721" s="263"/>
      <c r="Y721" s="575"/>
      <c r="Z721" s="575"/>
      <c r="AA721" s="576">
        <f t="shared" si="59"/>
        <v>0</v>
      </c>
      <c r="AB721" s="722"/>
    </row>
    <row r="722" spans="1:28" ht="15.75" customHeight="1" x14ac:dyDescent="0.35">
      <c r="A722" s="98" t="s">
        <v>3054</v>
      </c>
      <c r="C722" s="83">
        <v>43810</v>
      </c>
      <c r="D722" s="112">
        <v>43853</v>
      </c>
      <c r="E722" s="570"/>
      <c r="F722" s="88" t="s">
        <v>3055</v>
      </c>
      <c r="G722" s="88" t="s">
        <v>195</v>
      </c>
      <c r="H722" s="98" t="s">
        <v>220</v>
      </c>
      <c r="I722" s="98" t="s">
        <v>722</v>
      </c>
      <c r="J722" s="75">
        <f t="shared" si="62"/>
        <v>1</v>
      </c>
      <c r="K722" s="76" t="s">
        <v>211</v>
      </c>
      <c r="N722" s="78" t="s">
        <v>17</v>
      </c>
      <c r="Q722" s="78" t="s">
        <v>2056</v>
      </c>
      <c r="R722" s="75">
        <f t="shared" si="63"/>
        <v>1</v>
      </c>
      <c r="S722" s="263" t="s">
        <v>1991</v>
      </c>
      <c r="T722" s="263"/>
      <c r="U722" s="263"/>
      <c r="V722" s="263"/>
      <c r="W722" s="263"/>
      <c r="X722" s="263"/>
      <c r="Y722" s="575"/>
      <c r="Z722" s="575"/>
      <c r="AA722" s="576">
        <f t="shared" si="59"/>
        <v>0</v>
      </c>
      <c r="AB722" s="722"/>
    </row>
    <row r="723" spans="1:28" ht="15.75" customHeight="1" x14ac:dyDescent="0.35">
      <c r="A723" s="98" t="s">
        <v>3346</v>
      </c>
      <c r="C723" s="83">
        <v>43810</v>
      </c>
      <c r="D723" s="112">
        <v>43853</v>
      </c>
      <c r="E723" s="570"/>
      <c r="F723" s="88" t="s">
        <v>3347</v>
      </c>
      <c r="G723" s="88" t="s">
        <v>176</v>
      </c>
      <c r="H723" s="98" t="s">
        <v>220</v>
      </c>
      <c r="I723" s="98" t="s">
        <v>722</v>
      </c>
      <c r="J723" s="75">
        <f t="shared" si="62"/>
        <v>1</v>
      </c>
      <c r="K723" s="76" t="s">
        <v>211</v>
      </c>
      <c r="N723" s="78" t="s">
        <v>18</v>
      </c>
      <c r="Q723" s="78" t="s">
        <v>2056</v>
      </c>
      <c r="R723" s="75">
        <f t="shared" si="63"/>
        <v>1</v>
      </c>
      <c r="S723" s="263" t="s">
        <v>1991</v>
      </c>
      <c r="T723" s="263"/>
      <c r="U723" s="263"/>
      <c r="V723" s="263"/>
      <c r="W723" s="263"/>
      <c r="X723" s="263"/>
      <c r="Y723" s="575"/>
      <c r="Z723" s="575"/>
      <c r="AA723" s="576">
        <f t="shared" si="59"/>
        <v>0</v>
      </c>
      <c r="AB723" s="722"/>
    </row>
    <row r="724" spans="1:28" ht="15.75" customHeight="1" x14ac:dyDescent="0.35">
      <c r="A724" s="98" t="s">
        <v>3060</v>
      </c>
      <c r="C724" s="83">
        <v>43811</v>
      </c>
      <c r="D724" s="112">
        <v>43854</v>
      </c>
      <c r="E724" s="570"/>
      <c r="F724" s="88" t="s">
        <v>3061</v>
      </c>
      <c r="G724" s="88" t="s">
        <v>162</v>
      </c>
      <c r="H724" s="98" t="s">
        <v>220</v>
      </c>
      <c r="I724" s="98" t="s">
        <v>722</v>
      </c>
      <c r="J724" s="75">
        <f t="shared" si="62"/>
        <v>1</v>
      </c>
      <c r="K724" s="76" t="s">
        <v>211</v>
      </c>
      <c r="N724" s="78" t="s">
        <v>18</v>
      </c>
      <c r="Q724" s="78" t="s">
        <v>2056</v>
      </c>
      <c r="R724" s="75">
        <f t="shared" si="63"/>
        <v>1</v>
      </c>
      <c r="S724" s="263" t="s">
        <v>1991</v>
      </c>
      <c r="T724" s="263"/>
      <c r="U724" s="263"/>
      <c r="V724" s="263"/>
      <c r="W724" s="263"/>
      <c r="X724" s="263"/>
      <c r="Y724" s="575"/>
      <c r="Z724" s="575"/>
      <c r="AA724" s="576">
        <f t="shared" si="59"/>
        <v>0</v>
      </c>
      <c r="AB724" s="722"/>
    </row>
    <row r="725" spans="1:28" ht="15.75" customHeight="1" x14ac:dyDescent="0.35">
      <c r="A725" s="98" t="s">
        <v>3062</v>
      </c>
      <c r="C725" s="83">
        <v>43811</v>
      </c>
      <c r="D725" s="112">
        <v>43854</v>
      </c>
      <c r="E725" s="570"/>
      <c r="F725" s="88" t="s">
        <v>3063</v>
      </c>
      <c r="G725" s="88" t="s">
        <v>152</v>
      </c>
      <c r="H725" s="98" t="s">
        <v>220</v>
      </c>
      <c r="I725" s="98" t="s">
        <v>722</v>
      </c>
      <c r="J725" s="75">
        <f t="shared" si="62"/>
        <v>1</v>
      </c>
      <c r="K725" s="76" t="s">
        <v>211</v>
      </c>
      <c r="N725" s="78" t="s">
        <v>17</v>
      </c>
      <c r="Q725" s="78" t="s">
        <v>2056</v>
      </c>
      <c r="R725" s="75">
        <f t="shared" si="63"/>
        <v>1</v>
      </c>
      <c r="S725" s="263" t="s">
        <v>1991</v>
      </c>
      <c r="T725" s="263"/>
      <c r="U725" s="263"/>
      <c r="V725" s="263"/>
      <c r="W725" s="263"/>
      <c r="X725" s="263"/>
      <c r="Y725" s="575"/>
      <c r="Z725" s="575"/>
      <c r="AA725" s="576">
        <f t="shared" si="59"/>
        <v>0</v>
      </c>
      <c r="AB725" s="722"/>
    </row>
    <row r="726" spans="1:28" ht="15.75" customHeight="1" x14ac:dyDescent="0.35">
      <c r="A726" s="98" t="s">
        <v>3064</v>
      </c>
      <c r="C726" s="83">
        <v>43812</v>
      </c>
      <c r="D726" s="112">
        <v>43857</v>
      </c>
      <c r="E726" s="570"/>
      <c r="F726" s="88" t="s">
        <v>3065</v>
      </c>
      <c r="G726" s="88" t="s">
        <v>158</v>
      </c>
      <c r="H726" s="98" t="s">
        <v>220</v>
      </c>
      <c r="I726" s="98" t="s">
        <v>648</v>
      </c>
      <c r="J726" s="75">
        <f t="shared" si="62"/>
        <v>1</v>
      </c>
      <c r="K726" s="76" t="s">
        <v>211</v>
      </c>
      <c r="N726" s="78" t="s">
        <v>17</v>
      </c>
      <c r="Q726" s="78" t="s">
        <v>2056</v>
      </c>
      <c r="R726" s="75">
        <f t="shared" si="63"/>
        <v>1</v>
      </c>
      <c r="S726" s="263" t="s">
        <v>1991</v>
      </c>
      <c r="T726" s="263"/>
      <c r="U726" s="263"/>
      <c r="V726" s="263"/>
      <c r="W726" s="263"/>
      <c r="X726" s="263"/>
      <c r="Y726" s="575"/>
      <c r="Z726" s="575"/>
      <c r="AA726" s="576">
        <f t="shared" si="59"/>
        <v>0</v>
      </c>
      <c r="AB726" s="722"/>
    </row>
    <row r="727" spans="1:28" ht="15.75" customHeight="1" x14ac:dyDescent="0.35">
      <c r="A727" s="98" t="s">
        <v>3068</v>
      </c>
      <c r="C727" s="83">
        <v>43812</v>
      </c>
      <c r="D727" s="112">
        <v>43857</v>
      </c>
      <c r="E727" s="570"/>
      <c r="F727" s="88" t="s">
        <v>3069</v>
      </c>
      <c r="G727" s="88" t="s">
        <v>152</v>
      </c>
      <c r="H727" s="98" t="s">
        <v>220</v>
      </c>
      <c r="I727" s="98" t="s">
        <v>652</v>
      </c>
      <c r="J727" s="75">
        <f t="shared" si="62"/>
        <v>1</v>
      </c>
      <c r="K727" s="76" t="s">
        <v>211</v>
      </c>
      <c r="N727" s="78" t="s">
        <v>17</v>
      </c>
      <c r="Q727" s="78" t="s">
        <v>2056</v>
      </c>
      <c r="R727" s="75">
        <f t="shared" si="63"/>
        <v>1</v>
      </c>
      <c r="S727" s="263" t="s">
        <v>1991</v>
      </c>
      <c r="T727" s="263"/>
      <c r="U727" s="263"/>
      <c r="V727" s="263"/>
      <c r="W727" s="263"/>
      <c r="X727" s="263"/>
      <c r="Y727" s="575"/>
      <c r="Z727" s="575"/>
      <c r="AA727" s="576">
        <f t="shared" si="59"/>
        <v>0</v>
      </c>
      <c r="AB727" s="722"/>
    </row>
    <row r="728" spans="1:28" ht="15.75" customHeight="1" x14ac:dyDescent="0.35">
      <c r="A728" s="98" t="s">
        <v>3070</v>
      </c>
      <c r="C728" s="83">
        <v>43812</v>
      </c>
      <c r="D728" s="112">
        <v>43857</v>
      </c>
      <c r="E728" s="570"/>
      <c r="F728" s="88" t="s">
        <v>3071</v>
      </c>
      <c r="G728" s="88" t="s">
        <v>152</v>
      </c>
      <c r="H728" s="98" t="s">
        <v>220</v>
      </c>
      <c r="J728" s="75">
        <f t="shared" si="62"/>
        <v>1</v>
      </c>
      <c r="K728" s="76" t="s">
        <v>211</v>
      </c>
      <c r="N728" s="78" t="s">
        <v>17</v>
      </c>
      <c r="Q728" s="78" t="s">
        <v>2056</v>
      </c>
      <c r="R728" s="75">
        <f t="shared" si="63"/>
        <v>1</v>
      </c>
      <c r="S728" s="263" t="s">
        <v>1991</v>
      </c>
      <c r="T728" s="263"/>
      <c r="U728" s="263"/>
      <c r="V728" s="263"/>
      <c r="W728" s="263"/>
      <c r="X728" s="263"/>
      <c r="Y728" s="575"/>
      <c r="Z728" s="575"/>
      <c r="AA728" s="576">
        <f t="shared" si="59"/>
        <v>0</v>
      </c>
      <c r="AB728" s="722"/>
    </row>
    <row r="729" spans="1:28" ht="15.75" customHeight="1" x14ac:dyDescent="0.35">
      <c r="A729" s="81" t="s">
        <v>3350</v>
      </c>
      <c r="C729" s="83">
        <v>43822</v>
      </c>
      <c r="D729" s="112">
        <v>43851</v>
      </c>
      <c r="E729" s="570"/>
      <c r="F729" s="88" t="s">
        <v>3351</v>
      </c>
      <c r="G729" s="88" t="s">
        <v>156</v>
      </c>
      <c r="H729" s="98" t="s">
        <v>220</v>
      </c>
      <c r="I729" s="98" t="s">
        <v>1004</v>
      </c>
      <c r="J729" s="75">
        <f t="shared" si="62"/>
        <v>1</v>
      </c>
      <c r="K729" s="76" t="s">
        <v>211</v>
      </c>
      <c r="N729" s="78" t="s">
        <v>19</v>
      </c>
      <c r="Q729" s="78" t="s">
        <v>2056</v>
      </c>
      <c r="R729" s="75">
        <f t="shared" si="63"/>
        <v>1</v>
      </c>
      <c r="S729" s="263" t="s">
        <v>1991</v>
      </c>
      <c r="T729" s="263"/>
      <c r="U729" s="263"/>
      <c r="V729" s="263"/>
      <c r="W729" s="263"/>
      <c r="X729" s="263"/>
      <c r="Y729" s="575"/>
      <c r="Z729" s="575"/>
      <c r="AA729" s="576">
        <f t="shared" si="59"/>
        <v>0</v>
      </c>
      <c r="AB729" s="722"/>
    </row>
    <row r="730" spans="1:28" ht="15.75" customHeight="1" x14ac:dyDescent="0.35">
      <c r="A730" s="98" t="s">
        <v>3352</v>
      </c>
      <c r="C730" s="83">
        <v>43822</v>
      </c>
      <c r="D730" s="112">
        <v>43851</v>
      </c>
      <c r="E730" s="570"/>
      <c r="F730" s="88" t="s">
        <v>3353</v>
      </c>
      <c r="G730" s="88" t="s">
        <v>176</v>
      </c>
      <c r="H730" s="98" t="s">
        <v>220</v>
      </c>
      <c r="I730" s="98" t="s">
        <v>3469</v>
      </c>
      <c r="J730" s="75">
        <f t="shared" si="62"/>
        <v>1</v>
      </c>
      <c r="K730" s="76" t="s">
        <v>211</v>
      </c>
      <c r="N730" s="78" t="s">
        <v>18</v>
      </c>
      <c r="Q730" s="78" t="s">
        <v>2056</v>
      </c>
      <c r="R730" s="75">
        <f t="shared" si="63"/>
        <v>1</v>
      </c>
      <c r="S730" s="263" t="s">
        <v>1991</v>
      </c>
      <c r="T730" s="263"/>
      <c r="U730" s="263"/>
      <c r="V730" s="263"/>
      <c r="W730" s="263"/>
      <c r="X730" s="263"/>
      <c r="Y730" s="575"/>
      <c r="Z730" s="575"/>
      <c r="AA730" s="576">
        <f t="shared" si="59"/>
        <v>0</v>
      </c>
      <c r="AB730" s="722"/>
    </row>
    <row r="731" spans="1:28" ht="15.75" customHeight="1" x14ac:dyDescent="0.35">
      <c r="A731" s="98" t="s">
        <v>3357</v>
      </c>
      <c r="C731" s="83">
        <v>43822</v>
      </c>
      <c r="D731" s="112">
        <v>43851</v>
      </c>
      <c r="E731" s="570"/>
      <c r="F731" s="88" t="s">
        <v>3358</v>
      </c>
      <c r="G731" s="88" t="s">
        <v>149</v>
      </c>
      <c r="H731" s="98" t="s">
        <v>220</v>
      </c>
      <c r="I731" s="98" t="s">
        <v>656</v>
      </c>
      <c r="J731" s="75">
        <f t="shared" si="62"/>
        <v>1</v>
      </c>
      <c r="K731" s="76" t="s">
        <v>211</v>
      </c>
      <c r="L731" s="99" t="s">
        <v>3552</v>
      </c>
      <c r="N731" s="78" t="s">
        <v>17</v>
      </c>
      <c r="Q731" s="78" t="s">
        <v>2056</v>
      </c>
      <c r="R731" s="75">
        <f t="shared" si="63"/>
        <v>1</v>
      </c>
      <c r="S731" s="263" t="s">
        <v>1991</v>
      </c>
      <c r="T731" s="263"/>
      <c r="U731" s="263"/>
      <c r="V731" s="263"/>
      <c r="W731" s="263"/>
      <c r="X731" s="263"/>
      <c r="Y731" s="575"/>
      <c r="Z731" s="575"/>
      <c r="AA731" s="576">
        <f t="shared" si="59"/>
        <v>0</v>
      </c>
      <c r="AB731" s="722"/>
    </row>
    <row r="732" spans="1:28" ht="15.75" customHeight="1" x14ac:dyDescent="0.35">
      <c r="A732" s="98" t="s">
        <v>3361</v>
      </c>
      <c r="C732" s="83">
        <v>43823</v>
      </c>
      <c r="D732" s="112">
        <v>43852</v>
      </c>
      <c r="E732" s="570"/>
      <c r="F732" s="88" t="s">
        <v>3362</v>
      </c>
      <c r="G732" s="88" t="s">
        <v>162</v>
      </c>
      <c r="H732" s="81" t="s">
        <v>275</v>
      </c>
      <c r="I732" s="98" t="s">
        <v>656</v>
      </c>
      <c r="J732" s="75">
        <f t="shared" si="62"/>
        <v>1</v>
      </c>
      <c r="K732" s="76" t="s">
        <v>211</v>
      </c>
      <c r="N732" s="78" t="s">
        <v>17</v>
      </c>
      <c r="Q732" s="78" t="s">
        <v>2056</v>
      </c>
      <c r="R732" s="75">
        <f t="shared" si="63"/>
        <v>1</v>
      </c>
      <c r="S732" s="263" t="s">
        <v>1991</v>
      </c>
      <c r="T732" s="263"/>
      <c r="U732" s="263"/>
      <c r="V732" s="263"/>
      <c r="W732" s="263"/>
      <c r="X732" s="263"/>
      <c r="Y732" s="575"/>
      <c r="Z732" s="575"/>
      <c r="AA732" s="576">
        <f t="shared" si="59"/>
        <v>0</v>
      </c>
      <c r="AB732" s="722"/>
    </row>
    <row r="733" spans="1:28" ht="15.75" customHeight="1" x14ac:dyDescent="0.35">
      <c r="A733" s="98" t="s">
        <v>3363</v>
      </c>
      <c r="C733" s="83">
        <v>43823</v>
      </c>
      <c r="D733" s="112">
        <v>43852</v>
      </c>
      <c r="E733" s="570"/>
      <c r="F733" s="88" t="s">
        <v>3364</v>
      </c>
      <c r="G733" s="88" t="s">
        <v>152</v>
      </c>
      <c r="H733" s="98" t="s">
        <v>220</v>
      </c>
      <c r="I733" s="98" t="s">
        <v>3553</v>
      </c>
      <c r="J733" s="75">
        <f t="shared" si="62"/>
        <v>1</v>
      </c>
      <c r="K733" s="76" t="s">
        <v>211</v>
      </c>
      <c r="N733" s="78" t="s">
        <v>19</v>
      </c>
      <c r="Q733" s="78" t="s">
        <v>2056</v>
      </c>
      <c r="R733" s="75">
        <f t="shared" si="63"/>
        <v>1</v>
      </c>
      <c r="S733" s="263" t="s">
        <v>1991</v>
      </c>
      <c r="T733" s="263"/>
      <c r="U733" s="263"/>
      <c r="V733" s="263"/>
      <c r="W733" s="263"/>
      <c r="X733" s="263"/>
      <c r="Y733" s="575"/>
      <c r="Z733" s="575"/>
      <c r="AA733" s="576">
        <f t="shared" si="59"/>
        <v>0</v>
      </c>
      <c r="AB733" s="722"/>
    </row>
    <row r="734" spans="1:28" ht="15.75" customHeight="1" x14ac:dyDescent="0.35">
      <c r="A734" s="81" t="s">
        <v>3365</v>
      </c>
      <c r="C734" s="83">
        <v>43823</v>
      </c>
      <c r="D734" s="112">
        <v>43852</v>
      </c>
      <c r="E734" s="570"/>
      <c r="F734" s="88" t="s">
        <v>3366</v>
      </c>
      <c r="G734" s="88" t="s">
        <v>154</v>
      </c>
      <c r="H734" s="98" t="s">
        <v>220</v>
      </c>
      <c r="I734" s="98" t="s">
        <v>2204</v>
      </c>
      <c r="J734" s="75">
        <f t="shared" si="62"/>
        <v>1</v>
      </c>
      <c r="K734" s="76" t="s">
        <v>211</v>
      </c>
      <c r="N734" s="78" t="s">
        <v>18</v>
      </c>
      <c r="Q734" s="78" t="s">
        <v>2056</v>
      </c>
      <c r="R734" s="75">
        <f t="shared" si="63"/>
        <v>1</v>
      </c>
      <c r="S734" s="263" t="s">
        <v>1991</v>
      </c>
      <c r="T734" s="263"/>
      <c r="U734" s="263"/>
      <c r="V734" s="263"/>
      <c r="W734" s="263"/>
      <c r="X734" s="263"/>
      <c r="Y734" s="575"/>
      <c r="Z734" s="575"/>
      <c r="AA734" s="576">
        <f t="shared" si="59"/>
        <v>0</v>
      </c>
      <c r="AB734" s="722"/>
    </row>
    <row r="735" spans="1:28" ht="15.75" customHeight="1" x14ac:dyDescent="0.35">
      <c r="A735" s="81" t="s">
        <v>3367</v>
      </c>
      <c r="C735" s="83">
        <v>43823</v>
      </c>
      <c r="D735" s="112">
        <v>43852</v>
      </c>
      <c r="E735" s="570"/>
      <c r="F735" s="88" t="s">
        <v>3368</v>
      </c>
      <c r="G735" s="88" t="s">
        <v>186</v>
      </c>
      <c r="H735" s="98" t="s">
        <v>220</v>
      </c>
      <c r="I735" s="98" t="s">
        <v>656</v>
      </c>
      <c r="J735" s="75">
        <f t="shared" si="62"/>
        <v>1</v>
      </c>
      <c r="K735" s="76" t="s">
        <v>211</v>
      </c>
      <c r="N735" s="78" t="s">
        <v>17</v>
      </c>
      <c r="Q735" s="78" t="s">
        <v>2056</v>
      </c>
      <c r="R735" s="75">
        <f t="shared" si="63"/>
        <v>1</v>
      </c>
      <c r="S735" s="263" t="s">
        <v>1991</v>
      </c>
      <c r="T735" s="263"/>
      <c r="U735" s="263"/>
      <c r="V735" s="263"/>
      <c r="W735" s="263"/>
      <c r="X735" s="263"/>
      <c r="Y735" s="575"/>
      <c r="Z735" s="575"/>
      <c r="AA735" s="576">
        <f t="shared" si="59"/>
        <v>0</v>
      </c>
      <c r="AB735" s="722"/>
    </row>
    <row r="736" spans="1:28" ht="15.75" customHeight="1" x14ac:dyDescent="0.35">
      <c r="A736" s="98" t="s">
        <v>3369</v>
      </c>
      <c r="C736" s="83">
        <v>43824</v>
      </c>
      <c r="D736" s="112">
        <v>43853</v>
      </c>
      <c r="E736" s="570"/>
      <c r="F736" s="88" t="s">
        <v>3370</v>
      </c>
      <c r="G736" s="88" t="s">
        <v>158</v>
      </c>
      <c r="H736" s="98" t="s">
        <v>220</v>
      </c>
      <c r="I736" s="98" t="s">
        <v>1004</v>
      </c>
      <c r="J736" s="75">
        <f t="shared" si="62"/>
        <v>1</v>
      </c>
      <c r="K736" s="76" t="s">
        <v>211</v>
      </c>
      <c r="N736" s="78" t="s">
        <v>19</v>
      </c>
      <c r="Q736" s="78" t="s">
        <v>2056</v>
      </c>
      <c r="R736" s="75">
        <f t="shared" si="63"/>
        <v>1</v>
      </c>
      <c r="S736" s="263" t="s">
        <v>1991</v>
      </c>
      <c r="T736" s="263"/>
      <c r="U736" s="263"/>
      <c r="V736" s="263"/>
      <c r="W736" s="263"/>
      <c r="X736" s="263"/>
      <c r="Y736" s="575"/>
      <c r="Z736" s="575"/>
      <c r="AA736" s="576">
        <f t="shared" si="59"/>
        <v>0</v>
      </c>
      <c r="AB736" s="722"/>
    </row>
    <row r="737" spans="1:28" ht="15.75" customHeight="1" x14ac:dyDescent="0.35">
      <c r="A737" s="98" t="s">
        <v>3375</v>
      </c>
      <c r="C737" s="83">
        <v>43824</v>
      </c>
      <c r="D737" s="112">
        <v>43853</v>
      </c>
      <c r="E737" s="570"/>
      <c r="F737" s="88" t="s">
        <v>3376</v>
      </c>
      <c r="G737" s="88" t="s">
        <v>162</v>
      </c>
      <c r="H737" s="98" t="s">
        <v>220</v>
      </c>
      <c r="I737" s="98" t="s">
        <v>3553</v>
      </c>
      <c r="J737" s="75">
        <f t="shared" si="62"/>
        <v>1</v>
      </c>
      <c r="K737" s="76" t="s">
        <v>211</v>
      </c>
      <c r="N737" s="78" t="s">
        <v>17</v>
      </c>
      <c r="Q737" s="78" t="s">
        <v>2056</v>
      </c>
      <c r="R737" s="75">
        <f t="shared" si="63"/>
        <v>1</v>
      </c>
      <c r="S737" s="263" t="s">
        <v>1991</v>
      </c>
      <c r="T737" s="263"/>
      <c r="U737" s="263"/>
      <c r="V737" s="263"/>
      <c r="W737" s="263"/>
      <c r="X737" s="263"/>
      <c r="Y737" s="575"/>
      <c r="Z737" s="575"/>
      <c r="AA737" s="576">
        <f t="shared" si="59"/>
        <v>0</v>
      </c>
      <c r="AB737" s="722"/>
    </row>
    <row r="738" spans="1:28" ht="15.75" customHeight="1" x14ac:dyDescent="0.35">
      <c r="A738" s="81" t="s">
        <v>3379</v>
      </c>
      <c r="C738" s="83">
        <v>43824</v>
      </c>
      <c r="D738" s="112">
        <v>43854</v>
      </c>
      <c r="E738" s="570"/>
      <c r="F738" s="88" t="s">
        <v>3380</v>
      </c>
      <c r="G738" s="88" t="s">
        <v>158</v>
      </c>
      <c r="H738" s="98" t="s">
        <v>220</v>
      </c>
      <c r="J738" s="75">
        <f t="shared" si="62"/>
        <v>1</v>
      </c>
      <c r="K738" s="76" t="s">
        <v>211</v>
      </c>
      <c r="N738" s="78" t="s">
        <v>19</v>
      </c>
      <c r="Q738" s="78" t="s">
        <v>2056</v>
      </c>
      <c r="R738" s="75">
        <f t="shared" si="63"/>
        <v>1</v>
      </c>
      <c r="S738" s="263" t="s">
        <v>1991</v>
      </c>
      <c r="T738" s="263"/>
      <c r="U738" s="263"/>
      <c r="V738" s="263"/>
      <c r="W738" s="263"/>
      <c r="X738" s="263"/>
      <c r="Y738" s="575"/>
      <c r="Z738" s="575"/>
      <c r="AA738" s="576">
        <f t="shared" si="59"/>
        <v>0</v>
      </c>
      <c r="AB738" s="722"/>
    </row>
    <row r="739" spans="1:28" ht="15.75" customHeight="1" x14ac:dyDescent="0.35">
      <c r="A739" s="81" t="s">
        <v>3381</v>
      </c>
      <c r="C739" s="83">
        <v>43824</v>
      </c>
      <c r="D739" s="112">
        <v>43854</v>
      </c>
      <c r="E739" s="570"/>
      <c r="F739" s="88" t="s">
        <v>3382</v>
      </c>
      <c r="G739" s="88" t="s">
        <v>152</v>
      </c>
      <c r="H739" s="98" t="s">
        <v>220</v>
      </c>
      <c r="I739" s="98" t="s">
        <v>2904</v>
      </c>
      <c r="J739" s="75">
        <f t="shared" si="62"/>
        <v>1</v>
      </c>
      <c r="K739" s="76" t="s">
        <v>211</v>
      </c>
      <c r="N739" s="78" t="s">
        <v>17</v>
      </c>
      <c r="Q739" s="78" t="s">
        <v>2056</v>
      </c>
      <c r="R739" s="75">
        <f t="shared" si="63"/>
        <v>1</v>
      </c>
      <c r="S739" s="263" t="s">
        <v>1991</v>
      </c>
      <c r="T739" s="263"/>
      <c r="U739" s="263"/>
      <c r="V739" s="263"/>
      <c r="W739" s="263"/>
      <c r="X739" s="263"/>
      <c r="Y739" s="575"/>
      <c r="Z739" s="575"/>
      <c r="AA739" s="576">
        <f t="shared" si="59"/>
        <v>0</v>
      </c>
      <c r="AB739" s="722"/>
    </row>
    <row r="740" spans="1:28" ht="15.75" customHeight="1" x14ac:dyDescent="0.35">
      <c r="A740" s="81" t="s">
        <v>2756</v>
      </c>
      <c r="C740" s="83">
        <v>43805</v>
      </c>
      <c r="D740" s="112">
        <v>43850</v>
      </c>
      <c r="E740" s="570"/>
      <c r="F740" s="88" t="s">
        <v>2757</v>
      </c>
      <c r="G740" s="88" t="s">
        <v>195</v>
      </c>
      <c r="H740" s="98" t="s">
        <v>220</v>
      </c>
      <c r="I740" s="98" t="s">
        <v>1308</v>
      </c>
      <c r="J740" s="75">
        <f t="shared" si="62"/>
        <v>1</v>
      </c>
      <c r="K740" s="76" t="s">
        <v>211</v>
      </c>
      <c r="L740" s="99" t="s">
        <v>3296</v>
      </c>
      <c r="N740" s="78" t="s">
        <v>18</v>
      </c>
      <c r="Q740" s="78" t="s">
        <v>2130</v>
      </c>
      <c r="R740" s="75">
        <f t="shared" si="63"/>
        <v>1</v>
      </c>
      <c r="S740" s="263" t="s">
        <v>1991</v>
      </c>
      <c r="T740" s="263"/>
      <c r="U740" s="263"/>
      <c r="V740" s="263"/>
      <c r="W740" s="263"/>
      <c r="X740" s="263"/>
      <c r="Y740" s="575"/>
      <c r="Z740" s="575"/>
      <c r="AA740" s="576">
        <f t="shared" si="59"/>
        <v>0</v>
      </c>
      <c r="AB740" s="722"/>
    </row>
    <row r="741" spans="1:28" ht="15.75" customHeight="1" x14ac:dyDescent="0.35">
      <c r="A741" s="81" t="s">
        <v>2758</v>
      </c>
      <c r="C741" s="83">
        <v>43804</v>
      </c>
      <c r="D741" s="112">
        <v>43850</v>
      </c>
      <c r="E741" s="570"/>
      <c r="F741" s="88" t="s">
        <v>2759</v>
      </c>
      <c r="G741" s="88" t="s">
        <v>149</v>
      </c>
      <c r="H741" s="98" t="s">
        <v>220</v>
      </c>
      <c r="I741" s="98" t="s">
        <v>722</v>
      </c>
      <c r="J741" s="75">
        <f t="shared" si="62"/>
        <v>1</v>
      </c>
      <c r="K741" s="76" t="s">
        <v>211</v>
      </c>
      <c r="N741" s="78" t="s">
        <v>17</v>
      </c>
      <c r="Q741" s="78" t="s">
        <v>2130</v>
      </c>
      <c r="R741" s="75">
        <f t="shared" si="63"/>
        <v>1</v>
      </c>
      <c r="S741" s="263" t="s">
        <v>1991</v>
      </c>
      <c r="T741" s="263"/>
      <c r="U741" s="263"/>
      <c r="V741" s="263"/>
      <c r="W741" s="263"/>
      <c r="X741" s="263"/>
      <c r="Y741" s="575"/>
      <c r="Z741" s="575"/>
      <c r="AA741" s="576">
        <f t="shared" si="59"/>
        <v>0</v>
      </c>
      <c r="AB741" s="722"/>
    </row>
    <row r="742" spans="1:28" ht="15.75" customHeight="1" x14ac:dyDescent="0.35">
      <c r="A742" s="81" t="s">
        <v>2762</v>
      </c>
      <c r="C742" s="83">
        <v>43805</v>
      </c>
      <c r="D742" s="112">
        <v>43851</v>
      </c>
      <c r="E742" s="570"/>
      <c r="F742" s="88" t="s">
        <v>2763</v>
      </c>
      <c r="G742" s="88" t="s">
        <v>166</v>
      </c>
      <c r="H742" s="98" t="s">
        <v>220</v>
      </c>
      <c r="I742" s="98" t="s">
        <v>722</v>
      </c>
      <c r="J742" s="75">
        <f t="shared" si="62"/>
        <v>1</v>
      </c>
      <c r="K742" s="76" t="s">
        <v>211</v>
      </c>
      <c r="N742" s="78" t="s">
        <v>17</v>
      </c>
      <c r="Q742" s="78" t="s">
        <v>2130</v>
      </c>
      <c r="R742" s="75">
        <f t="shared" si="63"/>
        <v>1</v>
      </c>
      <c r="S742" s="263" t="s">
        <v>1991</v>
      </c>
      <c r="T742" s="263"/>
      <c r="U742" s="263"/>
      <c r="V742" s="263"/>
      <c r="W742" s="263"/>
      <c r="X742" s="263"/>
      <c r="Y742" s="575"/>
      <c r="Z742" s="575"/>
      <c r="AA742" s="576">
        <f t="shared" si="59"/>
        <v>0</v>
      </c>
      <c r="AB742" s="722"/>
    </row>
    <row r="743" spans="1:28" ht="15.75" customHeight="1" x14ac:dyDescent="0.35">
      <c r="A743" s="81" t="s">
        <v>2767</v>
      </c>
      <c r="C743" s="83">
        <v>43805</v>
      </c>
      <c r="D743" s="112">
        <v>43851</v>
      </c>
      <c r="E743" s="570"/>
      <c r="F743" s="88" t="s">
        <v>2768</v>
      </c>
      <c r="G743" s="88" t="s">
        <v>152</v>
      </c>
      <c r="H743" s="98" t="s">
        <v>220</v>
      </c>
      <c r="I743" s="98" t="s">
        <v>763</v>
      </c>
      <c r="J743" s="75">
        <f t="shared" si="62"/>
        <v>1</v>
      </c>
      <c r="K743" s="76" t="s">
        <v>211</v>
      </c>
      <c r="N743" s="78" t="s">
        <v>18</v>
      </c>
      <c r="Q743" s="78" t="s">
        <v>2130</v>
      </c>
      <c r="R743" s="75">
        <f t="shared" si="63"/>
        <v>1</v>
      </c>
      <c r="S743" s="263" t="s">
        <v>1991</v>
      </c>
      <c r="T743" s="263"/>
      <c r="U743" s="263"/>
      <c r="V743" s="263"/>
      <c r="W743" s="263"/>
      <c r="X743" s="263"/>
      <c r="Y743" s="575"/>
      <c r="Z743" s="575"/>
      <c r="AA743" s="576">
        <f t="shared" si="59"/>
        <v>0</v>
      </c>
      <c r="AB743" s="722"/>
    </row>
    <row r="744" spans="1:28" ht="15.75" customHeight="1" x14ac:dyDescent="0.35">
      <c r="A744" s="98" t="s">
        <v>2771</v>
      </c>
      <c r="C744" s="83">
        <v>43808</v>
      </c>
      <c r="D744" s="112">
        <v>43852</v>
      </c>
      <c r="E744" s="570"/>
      <c r="F744" s="88" t="s">
        <v>2772</v>
      </c>
      <c r="G744" s="88" t="s">
        <v>162</v>
      </c>
      <c r="H744" s="98" t="s">
        <v>220</v>
      </c>
      <c r="I744" s="98" t="s">
        <v>722</v>
      </c>
      <c r="J744" s="75">
        <f t="shared" si="62"/>
        <v>1</v>
      </c>
      <c r="K744" s="76" t="s">
        <v>211</v>
      </c>
      <c r="N744" s="78" t="s">
        <v>18</v>
      </c>
      <c r="Q744" s="78" t="s">
        <v>2130</v>
      </c>
      <c r="R744" s="75">
        <f t="shared" si="63"/>
        <v>1</v>
      </c>
      <c r="S744" s="263" t="s">
        <v>1991</v>
      </c>
      <c r="T744" s="263"/>
      <c r="U744" s="263"/>
      <c r="V744" s="263"/>
      <c r="W744" s="263"/>
      <c r="X744" s="263"/>
      <c r="Y744" s="575"/>
      <c r="Z744" s="575"/>
      <c r="AA744" s="576">
        <f t="shared" si="59"/>
        <v>0</v>
      </c>
      <c r="AB744" s="722"/>
    </row>
    <row r="745" spans="1:28" ht="15.75" customHeight="1" x14ac:dyDescent="0.35">
      <c r="A745" s="81" t="s">
        <v>3383</v>
      </c>
      <c r="C745" s="83">
        <v>43809</v>
      </c>
      <c r="D745" s="112">
        <v>43852</v>
      </c>
      <c r="E745" s="570"/>
      <c r="F745" s="88" t="s">
        <v>3384</v>
      </c>
      <c r="G745" s="88" t="s">
        <v>181</v>
      </c>
      <c r="H745" s="98" t="s">
        <v>220</v>
      </c>
      <c r="I745" s="98" t="s">
        <v>3555</v>
      </c>
      <c r="J745" s="75">
        <f t="shared" si="62"/>
        <v>1</v>
      </c>
      <c r="K745" s="76" t="s">
        <v>211</v>
      </c>
      <c r="N745" s="78" t="s">
        <v>19</v>
      </c>
      <c r="Q745" s="78" t="s">
        <v>2130</v>
      </c>
      <c r="R745" s="75">
        <f t="shared" si="63"/>
        <v>1</v>
      </c>
      <c r="S745" s="263" t="s">
        <v>1991</v>
      </c>
      <c r="T745" s="263"/>
      <c r="U745" s="263"/>
      <c r="V745" s="263"/>
      <c r="W745" s="263"/>
      <c r="X745" s="263"/>
      <c r="Y745" s="575"/>
      <c r="Z745" s="575"/>
      <c r="AA745" s="576">
        <f t="shared" si="59"/>
        <v>0</v>
      </c>
      <c r="AB745" s="722"/>
    </row>
    <row r="746" spans="1:28" ht="15.75" customHeight="1" x14ac:dyDescent="0.35">
      <c r="A746" s="81" t="s">
        <v>3142</v>
      </c>
      <c r="C746" s="83">
        <v>43809</v>
      </c>
      <c r="D746" s="112">
        <v>43853</v>
      </c>
      <c r="E746" s="570"/>
      <c r="F746" s="88" t="s">
        <v>3143</v>
      </c>
      <c r="G746" s="88" t="s">
        <v>152</v>
      </c>
      <c r="H746" s="98" t="s">
        <v>220</v>
      </c>
      <c r="I746" s="98" t="s">
        <v>722</v>
      </c>
      <c r="J746" s="75">
        <f t="shared" si="62"/>
        <v>1</v>
      </c>
      <c r="K746" s="76" t="s">
        <v>211</v>
      </c>
      <c r="N746" s="78" t="s">
        <v>17</v>
      </c>
      <c r="Q746" s="78" t="s">
        <v>2130</v>
      </c>
      <c r="R746" s="75">
        <f t="shared" si="63"/>
        <v>1</v>
      </c>
      <c r="S746" s="263" t="s">
        <v>1991</v>
      </c>
      <c r="T746" s="263"/>
      <c r="U746" s="263"/>
      <c r="V746" s="263"/>
      <c r="W746" s="263"/>
      <c r="X746" s="263"/>
      <c r="Y746" s="575"/>
      <c r="Z746" s="575"/>
      <c r="AA746" s="576">
        <f t="shared" si="59"/>
        <v>0</v>
      </c>
      <c r="AB746" s="722"/>
    </row>
    <row r="747" spans="1:28" ht="15.75" customHeight="1" x14ac:dyDescent="0.35">
      <c r="A747" s="81" t="s">
        <v>3146</v>
      </c>
      <c r="C747" s="83">
        <v>43810</v>
      </c>
      <c r="D747" s="112">
        <v>43854</v>
      </c>
      <c r="E747" s="570"/>
      <c r="F747" s="88" t="s">
        <v>3147</v>
      </c>
      <c r="G747" s="88" t="s">
        <v>195</v>
      </c>
      <c r="H747" s="98" t="s">
        <v>220</v>
      </c>
      <c r="I747" s="98" t="s">
        <v>722</v>
      </c>
      <c r="J747" s="75">
        <f t="shared" si="62"/>
        <v>1</v>
      </c>
      <c r="K747" s="76" t="s">
        <v>211</v>
      </c>
      <c r="N747" s="78" t="s">
        <v>18</v>
      </c>
      <c r="Q747" s="78" t="s">
        <v>2130</v>
      </c>
      <c r="R747" s="75">
        <f t="shared" si="63"/>
        <v>1</v>
      </c>
      <c r="S747" s="263" t="s">
        <v>1991</v>
      </c>
      <c r="T747" s="263"/>
      <c r="U747" s="263"/>
      <c r="V747" s="263"/>
      <c r="W747" s="263"/>
      <c r="X747" s="263"/>
      <c r="Y747" s="575"/>
      <c r="Z747" s="575"/>
      <c r="AA747" s="576">
        <f t="shared" si="59"/>
        <v>0</v>
      </c>
      <c r="AB747" s="722"/>
    </row>
    <row r="748" spans="1:28" ht="15.75" customHeight="1" x14ac:dyDescent="0.35">
      <c r="A748" s="81" t="s">
        <v>3385</v>
      </c>
      <c r="C748" s="83">
        <v>43817</v>
      </c>
      <c r="D748" s="83">
        <v>43847</v>
      </c>
      <c r="E748" s="570"/>
      <c r="F748" s="88" t="s">
        <v>3386</v>
      </c>
      <c r="G748" s="88" t="s">
        <v>162</v>
      </c>
      <c r="H748" s="98" t="s">
        <v>220</v>
      </c>
      <c r="J748" s="75">
        <f t="shared" si="62"/>
        <v>1</v>
      </c>
      <c r="K748" s="76" t="s">
        <v>221</v>
      </c>
      <c r="Q748" s="78" t="s">
        <v>2130</v>
      </c>
      <c r="R748" s="75">
        <f t="shared" si="63"/>
        <v>1</v>
      </c>
      <c r="S748" s="263" t="s">
        <v>1991</v>
      </c>
      <c r="T748" s="263"/>
      <c r="U748" s="263"/>
      <c r="V748" s="263"/>
      <c r="W748" s="263"/>
      <c r="X748" s="263"/>
      <c r="Y748" s="575"/>
      <c r="Z748" s="575"/>
      <c r="AA748" s="576">
        <f t="shared" si="59"/>
        <v>0</v>
      </c>
      <c r="AB748" s="722"/>
    </row>
    <row r="749" spans="1:28" ht="15.75" customHeight="1" x14ac:dyDescent="0.35">
      <c r="A749" s="81" t="s">
        <v>3391</v>
      </c>
      <c r="C749" s="83">
        <v>43818</v>
      </c>
      <c r="D749" s="112">
        <v>43850</v>
      </c>
      <c r="E749" s="570"/>
      <c r="F749" s="88" t="s">
        <v>3392</v>
      </c>
      <c r="G749" s="88" t="s">
        <v>154</v>
      </c>
      <c r="H749" s="98" t="s">
        <v>220</v>
      </c>
      <c r="I749" s="98" t="s">
        <v>1004</v>
      </c>
      <c r="J749" s="75">
        <f t="shared" ref="J749:J780" si="64">IF(OR(K749="Документы готовы",K749="Запрос в ФО",K749="ЭЗ",K749="РЕШ",K749="РЕШ шаблон"),0.1,IF(OR(K749="ЭЗ согласование",K749="РЕШ согласование"),0.3,IF(OR(K749="ЭЗ согласовано",K749="РЕШ согласовано",K749="РЕШ подписано"),0.6,IF(OR(K749="ЭЗ ПР согласование",K749="РЕШ УВ согласование"),0.9,IF(OR(K749="ЭЗ ПР DONE",K749="РЕШ УВ DONE"),1,0)))))</f>
        <v>1</v>
      </c>
      <c r="K749" s="76" t="s">
        <v>211</v>
      </c>
      <c r="N749" s="78" t="s">
        <v>19</v>
      </c>
      <c r="Q749" s="78" t="s">
        <v>2130</v>
      </c>
      <c r="R749" s="75">
        <f t="shared" ref="R749:R781" si="65">IF(S749="В работе",0.3,IF(S749="Отписано",0.6,IF(S749="На доработку",0.9,IF(S749="Согласовано",1,0))))</f>
        <v>1</v>
      </c>
      <c r="S749" s="263" t="s">
        <v>1991</v>
      </c>
      <c r="T749" s="263"/>
      <c r="U749" s="263"/>
      <c r="V749" s="263"/>
      <c r="W749" s="263"/>
      <c r="X749" s="263"/>
      <c r="Y749" s="575"/>
      <c r="Z749" s="575"/>
      <c r="AA749" s="576">
        <f t="shared" si="59"/>
        <v>0</v>
      </c>
      <c r="AB749" s="722"/>
    </row>
    <row r="750" spans="1:28" ht="15.75" customHeight="1" x14ac:dyDescent="0.35">
      <c r="A750" s="81" t="s">
        <v>3393</v>
      </c>
      <c r="C750" s="83">
        <v>43818</v>
      </c>
      <c r="D750" s="112">
        <v>43850</v>
      </c>
      <c r="E750" s="570"/>
      <c r="F750" s="88" t="s">
        <v>3394</v>
      </c>
      <c r="G750" s="88" t="s">
        <v>154</v>
      </c>
      <c r="H750" s="98" t="s">
        <v>220</v>
      </c>
      <c r="I750" s="98" t="s">
        <v>3549</v>
      </c>
      <c r="J750" s="75">
        <f t="shared" si="64"/>
        <v>1</v>
      </c>
      <c r="K750" s="76" t="s">
        <v>211</v>
      </c>
      <c r="N750" s="78" t="s">
        <v>18</v>
      </c>
      <c r="Q750" s="78" t="s">
        <v>2130</v>
      </c>
      <c r="R750" s="75">
        <f t="shared" si="65"/>
        <v>1</v>
      </c>
      <c r="S750" s="263" t="s">
        <v>1991</v>
      </c>
      <c r="T750" s="263"/>
      <c r="U750" s="263"/>
      <c r="V750" s="263"/>
      <c r="W750" s="263"/>
      <c r="X750" s="263"/>
      <c r="Y750" s="575"/>
      <c r="Z750" s="575"/>
      <c r="AA750" s="576">
        <f t="shared" si="59"/>
        <v>0</v>
      </c>
      <c r="AB750" s="722"/>
    </row>
    <row r="751" spans="1:28" ht="15.75" customHeight="1" x14ac:dyDescent="0.35">
      <c r="A751" s="81" t="s">
        <v>3399</v>
      </c>
      <c r="C751" s="83">
        <v>43819</v>
      </c>
      <c r="D751" s="112">
        <v>43851</v>
      </c>
      <c r="E751" s="570"/>
      <c r="F751" s="88" t="s">
        <v>3400</v>
      </c>
      <c r="G751" s="88" t="s">
        <v>158</v>
      </c>
      <c r="H751" s="98" t="s">
        <v>220</v>
      </c>
      <c r="I751" s="98" t="s">
        <v>2516</v>
      </c>
      <c r="J751" s="75">
        <f t="shared" si="64"/>
        <v>1</v>
      </c>
      <c r="K751" s="76" t="s">
        <v>211</v>
      </c>
      <c r="N751" s="78" t="s">
        <v>18</v>
      </c>
      <c r="Q751" s="78" t="s">
        <v>2130</v>
      </c>
      <c r="R751" s="75">
        <f t="shared" si="65"/>
        <v>1</v>
      </c>
      <c r="S751" s="263" t="s">
        <v>1991</v>
      </c>
      <c r="T751" s="263"/>
      <c r="U751" s="263"/>
      <c r="V751" s="263"/>
      <c r="W751" s="263"/>
      <c r="X751" s="263"/>
      <c r="Y751" s="575"/>
      <c r="Z751" s="575"/>
      <c r="AA751" s="576">
        <f t="shared" si="59"/>
        <v>0</v>
      </c>
      <c r="AB751" s="722"/>
    </row>
    <row r="752" spans="1:28" ht="15.75" customHeight="1" x14ac:dyDescent="0.35">
      <c r="A752" s="81" t="s">
        <v>3403</v>
      </c>
      <c r="C752" s="83">
        <v>43819</v>
      </c>
      <c r="D752" s="112">
        <v>43851</v>
      </c>
      <c r="E752" s="570"/>
      <c r="F752" s="88" t="s">
        <v>3404</v>
      </c>
      <c r="G752" s="88" t="s">
        <v>156</v>
      </c>
      <c r="H752" s="98" t="s">
        <v>220</v>
      </c>
      <c r="I752" s="98" t="s">
        <v>2516</v>
      </c>
      <c r="J752" s="75">
        <f t="shared" si="64"/>
        <v>1</v>
      </c>
      <c r="K752" s="76" t="s">
        <v>211</v>
      </c>
      <c r="N752" s="78" t="s">
        <v>17</v>
      </c>
      <c r="Q752" s="78" t="s">
        <v>2130</v>
      </c>
      <c r="R752" s="75">
        <f t="shared" si="65"/>
        <v>1</v>
      </c>
      <c r="S752" s="263" t="s">
        <v>1991</v>
      </c>
      <c r="T752" s="263"/>
      <c r="U752" s="263"/>
      <c r="V752" s="263"/>
      <c r="W752" s="263"/>
      <c r="X752" s="263"/>
      <c r="Y752" s="575"/>
      <c r="Z752" s="575"/>
      <c r="AA752" s="576">
        <f t="shared" si="59"/>
        <v>0</v>
      </c>
      <c r="AB752" s="722"/>
    </row>
    <row r="753" spans="1:28" ht="15.75" customHeight="1" x14ac:dyDescent="0.35">
      <c r="A753" s="81" t="s">
        <v>3405</v>
      </c>
      <c r="C753" s="83">
        <v>43819</v>
      </c>
      <c r="D753" s="112">
        <v>43851</v>
      </c>
      <c r="E753" s="570"/>
      <c r="F753" s="88" t="s">
        <v>3406</v>
      </c>
      <c r="G753" s="88" t="s">
        <v>154</v>
      </c>
      <c r="H753" s="98" t="s">
        <v>220</v>
      </c>
      <c r="I753" s="98" t="s">
        <v>3553</v>
      </c>
      <c r="J753" s="75">
        <f t="shared" si="64"/>
        <v>1</v>
      </c>
      <c r="K753" s="76" t="s">
        <v>211</v>
      </c>
      <c r="N753" s="78" t="s">
        <v>19</v>
      </c>
      <c r="Q753" s="78" t="s">
        <v>2130</v>
      </c>
      <c r="R753" s="75">
        <f t="shared" si="65"/>
        <v>1</v>
      </c>
      <c r="S753" s="263" t="s">
        <v>1991</v>
      </c>
      <c r="T753" s="263"/>
      <c r="U753" s="263"/>
      <c r="V753" s="263"/>
      <c r="W753" s="263"/>
      <c r="X753" s="263"/>
      <c r="Y753" s="575"/>
      <c r="Z753" s="575"/>
      <c r="AA753" s="576">
        <f t="shared" si="59"/>
        <v>0</v>
      </c>
      <c r="AB753" s="722"/>
    </row>
    <row r="754" spans="1:28" ht="15.75" customHeight="1" x14ac:dyDescent="0.35">
      <c r="A754" s="98" t="s">
        <v>3407</v>
      </c>
      <c r="C754" s="83">
        <v>43822</v>
      </c>
      <c r="D754" s="112">
        <v>43852</v>
      </c>
      <c r="E754" s="570"/>
      <c r="F754" s="88" t="s">
        <v>3408</v>
      </c>
      <c r="G754" s="88" t="s">
        <v>158</v>
      </c>
      <c r="H754" s="98" t="s">
        <v>220</v>
      </c>
      <c r="J754" s="75">
        <f t="shared" si="64"/>
        <v>1</v>
      </c>
      <c r="K754" s="76" t="s">
        <v>211</v>
      </c>
      <c r="N754" s="78" t="s">
        <v>17</v>
      </c>
      <c r="Q754" s="78" t="s">
        <v>2130</v>
      </c>
      <c r="R754" s="75">
        <f t="shared" si="65"/>
        <v>1</v>
      </c>
      <c r="S754" s="263" t="s">
        <v>1991</v>
      </c>
      <c r="T754" s="263"/>
      <c r="U754" s="263"/>
      <c r="V754" s="263"/>
      <c r="W754" s="263"/>
      <c r="X754" s="263"/>
      <c r="Y754" s="575"/>
      <c r="Z754" s="575"/>
      <c r="AA754" s="576">
        <f t="shared" si="59"/>
        <v>0</v>
      </c>
      <c r="AB754" s="722"/>
    </row>
    <row r="755" spans="1:28" ht="15.75" customHeight="1" x14ac:dyDescent="0.35">
      <c r="A755" s="81" t="s">
        <v>3409</v>
      </c>
      <c r="C755" s="83">
        <v>43822</v>
      </c>
      <c r="D755" s="112">
        <v>43852</v>
      </c>
      <c r="E755" s="570"/>
      <c r="F755" s="88" t="s">
        <v>3410</v>
      </c>
      <c r="G755" s="88" t="s">
        <v>162</v>
      </c>
      <c r="H755" s="98" t="s">
        <v>220</v>
      </c>
      <c r="I755" s="98" t="s">
        <v>2516</v>
      </c>
      <c r="J755" s="75">
        <f t="shared" si="64"/>
        <v>1</v>
      </c>
      <c r="K755" s="76" t="s">
        <v>211</v>
      </c>
      <c r="N755" s="78" t="s">
        <v>17</v>
      </c>
      <c r="Q755" s="78" t="s">
        <v>2130</v>
      </c>
      <c r="R755" s="75">
        <f t="shared" si="65"/>
        <v>1</v>
      </c>
      <c r="S755" s="263" t="s">
        <v>1991</v>
      </c>
      <c r="T755" s="263"/>
      <c r="U755" s="263"/>
      <c r="V755" s="263"/>
      <c r="W755" s="263"/>
      <c r="X755" s="263"/>
      <c r="Y755" s="575"/>
      <c r="Z755" s="575"/>
      <c r="AA755" s="576">
        <f t="shared" si="59"/>
        <v>0</v>
      </c>
      <c r="AB755" s="722"/>
    </row>
    <row r="756" spans="1:28" ht="15.75" customHeight="1" x14ac:dyDescent="0.35">
      <c r="A756" s="81" t="s">
        <v>3411</v>
      </c>
      <c r="C756" s="83">
        <v>43822</v>
      </c>
      <c r="D756" s="112">
        <v>43852</v>
      </c>
      <c r="E756" s="570"/>
      <c r="F756" s="88" t="s">
        <v>3412</v>
      </c>
      <c r="G756" s="88" t="s">
        <v>158</v>
      </c>
      <c r="H756" s="98" t="s">
        <v>220</v>
      </c>
      <c r="I756" s="98" t="s">
        <v>3557</v>
      </c>
      <c r="J756" s="75">
        <f t="shared" si="64"/>
        <v>1</v>
      </c>
      <c r="K756" s="76" t="s">
        <v>211</v>
      </c>
      <c r="N756" s="78" t="s">
        <v>18</v>
      </c>
      <c r="Q756" s="78" t="s">
        <v>2130</v>
      </c>
      <c r="R756" s="75">
        <f t="shared" si="65"/>
        <v>1</v>
      </c>
      <c r="S756" s="263" t="s">
        <v>1991</v>
      </c>
      <c r="T756" s="263"/>
      <c r="U756" s="263"/>
      <c r="V756" s="263"/>
      <c r="W756" s="263"/>
      <c r="X756" s="263"/>
      <c r="Y756" s="575"/>
      <c r="Z756" s="575"/>
      <c r="AA756" s="576">
        <f t="shared" si="59"/>
        <v>0</v>
      </c>
      <c r="AB756" s="722"/>
    </row>
    <row r="757" spans="1:28" ht="15.75" customHeight="1" x14ac:dyDescent="0.35">
      <c r="A757" s="81" t="s">
        <v>3415</v>
      </c>
      <c r="C757" s="83">
        <v>43822</v>
      </c>
      <c r="D757" s="112">
        <v>43852</v>
      </c>
      <c r="E757" s="570"/>
      <c r="F757" s="88" t="s">
        <v>3416</v>
      </c>
      <c r="G757" s="88" t="s">
        <v>195</v>
      </c>
      <c r="H757" s="98" t="s">
        <v>220</v>
      </c>
      <c r="I757" s="98" t="s">
        <v>656</v>
      </c>
      <c r="J757" s="75">
        <f t="shared" si="64"/>
        <v>1</v>
      </c>
      <c r="K757" s="76" t="s">
        <v>211</v>
      </c>
      <c r="N757" s="78" t="s">
        <v>17</v>
      </c>
      <c r="Q757" s="78" t="s">
        <v>2130</v>
      </c>
      <c r="R757" s="75">
        <f t="shared" si="65"/>
        <v>1</v>
      </c>
      <c r="S757" s="263" t="s">
        <v>1991</v>
      </c>
      <c r="T757" s="263"/>
      <c r="U757" s="263"/>
      <c r="V757" s="263"/>
      <c r="W757" s="263"/>
      <c r="X757" s="263"/>
      <c r="Y757" s="575"/>
      <c r="Z757" s="575"/>
      <c r="AA757" s="576">
        <f t="shared" si="59"/>
        <v>0</v>
      </c>
      <c r="AB757" s="722"/>
    </row>
    <row r="758" spans="1:28" ht="15.75" customHeight="1" x14ac:dyDescent="0.35">
      <c r="A758" s="81" t="s">
        <v>3417</v>
      </c>
      <c r="C758" s="83">
        <v>43824</v>
      </c>
      <c r="D758" s="112">
        <v>43853</v>
      </c>
      <c r="E758" s="570"/>
      <c r="F758" s="88" t="s">
        <v>3418</v>
      </c>
      <c r="G758" s="88" t="s">
        <v>156</v>
      </c>
      <c r="H758" s="98" t="s">
        <v>220</v>
      </c>
      <c r="I758" s="98" t="s">
        <v>3546</v>
      </c>
      <c r="J758" s="75">
        <f t="shared" si="64"/>
        <v>1</v>
      </c>
      <c r="K758" s="76" t="s">
        <v>211</v>
      </c>
      <c r="N758" s="78" t="s">
        <v>17</v>
      </c>
      <c r="Q758" s="78" t="s">
        <v>2130</v>
      </c>
      <c r="R758" s="75">
        <f t="shared" si="65"/>
        <v>1</v>
      </c>
      <c r="S758" s="263" t="s">
        <v>1991</v>
      </c>
      <c r="T758" s="263"/>
      <c r="U758" s="263"/>
      <c r="V758" s="263"/>
      <c r="W758" s="263"/>
      <c r="X758" s="263"/>
      <c r="Y758" s="575"/>
      <c r="Z758" s="575"/>
      <c r="AA758" s="576">
        <f t="shared" si="59"/>
        <v>0</v>
      </c>
      <c r="AB758" s="722"/>
    </row>
    <row r="759" spans="1:28" ht="15.75" customHeight="1" x14ac:dyDescent="0.35">
      <c r="A759" s="81" t="s">
        <v>3421</v>
      </c>
      <c r="C759" s="83">
        <v>43823</v>
      </c>
      <c r="D759" s="112">
        <v>43853</v>
      </c>
      <c r="E759" s="570"/>
      <c r="F759" s="88" t="s">
        <v>3422</v>
      </c>
      <c r="G759" s="88" t="s">
        <v>158</v>
      </c>
      <c r="H759" s="98" t="s">
        <v>220</v>
      </c>
      <c r="I759" s="98" t="s">
        <v>1004</v>
      </c>
      <c r="J759" s="75">
        <f t="shared" si="64"/>
        <v>1</v>
      </c>
      <c r="K759" s="76" t="s">
        <v>211</v>
      </c>
      <c r="N759" s="78" t="s">
        <v>19</v>
      </c>
      <c r="Q759" s="78" t="s">
        <v>2130</v>
      </c>
      <c r="R759" s="75">
        <f t="shared" si="65"/>
        <v>1</v>
      </c>
      <c r="S759" s="263" t="s">
        <v>1991</v>
      </c>
      <c r="T759" s="263"/>
      <c r="U759" s="263"/>
      <c r="V759" s="263"/>
      <c r="W759" s="263"/>
      <c r="X759" s="263"/>
      <c r="Y759" s="575"/>
      <c r="Z759" s="575"/>
      <c r="AA759" s="576">
        <f t="shared" si="59"/>
        <v>0</v>
      </c>
      <c r="AB759" s="722"/>
    </row>
    <row r="760" spans="1:28" ht="15.75" customHeight="1" x14ac:dyDescent="0.35">
      <c r="A760" s="81" t="s">
        <v>3427</v>
      </c>
      <c r="C760" s="83">
        <v>43824</v>
      </c>
      <c r="D760" s="112">
        <v>43854</v>
      </c>
      <c r="E760" s="570"/>
      <c r="F760" s="88" t="s">
        <v>3428</v>
      </c>
      <c r="G760" s="88" t="s">
        <v>154</v>
      </c>
      <c r="H760" s="98" t="s">
        <v>220</v>
      </c>
      <c r="I760" s="98" t="s">
        <v>656</v>
      </c>
      <c r="J760" s="75">
        <f t="shared" si="64"/>
        <v>1</v>
      </c>
      <c r="K760" s="76" t="s">
        <v>211</v>
      </c>
      <c r="N760" s="78" t="s">
        <v>17</v>
      </c>
      <c r="Q760" s="78" t="s">
        <v>2130</v>
      </c>
      <c r="R760" s="75">
        <f t="shared" si="65"/>
        <v>1</v>
      </c>
      <c r="S760" s="263" t="s">
        <v>1991</v>
      </c>
      <c r="T760" s="263"/>
      <c r="U760" s="263"/>
      <c r="V760" s="263"/>
      <c r="W760" s="263"/>
      <c r="X760" s="263"/>
      <c r="Y760" s="575"/>
      <c r="Z760" s="575"/>
      <c r="AA760" s="576">
        <f t="shared" si="59"/>
        <v>0</v>
      </c>
      <c r="AB760" s="722"/>
    </row>
    <row r="761" spans="1:28" ht="15.75" customHeight="1" x14ac:dyDescent="0.35">
      <c r="A761" s="98" t="s">
        <v>3429</v>
      </c>
      <c r="C761" s="83">
        <v>43780</v>
      </c>
      <c r="D761" s="112">
        <v>43852</v>
      </c>
      <c r="E761" s="570"/>
      <c r="F761" s="88" t="s">
        <v>3430</v>
      </c>
      <c r="G761" s="88" t="s">
        <v>158</v>
      </c>
      <c r="H761" s="98" t="s">
        <v>220</v>
      </c>
      <c r="I761" s="98" t="s">
        <v>730</v>
      </c>
      <c r="J761" s="75">
        <f t="shared" si="64"/>
        <v>1</v>
      </c>
      <c r="K761" s="76" t="s">
        <v>211</v>
      </c>
      <c r="L761" s="99" t="s">
        <v>3558</v>
      </c>
      <c r="N761" s="78" t="s">
        <v>19</v>
      </c>
      <c r="Q761" s="78" t="s">
        <v>2163</v>
      </c>
      <c r="R761" s="75">
        <f t="shared" si="65"/>
        <v>1</v>
      </c>
      <c r="S761" s="263" t="s">
        <v>1991</v>
      </c>
      <c r="T761" s="263"/>
      <c r="U761" s="263"/>
      <c r="V761" s="263"/>
      <c r="W761" s="263"/>
      <c r="X761" s="263"/>
      <c r="Y761" s="575"/>
      <c r="Z761" s="575"/>
      <c r="AA761" s="576">
        <f t="shared" si="59"/>
        <v>0</v>
      </c>
      <c r="AB761" s="722"/>
    </row>
    <row r="762" spans="1:28" ht="15.75" customHeight="1" x14ac:dyDescent="0.35">
      <c r="A762" s="98" t="s">
        <v>2804</v>
      </c>
      <c r="C762" s="83">
        <v>43804</v>
      </c>
      <c r="D762" s="112">
        <v>43850</v>
      </c>
      <c r="E762" s="570"/>
      <c r="F762" s="88" t="s">
        <v>2829</v>
      </c>
      <c r="G762" s="88" t="s">
        <v>152</v>
      </c>
      <c r="H762" s="98" t="s">
        <v>220</v>
      </c>
      <c r="I762" s="98" t="s">
        <v>649</v>
      </c>
      <c r="J762" s="75">
        <f t="shared" si="64"/>
        <v>1</v>
      </c>
      <c r="K762" s="76" t="s">
        <v>211</v>
      </c>
      <c r="N762" s="78" t="s">
        <v>18</v>
      </c>
      <c r="Q762" s="78" t="s">
        <v>2163</v>
      </c>
      <c r="R762" s="75">
        <f t="shared" si="65"/>
        <v>1</v>
      </c>
      <c r="S762" s="263" t="s">
        <v>1991</v>
      </c>
      <c r="T762" s="263"/>
      <c r="U762" s="263"/>
      <c r="V762" s="263"/>
      <c r="W762" s="263"/>
      <c r="X762" s="263"/>
      <c r="Y762" s="575"/>
      <c r="Z762" s="575"/>
      <c r="AA762" s="576">
        <f t="shared" si="59"/>
        <v>0</v>
      </c>
      <c r="AB762" s="722"/>
    </row>
    <row r="763" spans="1:28" ht="15.75" customHeight="1" x14ac:dyDescent="0.35">
      <c r="A763" s="98" t="s">
        <v>2640</v>
      </c>
      <c r="C763" s="83">
        <v>43804</v>
      </c>
      <c r="D763" s="112">
        <v>43850</v>
      </c>
      <c r="E763" s="570"/>
      <c r="F763" s="88" t="s">
        <v>2641</v>
      </c>
      <c r="G763" s="88" t="s">
        <v>158</v>
      </c>
      <c r="H763" s="98" t="s">
        <v>220</v>
      </c>
      <c r="I763" s="98" t="s">
        <v>3547</v>
      </c>
      <c r="J763" s="75">
        <f t="shared" si="64"/>
        <v>1</v>
      </c>
      <c r="K763" s="76" t="s">
        <v>211</v>
      </c>
      <c r="N763" s="78" t="s">
        <v>17</v>
      </c>
      <c r="Q763" s="78" t="s">
        <v>2163</v>
      </c>
      <c r="R763" s="75">
        <f t="shared" si="65"/>
        <v>1</v>
      </c>
      <c r="S763" s="263" t="s">
        <v>1991</v>
      </c>
      <c r="T763" s="263"/>
      <c r="U763" s="263"/>
      <c r="V763" s="263"/>
      <c r="W763" s="263"/>
      <c r="X763" s="263"/>
      <c r="Y763" s="575"/>
      <c r="Z763" s="575"/>
      <c r="AA763" s="576">
        <f t="shared" si="59"/>
        <v>0</v>
      </c>
      <c r="AB763" s="722"/>
    </row>
    <row r="764" spans="1:28" ht="15.75" customHeight="1" x14ac:dyDescent="0.35">
      <c r="A764" s="98" t="s">
        <v>2644</v>
      </c>
      <c r="C764" s="83">
        <v>43804</v>
      </c>
      <c r="D764" s="112">
        <v>43850</v>
      </c>
      <c r="E764" s="570"/>
      <c r="F764" s="88" t="s">
        <v>2645</v>
      </c>
      <c r="G764" s="88" t="s">
        <v>154</v>
      </c>
      <c r="H764" s="98" t="s">
        <v>220</v>
      </c>
      <c r="I764" s="98" t="s">
        <v>649</v>
      </c>
      <c r="J764" s="75">
        <f t="shared" si="64"/>
        <v>1</v>
      </c>
      <c r="K764" s="76" t="s">
        <v>211</v>
      </c>
      <c r="N764" s="78" t="s">
        <v>18</v>
      </c>
      <c r="Q764" s="78" t="s">
        <v>2163</v>
      </c>
      <c r="R764" s="75">
        <f t="shared" si="65"/>
        <v>1</v>
      </c>
      <c r="S764" s="263" t="s">
        <v>1991</v>
      </c>
      <c r="T764" s="263"/>
      <c r="U764" s="263"/>
      <c r="V764" s="263"/>
      <c r="W764" s="263"/>
      <c r="X764" s="263"/>
      <c r="Y764" s="575"/>
      <c r="Z764" s="575"/>
      <c r="AA764" s="576">
        <f t="shared" si="59"/>
        <v>0</v>
      </c>
      <c r="AB764" s="722"/>
    </row>
    <row r="765" spans="1:28" ht="15.75" customHeight="1" x14ac:dyDescent="0.35">
      <c r="A765" s="98" t="s">
        <v>2760</v>
      </c>
      <c r="C765" s="83">
        <v>43805</v>
      </c>
      <c r="D765" s="112">
        <v>43851</v>
      </c>
      <c r="E765" s="570"/>
      <c r="F765" s="88" t="s">
        <v>2761</v>
      </c>
      <c r="G765" s="88" t="s">
        <v>162</v>
      </c>
      <c r="H765" s="98" t="s">
        <v>220</v>
      </c>
      <c r="I765" s="98" t="s">
        <v>649</v>
      </c>
      <c r="J765" s="75">
        <f t="shared" si="64"/>
        <v>1</v>
      </c>
      <c r="K765" s="76" t="s">
        <v>211</v>
      </c>
      <c r="N765" s="78" t="s">
        <v>17</v>
      </c>
      <c r="Q765" s="78" t="s">
        <v>2163</v>
      </c>
      <c r="R765" s="75">
        <f t="shared" si="65"/>
        <v>1</v>
      </c>
      <c r="S765" s="263" t="s">
        <v>1991</v>
      </c>
      <c r="T765" s="263"/>
      <c r="U765" s="263"/>
      <c r="V765" s="263"/>
      <c r="W765" s="263"/>
      <c r="X765" s="263"/>
      <c r="Y765" s="575"/>
      <c r="Z765" s="575"/>
      <c r="AA765" s="576">
        <f t="shared" si="59"/>
        <v>0</v>
      </c>
      <c r="AB765" s="722"/>
    </row>
    <row r="766" spans="1:28" ht="15.75" customHeight="1" x14ac:dyDescent="0.35">
      <c r="A766" s="81" t="s">
        <v>3431</v>
      </c>
      <c r="C766" s="83">
        <v>43805</v>
      </c>
      <c r="D766" s="112">
        <v>43851</v>
      </c>
      <c r="E766" s="570"/>
      <c r="F766" s="88" t="s">
        <v>3432</v>
      </c>
      <c r="G766" s="88" t="s">
        <v>1393</v>
      </c>
      <c r="H766" s="98" t="s">
        <v>220</v>
      </c>
      <c r="I766" s="98" t="s">
        <v>722</v>
      </c>
      <c r="J766" s="75">
        <f t="shared" si="64"/>
        <v>1</v>
      </c>
      <c r="K766" s="76" t="s">
        <v>211</v>
      </c>
      <c r="N766" s="78" t="s">
        <v>18</v>
      </c>
      <c r="Q766" s="78" t="s">
        <v>2163</v>
      </c>
      <c r="R766" s="75">
        <f t="shared" si="65"/>
        <v>1</v>
      </c>
      <c r="S766" s="263" t="s">
        <v>1991</v>
      </c>
      <c r="T766" s="263"/>
      <c r="U766" s="263"/>
      <c r="V766" s="263"/>
      <c r="W766" s="263"/>
      <c r="X766" s="263"/>
      <c r="Y766" s="575"/>
      <c r="Z766" s="575"/>
      <c r="AA766" s="576">
        <f t="shared" si="59"/>
        <v>0</v>
      </c>
      <c r="AB766" s="722"/>
    </row>
    <row r="767" spans="1:28" ht="15.75" customHeight="1" x14ac:dyDescent="0.35">
      <c r="A767" s="98" t="s">
        <v>3433</v>
      </c>
      <c r="C767" s="83">
        <v>43808</v>
      </c>
      <c r="D767" s="112">
        <v>43852</v>
      </c>
      <c r="E767" s="570"/>
      <c r="F767" s="88" t="s">
        <v>3434</v>
      </c>
      <c r="G767" s="88" t="s">
        <v>417</v>
      </c>
      <c r="H767" s="98" t="s">
        <v>220</v>
      </c>
      <c r="I767" s="98" t="s">
        <v>3556</v>
      </c>
      <c r="J767" s="75">
        <f t="shared" si="64"/>
        <v>1</v>
      </c>
      <c r="K767" s="76" t="s">
        <v>211</v>
      </c>
      <c r="N767" s="78" t="s">
        <v>17</v>
      </c>
      <c r="Q767" s="78" t="s">
        <v>2163</v>
      </c>
      <c r="R767" s="75">
        <f t="shared" si="65"/>
        <v>1</v>
      </c>
      <c r="S767" s="263" t="s">
        <v>1991</v>
      </c>
      <c r="T767" s="263"/>
      <c r="U767" s="263"/>
      <c r="V767" s="263"/>
      <c r="W767" s="263"/>
      <c r="X767" s="263"/>
      <c r="Y767" s="575"/>
      <c r="Z767" s="575"/>
      <c r="AA767" s="576">
        <f t="shared" si="59"/>
        <v>0</v>
      </c>
      <c r="AB767" s="722"/>
    </row>
    <row r="768" spans="1:28" ht="15.75" customHeight="1" x14ac:dyDescent="0.35">
      <c r="A768" s="98" t="s">
        <v>2927</v>
      </c>
      <c r="C768" s="83">
        <v>43809</v>
      </c>
      <c r="D768" s="112">
        <v>43853</v>
      </c>
      <c r="E768" s="570"/>
      <c r="F768" s="88" t="s">
        <v>2928</v>
      </c>
      <c r="G768" s="88" t="s">
        <v>152</v>
      </c>
      <c r="H768" s="98" t="s">
        <v>220</v>
      </c>
      <c r="I768" s="98" t="s">
        <v>722</v>
      </c>
      <c r="J768" s="75">
        <f t="shared" si="64"/>
        <v>1</v>
      </c>
      <c r="K768" s="76" t="s">
        <v>211</v>
      </c>
      <c r="N768" s="78" t="s">
        <v>18</v>
      </c>
      <c r="Q768" s="78" t="s">
        <v>2163</v>
      </c>
      <c r="R768" s="75">
        <f t="shared" si="65"/>
        <v>1</v>
      </c>
      <c r="S768" s="263" t="s">
        <v>1991</v>
      </c>
      <c r="T768" s="263"/>
      <c r="U768" s="263"/>
      <c r="V768" s="263"/>
      <c r="W768" s="263"/>
      <c r="X768" s="263"/>
      <c r="Y768" s="575"/>
      <c r="Z768" s="575"/>
      <c r="AA768" s="576">
        <f t="shared" si="59"/>
        <v>0</v>
      </c>
      <c r="AB768" s="722"/>
    </row>
    <row r="769" spans="1:28" ht="15.75" customHeight="1" x14ac:dyDescent="0.35">
      <c r="A769" s="98" t="s">
        <v>3435</v>
      </c>
      <c r="C769" s="83">
        <v>43809</v>
      </c>
      <c r="D769" s="112">
        <v>43853</v>
      </c>
      <c r="E769" s="570"/>
      <c r="F769" s="88" t="s">
        <v>3436</v>
      </c>
      <c r="G769" s="88" t="s">
        <v>154</v>
      </c>
      <c r="H769" s="98" t="s">
        <v>220</v>
      </c>
      <c r="J769" s="75">
        <f t="shared" si="64"/>
        <v>1</v>
      </c>
      <c r="K769" s="76" t="s">
        <v>211</v>
      </c>
      <c r="N769" s="78" t="s">
        <v>18</v>
      </c>
      <c r="Q769" s="78" t="s">
        <v>2163</v>
      </c>
      <c r="R769" s="75">
        <f t="shared" si="65"/>
        <v>1</v>
      </c>
      <c r="S769" s="263" t="s">
        <v>1991</v>
      </c>
      <c r="T769" s="263"/>
      <c r="U769" s="263"/>
      <c r="V769" s="263"/>
      <c r="W769" s="263"/>
      <c r="X769" s="263"/>
      <c r="Y769" s="575"/>
      <c r="Z769" s="575"/>
      <c r="AA769" s="576">
        <f t="shared" si="59"/>
        <v>0</v>
      </c>
      <c r="AB769" s="722"/>
    </row>
    <row r="770" spans="1:28" ht="15.75" customHeight="1" x14ac:dyDescent="0.35">
      <c r="A770" s="98" t="s">
        <v>2937</v>
      </c>
      <c r="C770" s="83">
        <v>43810</v>
      </c>
      <c r="D770" s="112">
        <v>43854</v>
      </c>
      <c r="E770" s="570"/>
      <c r="F770" s="88" t="s">
        <v>2938</v>
      </c>
      <c r="G770" s="88" t="s">
        <v>152</v>
      </c>
      <c r="H770" s="81" t="s">
        <v>275</v>
      </c>
      <c r="I770" s="98" t="s">
        <v>6485</v>
      </c>
      <c r="J770" s="75">
        <f t="shared" si="64"/>
        <v>1</v>
      </c>
      <c r="K770" s="76" t="s">
        <v>211</v>
      </c>
      <c r="L770" s="99" t="s">
        <v>6489</v>
      </c>
      <c r="N770" s="78" t="s">
        <v>19</v>
      </c>
      <c r="Q770" s="78" t="s">
        <v>2163</v>
      </c>
      <c r="R770" s="75">
        <f t="shared" si="65"/>
        <v>1</v>
      </c>
      <c r="S770" s="263" t="s">
        <v>1991</v>
      </c>
      <c r="T770" s="263"/>
      <c r="U770" s="263"/>
      <c r="V770" s="263"/>
      <c r="W770" s="263"/>
      <c r="X770" s="263"/>
      <c r="Y770" s="575"/>
      <c r="Z770" s="575"/>
      <c r="AA770" s="576">
        <f t="shared" si="59"/>
        <v>0</v>
      </c>
      <c r="AB770" s="722"/>
    </row>
    <row r="771" spans="1:28" ht="15.75" customHeight="1" x14ac:dyDescent="0.35">
      <c r="A771" s="81" t="s">
        <v>2939</v>
      </c>
      <c r="C771" s="83">
        <v>43810</v>
      </c>
      <c r="D771" s="112">
        <v>43854</v>
      </c>
      <c r="E771" s="570"/>
      <c r="F771" s="88" t="s">
        <v>2940</v>
      </c>
      <c r="G771" s="88" t="s">
        <v>156</v>
      </c>
      <c r="H771" s="98" t="s">
        <v>220</v>
      </c>
      <c r="I771" s="98" t="s">
        <v>652</v>
      </c>
      <c r="J771" s="75">
        <f t="shared" si="64"/>
        <v>1</v>
      </c>
      <c r="K771" s="76" t="s">
        <v>211</v>
      </c>
      <c r="N771" s="78" t="s">
        <v>17</v>
      </c>
      <c r="Q771" s="78" t="s">
        <v>2163</v>
      </c>
      <c r="R771" s="75">
        <f t="shared" si="65"/>
        <v>1</v>
      </c>
      <c r="S771" s="263" t="s">
        <v>1991</v>
      </c>
      <c r="T771" s="263"/>
      <c r="U771" s="263"/>
      <c r="V771" s="263"/>
      <c r="W771" s="263"/>
      <c r="X771" s="263"/>
      <c r="Y771" s="575"/>
      <c r="Z771" s="575"/>
      <c r="AA771" s="576">
        <f t="shared" ref="AA771:AA833" si="66">Z771-Y771</f>
        <v>0</v>
      </c>
      <c r="AB771" s="722"/>
    </row>
    <row r="772" spans="1:28" ht="15.75" customHeight="1" x14ac:dyDescent="0.35">
      <c r="A772" s="98" t="s">
        <v>3441</v>
      </c>
      <c r="C772" s="83">
        <v>43819</v>
      </c>
      <c r="D772" s="112">
        <v>43851</v>
      </c>
      <c r="E772" s="570"/>
      <c r="F772" s="88" t="s">
        <v>3442</v>
      </c>
      <c r="G772" s="88" t="s">
        <v>156</v>
      </c>
      <c r="H772" s="98" t="s">
        <v>220</v>
      </c>
      <c r="J772" s="75">
        <f t="shared" si="64"/>
        <v>1</v>
      </c>
      <c r="K772" s="76" t="s">
        <v>211</v>
      </c>
      <c r="N772" s="78" t="s">
        <v>19</v>
      </c>
      <c r="Q772" s="78" t="s">
        <v>2163</v>
      </c>
      <c r="R772" s="75">
        <f t="shared" si="65"/>
        <v>1</v>
      </c>
      <c r="S772" s="263" t="s">
        <v>1991</v>
      </c>
      <c r="T772" s="263"/>
      <c r="U772" s="263"/>
      <c r="V772" s="263"/>
      <c r="W772" s="263"/>
      <c r="X772" s="263"/>
      <c r="Y772" s="575"/>
      <c r="Z772" s="575"/>
      <c r="AA772" s="576">
        <f t="shared" si="66"/>
        <v>0</v>
      </c>
      <c r="AB772" s="722"/>
    </row>
    <row r="773" spans="1:28" ht="15.75" customHeight="1" x14ac:dyDescent="0.35">
      <c r="A773" s="81" t="s">
        <v>3451</v>
      </c>
      <c r="C773" s="83">
        <v>43822</v>
      </c>
      <c r="D773" s="112">
        <v>43852</v>
      </c>
      <c r="E773" s="570"/>
      <c r="F773" s="88" t="s">
        <v>3452</v>
      </c>
      <c r="G773" s="88" t="s">
        <v>152</v>
      </c>
      <c r="H773" s="98" t="s">
        <v>220</v>
      </c>
      <c r="I773" s="98" t="s">
        <v>656</v>
      </c>
      <c r="J773" s="75">
        <f t="shared" si="64"/>
        <v>1</v>
      </c>
      <c r="K773" s="76" t="s">
        <v>211</v>
      </c>
      <c r="N773" s="78" t="s">
        <v>17</v>
      </c>
      <c r="Q773" s="78" t="s">
        <v>2163</v>
      </c>
      <c r="R773" s="75">
        <f t="shared" si="65"/>
        <v>1</v>
      </c>
      <c r="S773" s="263" t="s">
        <v>1991</v>
      </c>
      <c r="T773" s="263"/>
      <c r="U773" s="263"/>
      <c r="V773" s="263"/>
      <c r="W773" s="263"/>
      <c r="X773" s="263"/>
      <c r="Y773" s="575"/>
      <c r="Z773" s="575"/>
      <c r="AA773" s="576">
        <f t="shared" si="66"/>
        <v>0</v>
      </c>
      <c r="AB773" s="722"/>
    </row>
    <row r="774" spans="1:28" ht="15.75" customHeight="1" x14ac:dyDescent="0.35">
      <c r="A774" s="98" t="s">
        <v>3453</v>
      </c>
      <c r="C774" s="83">
        <v>43822</v>
      </c>
      <c r="D774" s="112">
        <v>43852</v>
      </c>
      <c r="E774" s="570"/>
      <c r="F774" s="88" t="s">
        <v>3454</v>
      </c>
      <c r="G774" s="88" t="s">
        <v>154</v>
      </c>
      <c r="H774" s="98" t="s">
        <v>220</v>
      </c>
      <c r="I774" s="98" t="s">
        <v>2516</v>
      </c>
      <c r="J774" s="75">
        <f t="shared" si="64"/>
        <v>1</v>
      </c>
      <c r="K774" s="76" t="s">
        <v>211</v>
      </c>
      <c r="N774" s="78" t="s">
        <v>17</v>
      </c>
      <c r="Q774" s="78" t="s">
        <v>2163</v>
      </c>
      <c r="R774" s="75">
        <f t="shared" si="65"/>
        <v>1</v>
      </c>
      <c r="S774" s="263" t="s">
        <v>1991</v>
      </c>
      <c r="T774" s="263"/>
      <c r="U774" s="263"/>
      <c r="V774" s="263"/>
      <c r="W774" s="263"/>
      <c r="X774" s="263"/>
      <c r="Y774" s="575"/>
      <c r="Z774" s="575"/>
      <c r="AA774" s="576">
        <f t="shared" si="66"/>
        <v>0</v>
      </c>
      <c r="AB774" s="722"/>
    </row>
    <row r="775" spans="1:28" ht="15.75" customHeight="1" x14ac:dyDescent="0.35">
      <c r="A775" s="98" t="s">
        <v>3457</v>
      </c>
      <c r="C775" s="83">
        <v>43822</v>
      </c>
      <c r="D775" s="112">
        <v>43852</v>
      </c>
      <c r="E775" s="570"/>
      <c r="F775" s="88" t="s">
        <v>3458</v>
      </c>
      <c r="G775" s="88" t="s">
        <v>154</v>
      </c>
      <c r="H775" s="98" t="s">
        <v>220</v>
      </c>
      <c r="I775" s="98" t="s">
        <v>652</v>
      </c>
      <c r="J775" s="75">
        <f t="shared" si="64"/>
        <v>1</v>
      </c>
      <c r="K775" s="76" t="s">
        <v>211</v>
      </c>
      <c r="N775" s="78" t="s">
        <v>18</v>
      </c>
      <c r="Q775" s="78" t="s">
        <v>2163</v>
      </c>
      <c r="R775" s="75">
        <f t="shared" si="65"/>
        <v>1</v>
      </c>
      <c r="S775" s="263" t="s">
        <v>1991</v>
      </c>
      <c r="T775" s="263"/>
      <c r="U775" s="263"/>
      <c r="V775" s="263"/>
      <c r="W775" s="263"/>
      <c r="X775" s="263"/>
      <c r="Y775" s="575"/>
      <c r="Z775" s="575"/>
      <c r="AA775" s="576">
        <f t="shared" si="66"/>
        <v>0</v>
      </c>
      <c r="AB775" s="722"/>
    </row>
    <row r="776" spans="1:28" ht="15.75" customHeight="1" x14ac:dyDescent="0.35">
      <c r="A776" s="98" t="s">
        <v>3463</v>
      </c>
      <c r="C776" s="83">
        <v>43824</v>
      </c>
      <c r="D776" s="112">
        <v>43854</v>
      </c>
      <c r="E776" s="570"/>
      <c r="F776" s="88" t="s">
        <v>3464</v>
      </c>
      <c r="G776" s="88" t="s">
        <v>158</v>
      </c>
      <c r="H776" s="98" t="s">
        <v>220</v>
      </c>
      <c r="J776" s="75">
        <f t="shared" si="64"/>
        <v>1</v>
      </c>
      <c r="K776" s="76" t="s">
        <v>211</v>
      </c>
      <c r="N776" s="78" t="s">
        <v>19</v>
      </c>
      <c r="Q776" s="78" t="s">
        <v>2163</v>
      </c>
      <c r="R776" s="75">
        <f t="shared" si="65"/>
        <v>1</v>
      </c>
      <c r="S776" s="263" t="s">
        <v>1991</v>
      </c>
      <c r="T776" s="263"/>
      <c r="U776" s="263"/>
      <c r="V776" s="263"/>
      <c r="W776" s="263"/>
      <c r="X776" s="263"/>
      <c r="Y776" s="575"/>
      <c r="Z776" s="575"/>
      <c r="AA776" s="576">
        <f t="shared" si="66"/>
        <v>0</v>
      </c>
      <c r="AB776" s="722"/>
    </row>
    <row r="777" spans="1:28" ht="15.75" customHeight="1" x14ac:dyDescent="0.35">
      <c r="A777" s="98" t="s">
        <v>2810</v>
      </c>
      <c r="C777" s="83">
        <v>43804</v>
      </c>
      <c r="D777" s="112">
        <v>43847</v>
      </c>
      <c r="E777" s="570"/>
      <c r="F777" s="99" t="s">
        <v>2835</v>
      </c>
      <c r="G777" s="99" t="s">
        <v>417</v>
      </c>
      <c r="H777" s="98" t="s">
        <v>220</v>
      </c>
      <c r="I777" s="98" t="s">
        <v>648</v>
      </c>
      <c r="J777" s="75">
        <f t="shared" si="64"/>
        <v>1</v>
      </c>
      <c r="K777" s="76" t="s">
        <v>211</v>
      </c>
      <c r="N777" s="78" t="s">
        <v>17</v>
      </c>
      <c r="Q777" s="304" t="s">
        <v>2447</v>
      </c>
      <c r="R777" s="75">
        <f t="shared" si="65"/>
        <v>1</v>
      </c>
      <c r="S777" s="263" t="s">
        <v>1991</v>
      </c>
      <c r="T777" s="263"/>
      <c r="U777" s="263"/>
      <c r="V777" s="263"/>
      <c r="W777" s="263"/>
      <c r="X777" s="263"/>
      <c r="Y777" s="575"/>
      <c r="Z777" s="575"/>
      <c r="AA777" s="576">
        <f t="shared" si="66"/>
        <v>0</v>
      </c>
      <c r="AB777" s="722"/>
    </row>
    <row r="778" spans="1:28" ht="15.75" customHeight="1" x14ac:dyDescent="0.35">
      <c r="A778" s="98" t="s">
        <v>3471</v>
      </c>
      <c r="C778" s="83">
        <v>43804</v>
      </c>
      <c r="D778" s="112">
        <v>43847</v>
      </c>
      <c r="E778" s="570"/>
      <c r="F778" s="99" t="s">
        <v>3472</v>
      </c>
      <c r="G778" s="99" t="s">
        <v>152</v>
      </c>
      <c r="H778" s="98" t="s">
        <v>220</v>
      </c>
      <c r="I778" s="98" t="s">
        <v>649</v>
      </c>
      <c r="J778" s="75">
        <f t="shared" si="64"/>
        <v>1</v>
      </c>
      <c r="K778" s="76" t="s">
        <v>211</v>
      </c>
      <c r="N778" s="78" t="s">
        <v>18</v>
      </c>
      <c r="Q778" s="78" t="s">
        <v>2447</v>
      </c>
      <c r="R778" s="75">
        <f t="shared" si="65"/>
        <v>1</v>
      </c>
      <c r="S778" s="263" t="s">
        <v>1991</v>
      </c>
      <c r="T778" s="263"/>
      <c r="U778" s="263"/>
      <c r="V778" s="263"/>
      <c r="W778" s="263"/>
      <c r="X778" s="263"/>
      <c r="Y778" s="575"/>
      <c r="Z778" s="575"/>
      <c r="AA778" s="576">
        <f t="shared" si="66"/>
        <v>0</v>
      </c>
      <c r="AB778" s="722"/>
    </row>
    <row r="779" spans="1:28" ht="15.75" customHeight="1" x14ac:dyDescent="0.35">
      <c r="A779" s="98" t="s">
        <v>3306</v>
      </c>
      <c r="C779" s="83">
        <v>43817</v>
      </c>
      <c r="D779" s="112">
        <v>43847</v>
      </c>
      <c r="E779" s="570"/>
      <c r="F779" s="127" t="s">
        <v>3307</v>
      </c>
      <c r="G779" s="99" t="s">
        <v>154</v>
      </c>
      <c r="H779" s="98" t="s">
        <v>220</v>
      </c>
      <c r="I779" s="98" t="s">
        <v>3473</v>
      </c>
      <c r="J779" s="75">
        <f t="shared" si="64"/>
        <v>1</v>
      </c>
      <c r="K779" s="76" t="s">
        <v>211</v>
      </c>
      <c r="L779" s="99" t="s">
        <v>3474</v>
      </c>
      <c r="N779" s="78" t="s">
        <v>17</v>
      </c>
      <c r="Q779" s="78" t="s">
        <v>2447</v>
      </c>
      <c r="R779" s="75">
        <f t="shared" si="65"/>
        <v>1</v>
      </c>
      <c r="S779" s="263" t="s">
        <v>1991</v>
      </c>
      <c r="T779" s="263"/>
      <c r="U779" s="263"/>
      <c r="V779" s="263"/>
      <c r="W779" s="263"/>
      <c r="X779" s="263"/>
      <c r="Y779" s="575"/>
      <c r="Z779" s="575"/>
      <c r="AA779" s="576">
        <f t="shared" si="66"/>
        <v>0</v>
      </c>
      <c r="AB779" s="722"/>
    </row>
    <row r="780" spans="1:28" ht="15.75" customHeight="1" x14ac:dyDescent="0.35">
      <c r="A780" s="81" t="s">
        <v>3477</v>
      </c>
      <c r="C780" s="83">
        <v>43802</v>
      </c>
      <c r="D780" s="112">
        <v>43853</v>
      </c>
      <c r="E780" s="570"/>
      <c r="F780" s="88" t="s">
        <v>3478</v>
      </c>
      <c r="G780" s="88" t="s">
        <v>162</v>
      </c>
      <c r="H780" s="81" t="s">
        <v>220</v>
      </c>
      <c r="J780" s="75">
        <f t="shared" si="64"/>
        <v>1</v>
      </c>
      <c r="K780" s="76" t="s">
        <v>211</v>
      </c>
      <c r="N780" s="78" t="s">
        <v>17</v>
      </c>
      <c r="Q780" s="78" t="s">
        <v>2447</v>
      </c>
      <c r="R780" s="75">
        <f t="shared" si="65"/>
        <v>1</v>
      </c>
      <c r="S780" s="263" t="s">
        <v>1991</v>
      </c>
      <c r="T780" s="263"/>
      <c r="U780" s="263"/>
      <c r="V780" s="263"/>
      <c r="W780" s="263"/>
      <c r="X780" s="263"/>
      <c r="Y780" s="575"/>
      <c r="Z780" s="575"/>
      <c r="AA780" s="576">
        <f t="shared" si="66"/>
        <v>0</v>
      </c>
      <c r="AB780" s="722"/>
    </row>
    <row r="781" spans="1:28" ht="15.75" customHeight="1" x14ac:dyDescent="0.35">
      <c r="A781" s="81" t="s">
        <v>3479</v>
      </c>
      <c r="C781" s="83">
        <v>43805</v>
      </c>
      <c r="D781" s="112">
        <v>43850</v>
      </c>
      <c r="E781" s="570"/>
      <c r="F781" s="88" t="s">
        <v>3480</v>
      </c>
      <c r="G781" s="88" t="s">
        <v>149</v>
      </c>
      <c r="H781" s="81" t="s">
        <v>220</v>
      </c>
      <c r="I781" s="98" t="s">
        <v>3548</v>
      </c>
      <c r="J781" s="75">
        <f t="shared" ref="J781:J808" si="67">IF(OR(K781="Документы готовы",K781="Запрос в ФО",K781="ЭЗ",K781="РЕШ",K781="РЕШ шаблон"),0.1,IF(OR(K781="ЭЗ согласование",K781="РЕШ согласование"),0.3,IF(OR(K781="ЭЗ согласовано",K781="РЕШ согласовано",K781="РЕШ подписано"),0.6,IF(OR(K781="ЭЗ ПР согласование",K781="РЕШ УВ согласование"),0.9,IF(OR(K781="ЭЗ ПР DONE",K781="РЕШ УВ DONE"),1,0)))))</f>
        <v>1</v>
      </c>
      <c r="K781" s="76" t="s">
        <v>211</v>
      </c>
      <c r="L781" s="99" t="s">
        <v>6490</v>
      </c>
      <c r="N781" s="78" t="s">
        <v>17</v>
      </c>
      <c r="Q781" s="78" t="s">
        <v>2447</v>
      </c>
      <c r="R781" s="75">
        <f t="shared" si="65"/>
        <v>1</v>
      </c>
      <c r="S781" s="263" t="s">
        <v>1991</v>
      </c>
      <c r="T781" s="263"/>
      <c r="U781" s="263"/>
      <c r="V781" s="263"/>
      <c r="W781" s="263"/>
      <c r="X781" s="263"/>
      <c r="Y781" s="575"/>
      <c r="Z781" s="575"/>
      <c r="AA781" s="576">
        <f t="shared" si="66"/>
        <v>0</v>
      </c>
      <c r="AB781" s="722"/>
    </row>
    <row r="782" spans="1:28" ht="15.75" customHeight="1" x14ac:dyDescent="0.35">
      <c r="A782" s="81" t="s">
        <v>2878</v>
      </c>
      <c r="C782" s="83">
        <v>43805</v>
      </c>
      <c r="D782" s="112">
        <v>43850</v>
      </c>
      <c r="E782" s="570"/>
      <c r="F782" s="88" t="s">
        <v>2879</v>
      </c>
      <c r="G782" s="88" t="s">
        <v>158</v>
      </c>
      <c r="H782" s="81" t="s">
        <v>220</v>
      </c>
      <c r="I782" s="98" t="s">
        <v>1004</v>
      </c>
      <c r="J782" s="75">
        <f t="shared" si="67"/>
        <v>1</v>
      </c>
      <c r="K782" s="76" t="s">
        <v>211</v>
      </c>
      <c r="N782" s="78" t="s">
        <v>19</v>
      </c>
      <c r="Q782" s="78" t="s">
        <v>2447</v>
      </c>
      <c r="R782" s="75">
        <f t="shared" ref="R782:R808" si="68">IF(S782="В работе",0.3,IF(S782="Отписано",0.6,IF(S782="На доработку",0.9,IF(S782="Согласовано",1,0))))</f>
        <v>1</v>
      </c>
      <c r="S782" s="263" t="s">
        <v>1991</v>
      </c>
      <c r="T782" s="263"/>
      <c r="U782" s="263"/>
      <c r="V782" s="263"/>
      <c r="W782" s="263"/>
      <c r="X782" s="263"/>
      <c r="Y782" s="575"/>
      <c r="Z782" s="575"/>
      <c r="AA782" s="576">
        <f t="shared" si="66"/>
        <v>0</v>
      </c>
      <c r="AB782" s="722"/>
    </row>
    <row r="783" spans="1:28" ht="15.75" customHeight="1" x14ac:dyDescent="0.35">
      <c r="A783" s="81" t="s">
        <v>3481</v>
      </c>
      <c r="C783" s="83">
        <v>43808</v>
      </c>
      <c r="D783" s="112">
        <v>43852</v>
      </c>
      <c r="E783" s="570"/>
      <c r="F783" s="88" t="s">
        <v>3482</v>
      </c>
      <c r="G783" s="88" t="s">
        <v>944</v>
      </c>
      <c r="H783" s="81" t="s">
        <v>220</v>
      </c>
      <c r="I783" s="98" t="s">
        <v>649</v>
      </c>
      <c r="J783" s="75">
        <f t="shared" si="67"/>
        <v>1</v>
      </c>
      <c r="K783" s="76" t="s">
        <v>211</v>
      </c>
      <c r="N783" s="78" t="s">
        <v>18</v>
      </c>
      <c r="Q783" s="78" t="s">
        <v>2447</v>
      </c>
      <c r="R783" s="75">
        <f t="shared" si="68"/>
        <v>1</v>
      </c>
      <c r="S783" s="263" t="s">
        <v>1991</v>
      </c>
      <c r="T783" s="263"/>
      <c r="U783" s="263"/>
      <c r="V783" s="263"/>
      <c r="W783" s="263"/>
      <c r="X783" s="263"/>
      <c r="Y783" s="575"/>
      <c r="Z783" s="575"/>
      <c r="AA783" s="576">
        <f t="shared" si="66"/>
        <v>0</v>
      </c>
      <c r="AB783" s="722"/>
    </row>
    <row r="784" spans="1:28" ht="15.75" customHeight="1" x14ac:dyDescent="0.35">
      <c r="A784" s="81" t="s">
        <v>3485</v>
      </c>
      <c r="C784" s="83">
        <v>43808</v>
      </c>
      <c r="D784" s="112">
        <v>43851</v>
      </c>
      <c r="E784" s="570"/>
      <c r="F784" s="88" t="s">
        <v>3486</v>
      </c>
      <c r="G784" s="88" t="s">
        <v>154</v>
      </c>
      <c r="H784" s="81" t="s">
        <v>220</v>
      </c>
      <c r="I784" s="98" t="s">
        <v>652</v>
      </c>
      <c r="J784" s="75">
        <f t="shared" si="67"/>
        <v>1</v>
      </c>
      <c r="K784" s="76" t="s">
        <v>211</v>
      </c>
      <c r="N784" s="78" t="s">
        <v>17</v>
      </c>
      <c r="Q784" s="78" t="s">
        <v>2447</v>
      </c>
      <c r="R784" s="75">
        <f t="shared" si="68"/>
        <v>1</v>
      </c>
      <c r="S784" s="263" t="s">
        <v>1991</v>
      </c>
      <c r="T784" s="263"/>
      <c r="U784" s="263"/>
      <c r="V784" s="263"/>
      <c r="W784" s="263"/>
      <c r="X784" s="263"/>
      <c r="Y784" s="575"/>
      <c r="Z784" s="575"/>
      <c r="AA784" s="576">
        <f t="shared" si="66"/>
        <v>0</v>
      </c>
      <c r="AB784" s="722"/>
    </row>
    <row r="785" spans="1:28" ht="15.75" customHeight="1" x14ac:dyDescent="0.35">
      <c r="A785" s="81" t="s">
        <v>3189</v>
      </c>
      <c r="C785" s="83">
        <v>43809</v>
      </c>
      <c r="D785" s="112">
        <v>43853</v>
      </c>
      <c r="E785" s="570"/>
      <c r="F785" s="88" t="s">
        <v>3195</v>
      </c>
      <c r="G785" s="88" t="s">
        <v>158</v>
      </c>
      <c r="H785" s="81" t="s">
        <v>220</v>
      </c>
      <c r="I785" s="98" t="s">
        <v>3565</v>
      </c>
      <c r="J785" s="75">
        <f t="shared" si="67"/>
        <v>1</v>
      </c>
      <c r="K785" s="76" t="s">
        <v>211</v>
      </c>
      <c r="N785" s="78" t="s">
        <v>17</v>
      </c>
      <c r="Q785" s="78" t="s">
        <v>2447</v>
      </c>
      <c r="R785" s="75">
        <f t="shared" si="68"/>
        <v>1</v>
      </c>
      <c r="S785" s="263" t="s">
        <v>1991</v>
      </c>
      <c r="T785" s="263"/>
      <c r="U785" s="263"/>
      <c r="V785" s="263"/>
      <c r="W785" s="263"/>
      <c r="X785" s="263"/>
      <c r="Y785" s="575"/>
      <c r="Z785" s="575"/>
      <c r="AA785" s="576">
        <f t="shared" si="66"/>
        <v>0</v>
      </c>
      <c r="AB785" s="722"/>
    </row>
    <row r="786" spans="1:28" ht="15.75" customHeight="1" x14ac:dyDescent="0.35">
      <c r="A786" s="81" t="s">
        <v>3190</v>
      </c>
      <c r="C786" s="83">
        <v>43809</v>
      </c>
      <c r="D786" s="112">
        <v>43853</v>
      </c>
      <c r="E786" s="570"/>
      <c r="F786" s="88" t="s">
        <v>3196</v>
      </c>
      <c r="G786" s="88" t="s">
        <v>158</v>
      </c>
      <c r="H786" s="81" t="s">
        <v>220</v>
      </c>
      <c r="I786" s="98" t="s">
        <v>649</v>
      </c>
      <c r="J786" s="75">
        <f t="shared" si="67"/>
        <v>1</v>
      </c>
      <c r="K786" s="76" t="s">
        <v>211</v>
      </c>
      <c r="N786" s="78" t="s">
        <v>18</v>
      </c>
      <c r="Q786" s="78" t="s">
        <v>2447</v>
      </c>
      <c r="R786" s="75">
        <f t="shared" si="68"/>
        <v>1</v>
      </c>
      <c r="S786" s="263" t="s">
        <v>1991</v>
      </c>
      <c r="T786" s="263"/>
      <c r="U786" s="263"/>
      <c r="V786" s="263"/>
      <c r="W786" s="263"/>
      <c r="X786" s="263"/>
      <c r="Y786" s="575"/>
      <c r="Z786" s="575"/>
      <c r="AA786" s="576">
        <f t="shared" si="66"/>
        <v>0</v>
      </c>
      <c r="AB786" s="722"/>
    </row>
    <row r="787" spans="1:28" ht="15.75" customHeight="1" x14ac:dyDescent="0.35">
      <c r="A787" s="81" t="s">
        <v>3191</v>
      </c>
      <c r="C787" s="83">
        <v>43810</v>
      </c>
      <c r="D787" s="112">
        <v>43854</v>
      </c>
      <c r="E787" s="570"/>
      <c r="F787" s="88" t="s">
        <v>3197</v>
      </c>
      <c r="G787" s="88" t="s">
        <v>2766</v>
      </c>
      <c r="H787" s="81" t="s">
        <v>220</v>
      </c>
      <c r="I787" s="98" t="s">
        <v>649</v>
      </c>
      <c r="J787" s="75">
        <f t="shared" si="67"/>
        <v>1</v>
      </c>
      <c r="K787" s="76" t="s">
        <v>211</v>
      </c>
      <c r="N787" s="78" t="s">
        <v>18</v>
      </c>
      <c r="Q787" s="78" t="s">
        <v>2447</v>
      </c>
      <c r="R787" s="75">
        <f t="shared" si="68"/>
        <v>1</v>
      </c>
      <c r="S787" s="263" t="s">
        <v>1991</v>
      </c>
      <c r="T787" s="263"/>
      <c r="U787" s="263"/>
      <c r="V787" s="263"/>
      <c r="W787" s="263"/>
      <c r="X787" s="263"/>
      <c r="Y787" s="575"/>
      <c r="Z787" s="575"/>
      <c r="AA787" s="576">
        <f t="shared" si="66"/>
        <v>0</v>
      </c>
      <c r="AB787" s="722"/>
    </row>
    <row r="788" spans="1:28" ht="15.75" customHeight="1" x14ac:dyDescent="0.35">
      <c r="A788" s="81" t="s">
        <v>3192</v>
      </c>
      <c r="C788" s="83">
        <v>43810</v>
      </c>
      <c r="D788" s="112">
        <v>43854</v>
      </c>
      <c r="E788" s="570"/>
      <c r="F788" s="88" t="s">
        <v>3198</v>
      </c>
      <c r="G788" s="88" t="s">
        <v>162</v>
      </c>
      <c r="H788" s="81" t="s">
        <v>220</v>
      </c>
      <c r="I788" s="98" t="s">
        <v>722</v>
      </c>
      <c r="J788" s="75">
        <f t="shared" si="67"/>
        <v>1</v>
      </c>
      <c r="K788" s="76" t="s">
        <v>211</v>
      </c>
      <c r="N788" s="78" t="s">
        <v>17</v>
      </c>
      <c r="Q788" s="78" t="s">
        <v>2447</v>
      </c>
      <c r="R788" s="75">
        <f t="shared" si="68"/>
        <v>1</v>
      </c>
      <c r="S788" s="263" t="s">
        <v>1991</v>
      </c>
      <c r="T788" s="263"/>
      <c r="U788" s="263"/>
      <c r="V788" s="263"/>
      <c r="W788" s="263"/>
      <c r="X788" s="263"/>
      <c r="Y788" s="575"/>
      <c r="Z788" s="575"/>
      <c r="AA788" s="576">
        <f t="shared" si="66"/>
        <v>0</v>
      </c>
      <c r="AB788" s="722"/>
    </row>
    <row r="789" spans="1:28" ht="15.75" customHeight="1" x14ac:dyDescent="0.35">
      <c r="A789" s="81" t="s">
        <v>3487</v>
      </c>
      <c r="C789" s="83">
        <v>43811</v>
      </c>
      <c r="D789" s="112">
        <v>43857</v>
      </c>
      <c r="E789" s="570"/>
      <c r="F789" s="88" t="s">
        <v>3488</v>
      </c>
      <c r="G789" s="88" t="s">
        <v>152</v>
      </c>
      <c r="H789" s="81" t="s">
        <v>220</v>
      </c>
      <c r="I789" s="98" t="s">
        <v>649</v>
      </c>
      <c r="J789" s="75">
        <f t="shared" si="67"/>
        <v>1</v>
      </c>
      <c r="K789" s="76" t="s">
        <v>211</v>
      </c>
      <c r="N789" s="78" t="s">
        <v>18</v>
      </c>
      <c r="Q789" s="78" t="s">
        <v>2447</v>
      </c>
      <c r="R789" s="75">
        <f t="shared" si="68"/>
        <v>1</v>
      </c>
      <c r="S789" s="263" t="s">
        <v>1991</v>
      </c>
      <c r="T789" s="263"/>
      <c r="U789" s="263"/>
      <c r="V789" s="263"/>
      <c r="W789" s="263"/>
      <c r="X789" s="263"/>
      <c r="Y789" s="575"/>
      <c r="Z789" s="575"/>
      <c r="AA789" s="576">
        <f t="shared" si="66"/>
        <v>0</v>
      </c>
      <c r="AB789" s="722"/>
    </row>
    <row r="790" spans="1:28" ht="15.75" customHeight="1" x14ac:dyDescent="0.35">
      <c r="A790" s="81" t="s">
        <v>3489</v>
      </c>
      <c r="C790" s="83">
        <v>43812</v>
      </c>
      <c r="D790" s="112">
        <v>43857</v>
      </c>
      <c r="E790" s="570"/>
      <c r="F790" s="88" t="s">
        <v>3490</v>
      </c>
      <c r="G790" s="88" t="s">
        <v>162</v>
      </c>
      <c r="H790" s="81" t="s">
        <v>220</v>
      </c>
      <c r="I790" s="98" t="s">
        <v>649</v>
      </c>
      <c r="J790" s="75">
        <f t="shared" si="67"/>
        <v>1</v>
      </c>
      <c r="K790" s="76" t="s">
        <v>211</v>
      </c>
      <c r="N790" s="78" t="s">
        <v>18</v>
      </c>
      <c r="Q790" s="78" t="s">
        <v>2447</v>
      </c>
      <c r="R790" s="75">
        <f t="shared" si="68"/>
        <v>1</v>
      </c>
      <c r="S790" s="263" t="s">
        <v>1991</v>
      </c>
      <c r="T790" s="263"/>
      <c r="U790" s="263"/>
      <c r="V790" s="263"/>
      <c r="W790" s="263"/>
      <c r="X790" s="263"/>
      <c r="Y790" s="575"/>
      <c r="Z790" s="575"/>
      <c r="AA790" s="576">
        <f t="shared" si="66"/>
        <v>0</v>
      </c>
      <c r="AB790" s="722"/>
    </row>
    <row r="791" spans="1:28" ht="15.75" customHeight="1" x14ac:dyDescent="0.35">
      <c r="A791" s="81" t="s">
        <v>3493</v>
      </c>
      <c r="C791" s="83">
        <v>43812</v>
      </c>
      <c r="D791" s="112">
        <v>43857</v>
      </c>
      <c r="E791" s="570"/>
      <c r="F791" s="88" t="s">
        <v>3494</v>
      </c>
      <c r="G791" s="88" t="s">
        <v>158</v>
      </c>
      <c r="H791" s="81" t="s">
        <v>220</v>
      </c>
      <c r="J791" s="75">
        <f t="shared" si="67"/>
        <v>1</v>
      </c>
      <c r="K791" s="76" t="s">
        <v>211</v>
      </c>
      <c r="N791" s="78" t="s">
        <v>17</v>
      </c>
      <c r="Q791" s="78" t="s">
        <v>2447</v>
      </c>
      <c r="R791" s="75">
        <f t="shared" si="68"/>
        <v>1</v>
      </c>
      <c r="S791" s="263" t="s">
        <v>1991</v>
      </c>
      <c r="T791" s="263"/>
      <c r="U791" s="263"/>
      <c r="V791" s="263"/>
      <c r="W791" s="263"/>
      <c r="X791" s="263"/>
      <c r="Y791" s="575"/>
      <c r="Z791" s="575"/>
      <c r="AA791" s="576">
        <f t="shared" si="66"/>
        <v>0</v>
      </c>
      <c r="AB791" s="722"/>
    </row>
    <row r="792" spans="1:28" ht="15.75" customHeight="1" x14ac:dyDescent="0.35">
      <c r="A792" s="81" t="s">
        <v>3298</v>
      </c>
      <c r="C792" s="83">
        <v>43816</v>
      </c>
      <c r="D792" s="112">
        <v>43860</v>
      </c>
      <c r="E792" s="570"/>
      <c r="F792" s="88" t="s">
        <v>3505</v>
      </c>
      <c r="G792" s="88" t="s">
        <v>152</v>
      </c>
      <c r="H792" s="81" t="s">
        <v>220</v>
      </c>
      <c r="I792" s="98" t="s">
        <v>3737</v>
      </c>
      <c r="J792" s="75">
        <f t="shared" si="67"/>
        <v>1</v>
      </c>
      <c r="K792" s="76" t="s">
        <v>211</v>
      </c>
      <c r="L792" s="99" t="s">
        <v>3301</v>
      </c>
      <c r="N792" s="78" t="s">
        <v>17</v>
      </c>
      <c r="Q792" s="78" t="s">
        <v>2447</v>
      </c>
      <c r="R792" s="75">
        <f t="shared" si="68"/>
        <v>1</v>
      </c>
      <c r="S792" s="263" t="s">
        <v>1991</v>
      </c>
      <c r="T792" s="263"/>
      <c r="U792" s="263"/>
      <c r="V792" s="263"/>
      <c r="W792" s="263"/>
      <c r="X792" s="263"/>
      <c r="Y792" s="575"/>
      <c r="Z792" s="575"/>
      <c r="AA792" s="576">
        <f t="shared" si="66"/>
        <v>0</v>
      </c>
      <c r="AB792" s="722"/>
    </row>
    <row r="793" spans="1:28" ht="15.75" customHeight="1" x14ac:dyDescent="0.35">
      <c r="A793" s="81" t="s">
        <v>3514</v>
      </c>
      <c r="C793" s="83">
        <v>43818</v>
      </c>
      <c r="D793" s="112">
        <v>43850</v>
      </c>
      <c r="E793" s="570"/>
      <c r="F793" s="88" t="s">
        <v>3515</v>
      </c>
      <c r="G793" s="88" t="s">
        <v>162</v>
      </c>
      <c r="H793" s="81" t="s">
        <v>220</v>
      </c>
      <c r="I793" s="98" t="s">
        <v>2516</v>
      </c>
      <c r="J793" s="75">
        <f t="shared" si="67"/>
        <v>1</v>
      </c>
      <c r="K793" s="76" t="s">
        <v>211</v>
      </c>
      <c r="L793" s="99" t="s">
        <v>3550</v>
      </c>
      <c r="N793" s="78" t="s">
        <v>17</v>
      </c>
      <c r="Q793" s="78" t="s">
        <v>2447</v>
      </c>
      <c r="R793" s="75">
        <f t="shared" si="68"/>
        <v>1</v>
      </c>
      <c r="S793" s="263" t="s">
        <v>1991</v>
      </c>
      <c r="T793" s="263"/>
      <c r="U793" s="263"/>
      <c r="V793" s="263"/>
      <c r="W793" s="263"/>
      <c r="X793" s="263"/>
      <c r="Y793" s="575"/>
      <c r="Z793" s="575"/>
      <c r="AA793" s="576">
        <f t="shared" si="66"/>
        <v>0</v>
      </c>
      <c r="AB793" s="722"/>
    </row>
    <row r="794" spans="1:28" ht="15.75" customHeight="1" x14ac:dyDescent="0.35">
      <c r="A794" s="81" t="s">
        <v>3518</v>
      </c>
      <c r="C794" s="83">
        <v>43819</v>
      </c>
      <c r="D794" s="112">
        <v>43851</v>
      </c>
      <c r="E794" s="570"/>
      <c r="F794" s="88" t="s">
        <v>3519</v>
      </c>
      <c r="G794" s="88" t="s">
        <v>154</v>
      </c>
      <c r="H794" s="98" t="s">
        <v>220</v>
      </c>
      <c r="I794" s="98" t="s">
        <v>691</v>
      </c>
      <c r="J794" s="75">
        <f t="shared" si="67"/>
        <v>1</v>
      </c>
      <c r="K794" s="76" t="s">
        <v>211</v>
      </c>
      <c r="N794" s="78" t="s">
        <v>18</v>
      </c>
      <c r="Q794" s="78" t="s">
        <v>2447</v>
      </c>
      <c r="R794" s="75">
        <f t="shared" si="68"/>
        <v>1</v>
      </c>
      <c r="S794" s="263" t="s">
        <v>1991</v>
      </c>
      <c r="T794" s="263"/>
      <c r="U794" s="263"/>
      <c r="V794" s="263"/>
      <c r="W794" s="263"/>
      <c r="X794" s="263"/>
      <c r="Y794" s="575"/>
      <c r="Z794" s="575"/>
      <c r="AA794" s="576">
        <f t="shared" si="66"/>
        <v>0</v>
      </c>
      <c r="AB794" s="722"/>
    </row>
    <row r="795" spans="1:28" ht="15.75" customHeight="1" x14ac:dyDescent="0.35">
      <c r="A795" s="81" t="s">
        <v>3522</v>
      </c>
      <c r="C795" s="83">
        <v>43819</v>
      </c>
      <c r="D795" s="112">
        <v>43851</v>
      </c>
      <c r="E795" s="570"/>
      <c r="F795" s="88" t="s">
        <v>3523</v>
      </c>
      <c r="G795" s="88" t="s">
        <v>156</v>
      </c>
      <c r="H795" s="81" t="s">
        <v>220</v>
      </c>
      <c r="I795" s="98" t="s">
        <v>2213</v>
      </c>
      <c r="J795" s="75">
        <f t="shared" si="67"/>
        <v>1</v>
      </c>
      <c r="K795" s="76" t="s">
        <v>211</v>
      </c>
      <c r="N795" s="78" t="s">
        <v>17</v>
      </c>
      <c r="Q795" s="78" t="s">
        <v>2447</v>
      </c>
      <c r="R795" s="75">
        <f t="shared" si="68"/>
        <v>1</v>
      </c>
      <c r="S795" s="263" t="s">
        <v>1991</v>
      </c>
      <c r="T795" s="263"/>
      <c r="U795" s="263"/>
      <c r="V795" s="263"/>
      <c r="W795" s="263"/>
      <c r="X795" s="263"/>
      <c r="Y795" s="575"/>
      <c r="Z795" s="575"/>
      <c r="AA795" s="576">
        <f t="shared" si="66"/>
        <v>0</v>
      </c>
      <c r="AB795" s="722"/>
    </row>
    <row r="796" spans="1:28" ht="15.75" customHeight="1" x14ac:dyDescent="0.35">
      <c r="A796" s="98" t="s">
        <v>3526</v>
      </c>
      <c r="C796" s="83">
        <v>43822</v>
      </c>
      <c r="D796" s="112">
        <v>43851</v>
      </c>
      <c r="E796" s="570"/>
      <c r="F796" s="88" t="s">
        <v>3527</v>
      </c>
      <c r="G796" s="88" t="s">
        <v>154</v>
      </c>
      <c r="H796" s="81" t="s">
        <v>220</v>
      </c>
      <c r="I796" s="98" t="s">
        <v>3554</v>
      </c>
      <c r="J796" s="75">
        <f t="shared" si="67"/>
        <v>1</v>
      </c>
      <c r="K796" s="76" t="s">
        <v>211</v>
      </c>
      <c r="N796" s="78" t="s">
        <v>18</v>
      </c>
      <c r="Q796" s="78" t="s">
        <v>2447</v>
      </c>
      <c r="R796" s="75">
        <f t="shared" si="68"/>
        <v>1</v>
      </c>
      <c r="S796" s="263" t="s">
        <v>1991</v>
      </c>
      <c r="T796" s="263"/>
      <c r="U796" s="263"/>
      <c r="V796" s="263"/>
      <c r="W796" s="263"/>
      <c r="X796" s="263"/>
      <c r="Y796" s="575"/>
      <c r="Z796" s="575"/>
      <c r="AA796" s="576">
        <f t="shared" si="66"/>
        <v>0</v>
      </c>
      <c r="AB796" s="722"/>
    </row>
    <row r="797" spans="1:28" ht="15.75" customHeight="1" x14ac:dyDescent="0.35">
      <c r="A797" s="81" t="s">
        <v>3530</v>
      </c>
      <c r="C797" s="83">
        <v>43823</v>
      </c>
      <c r="D797" s="112">
        <v>43852</v>
      </c>
      <c r="E797" s="570"/>
      <c r="F797" s="88" t="s">
        <v>3531</v>
      </c>
      <c r="G797" s="88" t="s">
        <v>545</v>
      </c>
      <c r="H797" s="81" t="s">
        <v>275</v>
      </c>
      <c r="I797" s="98" t="s">
        <v>3260</v>
      </c>
      <c r="J797" s="75">
        <f t="shared" si="67"/>
        <v>1</v>
      </c>
      <c r="K797" s="76" t="s">
        <v>211</v>
      </c>
      <c r="N797" s="78" t="s">
        <v>19</v>
      </c>
      <c r="Q797" s="78" t="s">
        <v>2447</v>
      </c>
      <c r="R797" s="75">
        <f t="shared" si="68"/>
        <v>1</v>
      </c>
      <c r="S797" s="263" t="s">
        <v>1991</v>
      </c>
      <c r="T797" s="263"/>
      <c r="U797" s="263"/>
      <c r="V797" s="263"/>
      <c r="W797" s="263"/>
      <c r="X797" s="263"/>
      <c r="Y797" s="575"/>
      <c r="Z797" s="575"/>
      <c r="AA797" s="576">
        <f t="shared" si="66"/>
        <v>0</v>
      </c>
      <c r="AB797" s="722"/>
    </row>
    <row r="798" spans="1:28" ht="15.75" customHeight="1" x14ac:dyDescent="0.35">
      <c r="A798" s="81" t="s">
        <v>3536</v>
      </c>
      <c r="C798" s="83">
        <v>43823</v>
      </c>
      <c r="D798" s="112">
        <v>43853</v>
      </c>
      <c r="E798" s="570"/>
      <c r="F798" s="88" t="s">
        <v>3537</v>
      </c>
      <c r="G798" s="88" t="s">
        <v>158</v>
      </c>
      <c r="H798" s="98" t="s">
        <v>220</v>
      </c>
      <c r="I798" s="98" t="s">
        <v>1004</v>
      </c>
      <c r="J798" s="75">
        <f t="shared" si="67"/>
        <v>1</v>
      </c>
      <c r="K798" s="76" t="s">
        <v>211</v>
      </c>
      <c r="N798" s="78" t="s">
        <v>19</v>
      </c>
      <c r="Q798" s="78" t="s">
        <v>2447</v>
      </c>
      <c r="R798" s="75">
        <f t="shared" si="68"/>
        <v>1</v>
      </c>
      <c r="S798" s="263" t="s">
        <v>1991</v>
      </c>
      <c r="T798" s="263"/>
      <c r="U798" s="263"/>
      <c r="V798" s="263"/>
      <c r="W798" s="263"/>
      <c r="X798" s="263"/>
      <c r="Y798" s="575"/>
      <c r="Z798" s="575"/>
      <c r="AA798" s="576">
        <f t="shared" si="66"/>
        <v>0</v>
      </c>
      <c r="AB798" s="722"/>
    </row>
    <row r="799" spans="1:28" ht="15.75" customHeight="1" x14ac:dyDescent="0.35">
      <c r="A799" s="81" t="s">
        <v>3538</v>
      </c>
      <c r="C799" s="83">
        <v>43824</v>
      </c>
      <c r="D799" s="112">
        <v>43854</v>
      </c>
      <c r="E799" s="570"/>
      <c r="F799" s="88" t="s">
        <v>3539</v>
      </c>
      <c r="G799" s="88" t="s">
        <v>176</v>
      </c>
      <c r="H799" s="81" t="s">
        <v>220</v>
      </c>
      <c r="I799" s="98" t="s">
        <v>3554</v>
      </c>
      <c r="J799" s="75">
        <f t="shared" si="67"/>
        <v>1</v>
      </c>
      <c r="K799" s="76" t="s">
        <v>211</v>
      </c>
      <c r="N799" s="78" t="s">
        <v>17</v>
      </c>
      <c r="Q799" s="78" t="s">
        <v>2447</v>
      </c>
      <c r="R799" s="75">
        <f t="shared" si="68"/>
        <v>1</v>
      </c>
      <c r="S799" s="263" t="s">
        <v>1991</v>
      </c>
      <c r="T799" s="263"/>
      <c r="U799" s="263"/>
      <c r="V799" s="263"/>
      <c r="W799" s="263"/>
      <c r="X799" s="263"/>
      <c r="Y799" s="575"/>
      <c r="Z799" s="575"/>
      <c r="AA799" s="576">
        <f t="shared" si="66"/>
        <v>0</v>
      </c>
      <c r="AB799" s="722"/>
    </row>
    <row r="800" spans="1:28" ht="15.75" customHeight="1" x14ac:dyDescent="0.35">
      <c r="A800" s="98" t="s">
        <v>3561</v>
      </c>
      <c r="C800" s="83">
        <v>43770</v>
      </c>
      <c r="D800" s="83">
        <v>43808</v>
      </c>
      <c r="E800" s="570"/>
      <c r="F800" s="127" t="s">
        <v>3562</v>
      </c>
      <c r="G800" s="99" t="s">
        <v>162</v>
      </c>
      <c r="H800" s="98" t="s">
        <v>275</v>
      </c>
      <c r="I800" s="98" t="s">
        <v>730</v>
      </c>
      <c r="J800" s="75">
        <f t="shared" si="67"/>
        <v>1</v>
      </c>
      <c r="K800" s="76" t="s">
        <v>211</v>
      </c>
      <c r="L800" s="99" t="s">
        <v>3564</v>
      </c>
      <c r="N800" s="78" t="s">
        <v>17</v>
      </c>
      <c r="Q800" s="304" t="s">
        <v>3563</v>
      </c>
      <c r="R800" s="75">
        <f t="shared" si="68"/>
        <v>1</v>
      </c>
      <c r="S800" s="263" t="s">
        <v>1991</v>
      </c>
      <c r="T800" s="263"/>
      <c r="U800" s="263"/>
      <c r="V800" s="263"/>
      <c r="W800" s="263"/>
      <c r="X800" s="263"/>
      <c r="Y800" s="575"/>
      <c r="Z800" s="575"/>
      <c r="AA800" s="576">
        <f t="shared" si="66"/>
        <v>0</v>
      </c>
      <c r="AB800" s="722"/>
    </row>
    <row r="801" spans="1:28" ht="15.75" customHeight="1" x14ac:dyDescent="0.35">
      <c r="A801" s="98" t="s">
        <v>3570</v>
      </c>
      <c r="C801" s="83">
        <v>43789</v>
      </c>
      <c r="D801" s="112">
        <v>43861</v>
      </c>
      <c r="E801" s="570"/>
      <c r="F801" s="88" t="s">
        <v>3571</v>
      </c>
      <c r="G801" s="88" t="s">
        <v>158</v>
      </c>
      <c r="H801" s="81" t="s">
        <v>220</v>
      </c>
      <c r="I801" s="98" t="s">
        <v>649</v>
      </c>
      <c r="J801" s="75">
        <f t="shared" si="67"/>
        <v>1</v>
      </c>
      <c r="K801" s="76" t="s">
        <v>211</v>
      </c>
      <c r="N801" s="78" t="s">
        <v>17</v>
      </c>
      <c r="Q801" s="78" t="s">
        <v>2097</v>
      </c>
      <c r="R801" s="75">
        <f t="shared" si="68"/>
        <v>1</v>
      </c>
      <c r="S801" s="263" t="s">
        <v>1991</v>
      </c>
      <c r="T801" s="263"/>
      <c r="U801" s="263"/>
      <c r="V801" s="263"/>
      <c r="W801" s="263"/>
      <c r="X801" s="263"/>
      <c r="Y801" s="575"/>
      <c r="Z801" s="575"/>
      <c r="AA801" s="576">
        <f t="shared" si="66"/>
        <v>0</v>
      </c>
      <c r="AB801" s="722"/>
    </row>
    <row r="802" spans="1:28" ht="15.75" customHeight="1" x14ac:dyDescent="0.35">
      <c r="A802" s="98" t="s">
        <v>3572</v>
      </c>
      <c r="C802" s="83">
        <v>43804</v>
      </c>
      <c r="D802" s="112">
        <v>43861</v>
      </c>
      <c r="E802" s="570"/>
      <c r="F802" s="88" t="s">
        <v>3573</v>
      </c>
      <c r="G802" s="88" t="s">
        <v>3574</v>
      </c>
      <c r="H802" s="81" t="s">
        <v>220</v>
      </c>
      <c r="J802" s="75">
        <f t="shared" si="67"/>
        <v>1</v>
      </c>
      <c r="K802" s="76" t="s">
        <v>211</v>
      </c>
      <c r="N802" s="78" t="s">
        <v>19</v>
      </c>
      <c r="Q802" s="78" t="s">
        <v>2097</v>
      </c>
      <c r="R802" s="75">
        <f t="shared" si="68"/>
        <v>1</v>
      </c>
      <c r="S802" s="263" t="s">
        <v>1991</v>
      </c>
      <c r="T802" s="263"/>
      <c r="U802" s="263"/>
      <c r="V802" s="263"/>
      <c r="W802" s="263"/>
      <c r="X802" s="263"/>
      <c r="Y802" s="575"/>
      <c r="Z802" s="575"/>
      <c r="AA802" s="576">
        <f t="shared" si="66"/>
        <v>0</v>
      </c>
      <c r="AB802" s="722"/>
    </row>
    <row r="803" spans="1:28" ht="15.75" customHeight="1" x14ac:dyDescent="0.35">
      <c r="A803" s="98" t="s">
        <v>3005</v>
      </c>
      <c r="C803" s="83">
        <v>43812</v>
      </c>
      <c r="D803" s="112">
        <v>43858</v>
      </c>
      <c r="E803" s="570"/>
      <c r="F803" s="88" t="s">
        <v>3006</v>
      </c>
      <c r="G803" s="88" t="s">
        <v>191</v>
      </c>
      <c r="H803" s="81" t="s">
        <v>220</v>
      </c>
      <c r="I803" s="98" t="s">
        <v>722</v>
      </c>
      <c r="J803" s="75">
        <f t="shared" si="67"/>
        <v>1</v>
      </c>
      <c r="K803" s="76" t="s">
        <v>211</v>
      </c>
      <c r="L803" s="99" t="s">
        <v>3723</v>
      </c>
      <c r="N803" s="78" t="s">
        <v>17</v>
      </c>
      <c r="Q803" s="78" t="s">
        <v>2097</v>
      </c>
      <c r="R803" s="75">
        <f t="shared" si="68"/>
        <v>1</v>
      </c>
      <c r="S803" s="263" t="s">
        <v>1991</v>
      </c>
      <c r="T803" s="263"/>
      <c r="U803" s="263"/>
      <c r="V803" s="263"/>
      <c r="W803" s="263"/>
      <c r="X803" s="263"/>
      <c r="Y803" s="575"/>
      <c r="Z803" s="575"/>
      <c r="AA803" s="576">
        <f t="shared" si="66"/>
        <v>0</v>
      </c>
      <c r="AB803" s="722"/>
    </row>
    <row r="804" spans="1:28" ht="15.75" customHeight="1" x14ac:dyDescent="0.35">
      <c r="A804" s="98" t="s">
        <v>3007</v>
      </c>
      <c r="C804" s="83">
        <v>43812</v>
      </c>
      <c r="D804" s="112">
        <v>43858</v>
      </c>
      <c r="E804" s="570"/>
      <c r="F804" s="88" t="s">
        <v>3008</v>
      </c>
      <c r="G804" s="88" t="s">
        <v>152</v>
      </c>
      <c r="H804" s="81" t="s">
        <v>220</v>
      </c>
      <c r="I804" s="98" t="s">
        <v>730</v>
      </c>
      <c r="J804" s="75">
        <f t="shared" si="67"/>
        <v>1</v>
      </c>
      <c r="K804" s="76" t="s">
        <v>211</v>
      </c>
      <c r="L804" s="99" t="s">
        <v>3722</v>
      </c>
      <c r="N804" s="78" t="s">
        <v>18</v>
      </c>
      <c r="Q804" s="78" t="s">
        <v>2097</v>
      </c>
      <c r="R804" s="75">
        <f t="shared" si="68"/>
        <v>1</v>
      </c>
      <c r="S804" s="263" t="s">
        <v>1991</v>
      </c>
      <c r="T804" s="263"/>
      <c r="U804" s="263"/>
      <c r="V804" s="263"/>
      <c r="W804" s="263"/>
      <c r="X804" s="263"/>
      <c r="Y804" s="575"/>
      <c r="Z804" s="575"/>
      <c r="AA804" s="576">
        <f t="shared" si="66"/>
        <v>0</v>
      </c>
      <c r="AB804" s="722"/>
    </row>
    <row r="805" spans="1:28" ht="15.75" customHeight="1" x14ac:dyDescent="0.35">
      <c r="A805" s="98" t="s">
        <v>3011</v>
      </c>
      <c r="C805" s="83">
        <v>43815</v>
      </c>
      <c r="D805" s="112">
        <v>43859</v>
      </c>
      <c r="E805" s="570"/>
      <c r="F805" s="88" t="s">
        <v>3012</v>
      </c>
      <c r="G805" s="88" t="s">
        <v>162</v>
      </c>
      <c r="H805" s="81" t="s">
        <v>220</v>
      </c>
      <c r="I805" s="98" t="s">
        <v>3733</v>
      </c>
      <c r="J805" s="75">
        <f t="shared" si="67"/>
        <v>1</v>
      </c>
      <c r="K805" s="76" t="s">
        <v>211</v>
      </c>
      <c r="L805" s="99" t="s">
        <v>3734</v>
      </c>
      <c r="N805" s="78" t="s">
        <v>17</v>
      </c>
      <c r="Q805" s="78" t="s">
        <v>2097</v>
      </c>
      <c r="R805" s="75">
        <f t="shared" si="68"/>
        <v>1</v>
      </c>
      <c r="S805" s="263" t="s">
        <v>1991</v>
      </c>
      <c r="T805" s="263"/>
      <c r="U805" s="263"/>
      <c r="V805" s="263"/>
      <c r="W805" s="263"/>
      <c r="X805" s="263"/>
      <c r="Y805" s="575"/>
      <c r="Z805" s="575"/>
      <c r="AA805" s="576">
        <f t="shared" si="66"/>
        <v>0</v>
      </c>
      <c r="AB805" s="722"/>
    </row>
    <row r="806" spans="1:28" ht="15.75" customHeight="1" x14ac:dyDescent="0.35">
      <c r="A806" s="98" t="s">
        <v>3013</v>
      </c>
      <c r="C806" s="83">
        <v>43815</v>
      </c>
      <c r="D806" s="112">
        <v>43859</v>
      </c>
      <c r="E806" s="570"/>
      <c r="F806" s="88" t="s">
        <v>3014</v>
      </c>
      <c r="G806" s="88" t="s">
        <v>168</v>
      </c>
      <c r="H806" s="81" t="s">
        <v>220</v>
      </c>
      <c r="I806" s="98" t="s">
        <v>722</v>
      </c>
      <c r="J806" s="75">
        <f t="shared" si="67"/>
        <v>1</v>
      </c>
      <c r="K806" s="76" t="s">
        <v>211</v>
      </c>
      <c r="N806" s="78" t="s">
        <v>17</v>
      </c>
      <c r="Q806" s="78" t="s">
        <v>2097</v>
      </c>
      <c r="R806" s="75">
        <f t="shared" si="68"/>
        <v>1</v>
      </c>
      <c r="S806" s="263" t="s">
        <v>1991</v>
      </c>
      <c r="T806" s="263"/>
      <c r="U806" s="263"/>
      <c r="V806" s="263"/>
      <c r="W806" s="263"/>
      <c r="X806" s="263"/>
      <c r="Y806" s="575"/>
      <c r="Z806" s="575"/>
      <c r="AA806" s="576">
        <f t="shared" si="66"/>
        <v>0</v>
      </c>
      <c r="AB806" s="722"/>
    </row>
    <row r="807" spans="1:28" ht="15.75" customHeight="1" x14ac:dyDescent="0.35">
      <c r="A807" s="98" t="s">
        <v>3017</v>
      </c>
      <c r="C807" s="83">
        <v>43816</v>
      </c>
      <c r="D807" s="112">
        <v>43860</v>
      </c>
      <c r="E807" s="570"/>
      <c r="F807" s="88" t="s">
        <v>3018</v>
      </c>
      <c r="G807" s="88" t="s">
        <v>154</v>
      </c>
      <c r="H807" s="81" t="s">
        <v>220</v>
      </c>
      <c r="I807" s="98" t="s">
        <v>722</v>
      </c>
      <c r="J807" s="75">
        <f t="shared" si="67"/>
        <v>1</v>
      </c>
      <c r="K807" s="76" t="s">
        <v>211</v>
      </c>
      <c r="N807" s="78" t="s">
        <v>18</v>
      </c>
      <c r="Q807" s="78" t="s">
        <v>2097</v>
      </c>
      <c r="R807" s="75">
        <f t="shared" si="68"/>
        <v>1</v>
      </c>
      <c r="S807" s="263" t="s">
        <v>1991</v>
      </c>
      <c r="T807" s="263"/>
      <c r="U807" s="263"/>
      <c r="V807" s="263"/>
      <c r="W807" s="263"/>
      <c r="X807" s="263"/>
      <c r="Y807" s="575"/>
      <c r="Z807" s="575"/>
      <c r="AA807" s="576">
        <f t="shared" si="66"/>
        <v>0</v>
      </c>
      <c r="AB807" s="722"/>
    </row>
    <row r="808" spans="1:28" ht="15.75" customHeight="1" x14ac:dyDescent="0.35">
      <c r="A808" s="98" t="s">
        <v>3023</v>
      </c>
      <c r="C808" s="83">
        <v>43816</v>
      </c>
      <c r="D808" s="112">
        <v>43860</v>
      </c>
      <c r="E808" s="570"/>
      <c r="F808" s="88" t="s">
        <v>3575</v>
      </c>
      <c r="G808" s="88" t="s">
        <v>152</v>
      </c>
      <c r="H808" s="81" t="s">
        <v>220</v>
      </c>
      <c r="I808" s="98" t="s">
        <v>652</v>
      </c>
      <c r="J808" s="75">
        <f t="shared" si="67"/>
        <v>1</v>
      </c>
      <c r="K808" s="76" t="s">
        <v>211</v>
      </c>
      <c r="N808" s="78" t="s">
        <v>17</v>
      </c>
      <c r="Q808" s="78" t="s">
        <v>2097</v>
      </c>
      <c r="R808" s="75">
        <f t="shared" si="68"/>
        <v>1</v>
      </c>
      <c r="S808" s="263" t="s">
        <v>1991</v>
      </c>
      <c r="T808" s="263"/>
      <c r="U808" s="263"/>
      <c r="V808" s="263"/>
      <c r="W808" s="263"/>
      <c r="X808" s="263"/>
      <c r="Y808" s="575"/>
      <c r="Z808" s="575"/>
      <c r="AA808" s="576">
        <f t="shared" si="66"/>
        <v>0</v>
      </c>
      <c r="AB808" s="722"/>
    </row>
    <row r="809" spans="1:28" ht="15.75" customHeight="1" x14ac:dyDescent="0.35">
      <c r="A809" s="81" t="s">
        <v>3578</v>
      </c>
      <c r="C809" s="83">
        <v>43825</v>
      </c>
      <c r="D809" s="112">
        <v>43857</v>
      </c>
      <c r="E809" s="570"/>
      <c r="F809" s="88" t="s">
        <v>3579</v>
      </c>
      <c r="G809" s="88" t="s">
        <v>154</v>
      </c>
      <c r="H809" s="81" t="s">
        <v>220</v>
      </c>
      <c r="I809" s="98" t="s">
        <v>656</v>
      </c>
      <c r="J809" s="75">
        <f t="shared" ref="J809:J830" si="69">IF(OR(K809="Документы готовы",K809="Запрос в ФО",K809="ЭЗ",K809="РЕШ",K809="РЕШ шаблон"),0.1,IF(OR(K809="ЭЗ согласование",K809="РЕШ согласование"),0.3,IF(OR(K809="ЭЗ согласовано",K809="РЕШ согласовано",K809="РЕШ подписано"),0.6,IF(OR(K809="ЭЗ ПР согласование",K809="РЕШ УВ согласование"),0.9,IF(OR(K809="ЭЗ ПР DONE",K809="РЕШ УВ DONE"),1,0)))))</f>
        <v>1</v>
      </c>
      <c r="K809" s="76" t="s">
        <v>211</v>
      </c>
      <c r="N809" s="78" t="s">
        <v>17</v>
      </c>
      <c r="Q809" s="78" t="s">
        <v>2097</v>
      </c>
      <c r="R809" s="75">
        <f t="shared" ref="R809:R831" si="70">IF(S809="В работе",0.3,IF(S809="Отписано",0.6,IF(S809="На доработку",0.9,IF(S809="Согласовано",1,0))))</f>
        <v>1</v>
      </c>
      <c r="S809" s="263" t="s">
        <v>1991</v>
      </c>
      <c r="T809" s="263"/>
      <c r="U809" s="263"/>
      <c r="V809" s="263"/>
      <c r="W809" s="263"/>
      <c r="X809" s="263"/>
      <c r="Y809" s="575"/>
      <c r="Z809" s="575"/>
      <c r="AA809" s="576">
        <f t="shared" si="66"/>
        <v>0</v>
      </c>
      <c r="AB809" s="722"/>
    </row>
    <row r="810" spans="1:28" ht="15.75" customHeight="1" x14ac:dyDescent="0.35">
      <c r="A810" s="81" t="s">
        <v>3584</v>
      </c>
      <c r="C810" s="83">
        <v>43826</v>
      </c>
      <c r="D810" s="112">
        <v>43858</v>
      </c>
      <c r="E810" s="570"/>
      <c r="F810" s="88" t="s">
        <v>3585</v>
      </c>
      <c r="G810" s="88" t="s">
        <v>168</v>
      </c>
      <c r="H810" s="81" t="s">
        <v>220</v>
      </c>
      <c r="I810" s="98" t="s">
        <v>763</v>
      </c>
      <c r="J810" s="75">
        <f t="shared" si="69"/>
        <v>1</v>
      </c>
      <c r="K810" s="76" t="s">
        <v>211</v>
      </c>
      <c r="N810" s="78" t="s">
        <v>18</v>
      </c>
      <c r="Q810" s="78" t="s">
        <v>2097</v>
      </c>
      <c r="R810" s="75">
        <f t="shared" si="70"/>
        <v>1</v>
      </c>
      <c r="S810" s="263" t="s">
        <v>1991</v>
      </c>
      <c r="T810" s="263"/>
      <c r="U810" s="263"/>
      <c r="V810" s="263"/>
      <c r="W810" s="263"/>
      <c r="X810" s="263"/>
      <c r="Y810" s="575"/>
      <c r="Z810" s="575"/>
      <c r="AA810" s="576">
        <f t="shared" si="66"/>
        <v>0</v>
      </c>
      <c r="AB810" s="722"/>
    </row>
    <row r="811" spans="1:28" ht="15.75" customHeight="1" x14ac:dyDescent="0.35">
      <c r="A811" s="81" t="s">
        <v>3586</v>
      </c>
      <c r="C811" s="83">
        <v>43826</v>
      </c>
      <c r="D811" s="112">
        <v>43858</v>
      </c>
      <c r="E811" s="570"/>
      <c r="F811" s="88" t="s">
        <v>3587</v>
      </c>
      <c r="G811" s="88" t="s">
        <v>3588</v>
      </c>
      <c r="H811" s="81" t="s">
        <v>220</v>
      </c>
      <c r="I811" s="98" t="s">
        <v>1294</v>
      </c>
      <c r="J811" s="75">
        <f t="shared" si="69"/>
        <v>1</v>
      </c>
      <c r="K811" s="76" t="s">
        <v>211</v>
      </c>
      <c r="N811" s="78" t="s">
        <v>19</v>
      </c>
      <c r="Q811" s="78" t="s">
        <v>2097</v>
      </c>
      <c r="R811" s="75">
        <f t="shared" si="70"/>
        <v>1</v>
      </c>
      <c r="S811" s="263" t="s">
        <v>1991</v>
      </c>
      <c r="T811" s="263"/>
      <c r="U811" s="263"/>
      <c r="V811" s="263"/>
      <c r="W811" s="263"/>
      <c r="X811" s="263"/>
      <c r="Y811" s="575"/>
      <c r="Z811" s="575"/>
      <c r="AA811" s="576">
        <f t="shared" si="66"/>
        <v>0</v>
      </c>
      <c r="AB811" s="722"/>
    </row>
    <row r="812" spans="1:28" ht="15.75" customHeight="1" x14ac:dyDescent="0.35">
      <c r="A812" s="81" t="s">
        <v>3589</v>
      </c>
      <c r="C812" s="83">
        <v>43826</v>
      </c>
      <c r="D812" s="112">
        <v>43858</v>
      </c>
      <c r="E812" s="570"/>
      <c r="F812" s="88" t="s">
        <v>3590</v>
      </c>
      <c r="G812" s="88" t="s">
        <v>156</v>
      </c>
      <c r="H812" s="81" t="s">
        <v>220</v>
      </c>
      <c r="I812" s="98" t="s">
        <v>2516</v>
      </c>
      <c r="J812" s="75">
        <f t="shared" si="69"/>
        <v>1</v>
      </c>
      <c r="K812" s="76" t="s">
        <v>211</v>
      </c>
      <c r="N812" s="78" t="s">
        <v>17</v>
      </c>
      <c r="Q812" s="78" t="s">
        <v>2097</v>
      </c>
      <c r="R812" s="75">
        <f t="shared" si="70"/>
        <v>1</v>
      </c>
      <c r="S812" s="263" t="s">
        <v>1991</v>
      </c>
      <c r="T812" s="263"/>
      <c r="U812" s="263"/>
      <c r="V812" s="263"/>
      <c r="W812" s="263"/>
      <c r="X812" s="263"/>
      <c r="Y812" s="575"/>
      <c r="Z812" s="575"/>
      <c r="AA812" s="576">
        <f t="shared" si="66"/>
        <v>0</v>
      </c>
      <c r="AB812" s="722"/>
    </row>
    <row r="813" spans="1:28" ht="15.75" customHeight="1" x14ac:dyDescent="0.35">
      <c r="A813" s="81" t="s">
        <v>3595</v>
      </c>
      <c r="C813" s="83">
        <v>43829</v>
      </c>
      <c r="D813" s="112">
        <v>43859</v>
      </c>
      <c r="E813" s="570"/>
      <c r="F813" s="88" t="s">
        <v>3596</v>
      </c>
      <c r="G813" s="88" t="s">
        <v>154</v>
      </c>
      <c r="H813" s="81" t="s">
        <v>220</v>
      </c>
      <c r="I813" s="98" t="s">
        <v>2516</v>
      </c>
      <c r="J813" s="75">
        <f t="shared" si="69"/>
        <v>1</v>
      </c>
      <c r="K813" s="76" t="s">
        <v>211</v>
      </c>
      <c r="N813" s="78" t="s">
        <v>18</v>
      </c>
      <c r="Q813" s="78" t="s">
        <v>2097</v>
      </c>
      <c r="R813" s="75">
        <f t="shared" si="70"/>
        <v>1</v>
      </c>
      <c r="S813" s="263" t="s">
        <v>1991</v>
      </c>
      <c r="T813" s="263"/>
      <c r="U813" s="263"/>
      <c r="V813" s="263"/>
      <c r="W813" s="263"/>
      <c r="X813" s="263"/>
      <c r="Y813" s="575"/>
      <c r="Z813" s="575"/>
      <c r="AA813" s="576">
        <f t="shared" si="66"/>
        <v>0</v>
      </c>
      <c r="AB813" s="722"/>
    </row>
    <row r="814" spans="1:28" ht="15.75" customHeight="1" x14ac:dyDescent="0.35">
      <c r="A814" s="81" t="s">
        <v>3597</v>
      </c>
      <c r="C814" s="83">
        <v>43829</v>
      </c>
      <c r="D814" s="112">
        <v>43859</v>
      </c>
      <c r="E814" s="570"/>
      <c r="F814" s="88" t="s">
        <v>3598</v>
      </c>
      <c r="G814" s="88" t="s">
        <v>160</v>
      </c>
      <c r="H814" s="81" t="s">
        <v>220</v>
      </c>
      <c r="I814" s="98" t="s">
        <v>665</v>
      </c>
      <c r="J814" s="75">
        <f t="shared" si="69"/>
        <v>1</v>
      </c>
      <c r="K814" s="76" t="s">
        <v>211</v>
      </c>
      <c r="L814" s="99" t="s">
        <v>3729</v>
      </c>
      <c r="Q814" s="78" t="s">
        <v>2097</v>
      </c>
      <c r="R814" s="75">
        <f t="shared" si="70"/>
        <v>1</v>
      </c>
      <c r="S814" s="263" t="s">
        <v>1991</v>
      </c>
      <c r="T814" s="263"/>
      <c r="U814" s="263"/>
      <c r="V814" s="263"/>
      <c r="W814" s="263"/>
      <c r="X814" s="263"/>
      <c r="Y814" s="575"/>
      <c r="Z814" s="575"/>
      <c r="AA814" s="576">
        <f t="shared" si="66"/>
        <v>0</v>
      </c>
      <c r="AB814" s="722"/>
    </row>
    <row r="815" spans="1:28" ht="15.75" customHeight="1" x14ac:dyDescent="0.35">
      <c r="A815" s="81" t="s">
        <v>3599</v>
      </c>
      <c r="C815" s="83">
        <v>43839</v>
      </c>
      <c r="D815" s="112">
        <v>43861</v>
      </c>
      <c r="E815" s="570"/>
      <c r="F815" s="88" t="s">
        <v>3600</v>
      </c>
      <c r="G815" s="88" t="s">
        <v>154</v>
      </c>
      <c r="H815" s="81" t="s">
        <v>220</v>
      </c>
      <c r="I815" s="98" t="s">
        <v>3741</v>
      </c>
      <c r="J815" s="75">
        <f t="shared" si="69"/>
        <v>1</v>
      </c>
      <c r="K815" s="76" t="s">
        <v>211</v>
      </c>
      <c r="L815" s="99" t="s">
        <v>3742</v>
      </c>
      <c r="N815" s="78" t="s">
        <v>18</v>
      </c>
      <c r="Q815" s="78" t="s">
        <v>2097</v>
      </c>
      <c r="R815" s="75">
        <f t="shared" si="70"/>
        <v>1</v>
      </c>
      <c r="S815" s="263" t="s">
        <v>1991</v>
      </c>
      <c r="T815" s="263"/>
      <c r="U815" s="263"/>
      <c r="V815" s="263"/>
      <c r="W815" s="263"/>
      <c r="X815" s="263"/>
      <c r="Y815" s="575"/>
      <c r="Z815" s="575"/>
      <c r="AA815" s="576">
        <f t="shared" si="66"/>
        <v>0</v>
      </c>
      <c r="AB815" s="722"/>
    </row>
    <row r="816" spans="1:28" ht="15.75" customHeight="1" x14ac:dyDescent="0.35">
      <c r="A816" s="81" t="s">
        <v>3601</v>
      </c>
      <c r="C816" s="83">
        <v>43839</v>
      </c>
      <c r="D816" s="112">
        <v>43861</v>
      </c>
      <c r="E816" s="570"/>
      <c r="F816" s="88" t="s">
        <v>3602</v>
      </c>
      <c r="G816" s="88" t="s">
        <v>152</v>
      </c>
      <c r="H816" s="81" t="s">
        <v>220</v>
      </c>
      <c r="J816" s="75">
        <f t="shared" si="69"/>
        <v>1</v>
      </c>
      <c r="K816" s="76" t="s">
        <v>211</v>
      </c>
      <c r="Q816" s="78" t="s">
        <v>2097</v>
      </c>
      <c r="R816" s="75">
        <f t="shared" si="70"/>
        <v>1</v>
      </c>
      <c r="S816" s="263" t="s">
        <v>1991</v>
      </c>
      <c r="T816" s="263"/>
      <c r="U816" s="263"/>
      <c r="V816" s="263"/>
      <c r="W816" s="263"/>
      <c r="X816" s="263"/>
      <c r="Y816" s="575"/>
      <c r="Z816" s="575"/>
      <c r="AA816" s="576">
        <f t="shared" si="66"/>
        <v>0</v>
      </c>
      <c r="AB816" s="722"/>
    </row>
    <row r="817" spans="1:28" ht="15.75" customHeight="1" x14ac:dyDescent="0.35">
      <c r="A817" s="81" t="s">
        <v>3603</v>
      </c>
      <c r="C817" s="83">
        <v>43839</v>
      </c>
      <c r="D817" s="112">
        <v>43860</v>
      </c>
      <c r="E817" s="570"/>
      <c r="F817" s="88" t="s">
        <v>3604</v>
      </c>
      <c r="G817" s="88" t="s">
        <v>156</v>
      </c>
      <c r="H817" s="81" t="s">
        <v>220</v>
      </c>
      <c r="I817" s="98" t="s">
        <v>3895</v>
      </c>
      <c r="J817" s="75">
        <f t="shared" si="69"/>
        <v>1</v>
      </c>
      <c r="K817" s="76" t="s">
        <v>211</v>
      </c>
      <c r="L817" s="99" t="s">
        <v>3896</v>
      </c>
      <c r="N817" s="78" t="s">
        <v>18</v>
      </c>
      <c r="Q817" s="78" t="s">
        <v>2097</v>
      </c>
      <c r="R817" s="75">
        <f t="shared" si="70"/>
        <v>1</v>
      </c>
      <c r="S817" s="263" t="s">
        <v>1991</v>
      </c>
      <c r="T817" s="263"/>
      <c r="U817" s="263"/>
      <c r="V817" s="263"/>
      <c r="W817" s="263"/>
      <c r="X817" s="263"/>
      <c r="Y817" s="575"/>
      <c r="Z817" s="575"/>
      <c r="AA817" s="576">
        <f t="shared" si="66"/>
        <v>0</v>
      </c>
      <c r="AB817" s="722"/>
    </row>
    <row r="818" spans="1:28" ht="15.75" customHeight="1" x14ac:dyDescent="0.35">
      <c r="A818" s="98" t="s">
        <v>3605</v>
      </c>
      <c r="C818" s="83">
        <v>43805</v>
      </c>
      <c r="D818" s="112">
        <v>43858</v>
      </c>
      <c r="E818" s="570"/>
      <c r="F818" s="88" t="s">
        <v>3341</v>
      </c>
      <c r="G818" s="88" t="s">
        <v>162</v>
      </c>
      <c r="H818" s="81" t="s">
        <v>220</v>
      </c>
      <c r="I818" s="98" t="s">
        <v>1122</v>
      </c>
      <c r="J818" s="75">
        <f t="shared" si="69"/>
        <v>1</v>
      </c>
      <c r="K818" s="76" t="s">
        <v>211</v>
      </c>
      <c r="N818" s="78" t="s">
        <v>18</v>
      </c>
      <c r="Q818" s="78" t="s">
        <v>2056</v>
      </c>
      <c r="R818" s="75">
        <f t="shared" si="70"/>
        <v>1</v>
      </c>
      <c r="S818" s="263" t="s">
        <v>1991</v>
      </c>
      <c r="T818" s="263"/>
      <c r="U818" s="263"/>
      <c r="V818" s="263"/>
      <c r="W818" s="263"/>
      <c r="X818" s="263"/>
      <c r="Y818" s="575"/>
      <c r="Z818" s="575"/>
      <c r="AA818" s="576">
        <f t="shared" si="66"/>
        <v>0</v>
      </c>
      <c r="AB818" s="722"/>
    </row>
    <row r="819" spans="1:28" ht="15.75" customHeight="1" x14ac:dyDescent="0.35">
      <c r="A819" s="98" t="s">
        <v>3606</v>
      </c>
      <c r="C819" s="83">
        <v>43815</v>
      </c>
      <c r="D819" s="112">
        <v>43859</v>
      </c>
      <c r="E819" s="570"/>
      <c r="F819" s="88" t="s">
        <v>3607</v>
      </c>
      <c r="G819" s="88" t="s">
        <v>152</v>
      </c>
      <c r="H819" s="81" t="s">
        <v>220</v>
      </c>
      <c r="I819" s="98" t="s">
        <v>722</v>
      </c>
      <c r="J819" s="75">
        <f t="shared" si="69"/>
        <v>1</v>
      </c>
      <c r="K819" s="76" t="s">
        <v>211</v>
      </c>
      <c r="N819" s="78" t="s">
        <v>17</v>
      </c>
      <c r="Q819" s="78" t="s">
        <v>2056</v>
      </c>
      <c r="R819" s="75">
        <f t="shared" si="70"/>
        <v>1</v>
      </c>
      <c r="S819" s="263" t="s">
        <v>1991</v>
      </c>
      <c r="T819" s="263"/>
      <c r="U819" s="263"/>
      <c r="V819" s="263"/>
      <c r="W819" s="263"/>
      <c r="X819" s="263"/>
      <c r="Y819" s="575"/>
      <c r="Z819" s="575"/>
      <c r="AA819" s="576">
        <f t="shared" si="66"/>
        <v>0</v>
      </c>
      <c r="AB819" s="722"/>
    </row>
    <row r="820" spans="1:28" ht="15.75" customHeight="1" x14ac:dyDescent="0.35">
      <c r="A820" s="98" t="s">
        <v>3608</v>
      </c>
      <c r="C820" s="83">
        <v>43815</v>
      </c>
      <c r="D820" s="112">
        <v>43859</v>
      </c>
      <c r="E820" s="570"/>
      <c r="F820" s="88" t="s">
        <v>3609</v>
      </c>
      <c r="G820" s="88" t="s">
        <v>152</v>
      </c>
      <c r="H820" s="81" t="s">
        <v>220</v>
      </c>
      <c r="I820" s="98" t="s">
        <v>648</v>
      </c>
      <c r="J820" s="75">
        <f t="shared" si="69"/>
        <v>1</v>
      </c>
      <c r="K820" s="76" t="s">
        <v>211</v>
      </c>
      <c r="N820" s="78" t="s">
        <v>17</v>
      </c>
      <c r="Q820" s="78" t="s">
        <v>2056</v>
      </c>
      <c r="R820" s="75">
        <f t="shared" si="70"/>
        <v>1</v>
      </c>
      <c r="S820" s="263" t="s">
        <v>1991</v>
      </c>
      <c r="T820" s="263"/>
      <c r="U820" s="263"/>
      <c r="V820" s="263"/>
      <c r="W820" s="263"/>
      <c r="X820" s="263"/>
      <c r="Y820" s="575"/>
      <c r="Z820" s="575"/>
      <c r="AA820" s="576">
        <f t="shared" si="66"/>
        <v>0</v>
      </c>
      <c r="AB820" s="722"/>
    </row>
    <row r="821" spans="1:28" ht="15.75" customHeight="1" x14ac:dyDescent="0.35">
      <c r="A821" s="98" t="s">
        <v>3076</v>
      </c>
      <c r="C821" s="83">
        <v>43815</v>
      </c>
      <c r="D821" s="112">
        <v>43858</v>
      </c>
      <c r="E821" s="570"/>
      <c r="F821" s="88" t="s">
        <v>3077</v>
      </c>
      <c r="G821" s="88" t="s">
        <v>3078</v>
      </c>
      <c r="H821" s="81" t="s">
        <v>220</v>
      </c>
      <c r="I821" s="98" t="s">
        <v>722</v>
      </c>
      <c r="J821" s="75">
        <f t="shared" si="69"/>
        <v>1</v>
      </c>
      <c r="K821" s="76" t="s">
        <v>211</v>
      </c>
      <c r="N821" s="78" t="s">
        <v>18</v>
      </c>
      <c r="Q821" s="78" t="s">
        <v>2056</v>
      </c>
      <c r="R821" s="75">
        <f t="shared" si="70"/>
        <v>1</v>
      </c>
      <c r="S821" s="263" t="s">
        <v>1991</v>
      </c>
      <c r="T821" s="263"/>
      <c r="U821" s="263"/>
      <c r="V821" s="263"/>
      <c r="W821" s="263"/>
      <c r="X821" s="263"/>
      <c r="Y821" s="575"/>
      <c r="Z821" s="575"/>
      <c r="AA821" s="576">
        <f t="shared" si="66"/>
        <v>0</v>
      </c>
      <c r="AB821" s="722"/>
    </row>
    <row r="822" spans="1:28" ht="15.75" customHeight="1" x14ac:dyDescent="0.35">
      <c r="A822" s="98" t="s">
        <v>3083</v>
      </c>
      <c r="C822" s="83">
        <v>43816</v>
      </c>
      <c r="D822" s="112">
        <v>43859</v>
      </c>
      <c r="E822" s="570"/>
      <c r="F822" s="88" t="s">
        <v>3084</v>
      </c>
      <c r="G822" s="88" t="s">
        <v>158</v>
      </c>
      <c r="H822" s="81" t="s">
        <v>220</v>
      </c>
      <c r="I822" s="98" t="s">
        <v>648</v>
      </c>
      <c r="J822" s="75">
        <f t="shared" si="69"/>
        <v>1</v>
      </c>
      <c r="K822" s="76" t="s">
        <v>211</v>
      </c>
      <c r="N822" s="78" t="s">
        <v>17</v>
      </c>
      <c r="Q822" s="78" t="s">
        <v>2056</v>
      </c>
      <c r="R822" s="75">
        <f t="shared" si="70"/>
        <v>1</v>
      </c>
      <c r="S822" s="263" t="s">
        <v>1991</v>
      </c>
      <c r="T822" s="263"/>
      <c r="U822" s="263"/>
      <c r="V822" s="263"/>
      <c r="W822" s="263"/>
      <c r="X822" s="263"/>
      <c r="Y822" s="575"/>
      <c r="Z822" s="575"/>
      <c r="AA822" s="576">
        <f t="shared" si="66"/>
        <v>0</v>
      </c>
      <c r="AB822" s="722"/>
    </row>
    <row r="823" spans="1:28" ht="15.75" customHeight="1" x14ac:dyDescent="0.35">
      <c r="A823" s="98" t="s">
        <v>3244</v>
      </c>
      <c r="C823" s="83">
        <v>43817</v>
      </c>
      <c r="D823" s="112">
        <v>43861</v>
      </c>
      <c r="E823" s="570"/>
      <c r="F823" s="88" t="s">
        <v>3245</v>
      </c>
      <c r="G823" s="88" t="s">
        <v>158</v>
      </c>
      <c r="H823" s="81" t="s">
        <v>220</v>
      </c>
      <c r="I823" s="98" t="s">
        <v>722</v>
      </c>
      <c r="J823" s="75">
        <f t="shared" si="69"/>
        <v>1</v>
      </c>
      <c r="K823" s="76" t="s">
        <v>211</v>
      </c>
      <c r="L823" s="99"/>
      <c r="N823" s="78" t="s">
        <v>17</v>
      </c>
      <c r="Q823" s="78" t="s">
        <v>2056</v>
      </c>
      <c r="R823" s="75">
        <f t="shared" si="70"/>
        <v>1</v>
      </c>
      <c r="S823" s="263" t="s">
        <v>1991</v>
      </c>
      <c r="T823" s="263"/>
      <c r="U823" s="263"/>
      <c r="V823" s="263"/>
      <c r="W823" s="263"/>
      <c r="X823" s="263"/>
      <c r="Y823" s="575"/>
      <c r="Z823" s="575"/>
      <c r="AA823" s="576">
        <f t="shared" si="66"/>
        <v>0</v>
      </c>
      <c r="AB823" s="722"/>
    </row>
    <row r="824" spans="1:28" ht="15.75" customHeight="1" x14ac:dyDescent="0.35">
      <c r="A824" s="98" t="s">
        <v>3089</v>
      </c>
      <c r="C824" s="83">
        <v>43817</v>
      </c>
      <c r="D824" s="112">
        <v>43860</v>
      </c>
      <c r="E824" s="570"/>
      <c r="F824" s="88" t="s">
        <v>3090</v>
      </c>
      <c r="G824" s="88" t="s">
        <v>162</v>
      </c>
      <c r="H824" s="81" t="s">
        <v>220</v>
      </c>
      <c r="I824" s="98" t="s">
        <v>722</v>
      </c>
      <c r="J824" s="75">
        <f t="shared" si="69"/>
        <v>1</v>
      </c>
      <c r="K824" s="76" t="s">
        <v>211</v>
      </c>
      <c r="N824" s="78" t="s">
        <v>17</v>
      </c>
      <c r="Q824" s="78" t="s">
        <v>2056</v>
      </c>
      <c r="R824" s="75">
        <f t="shared" si="70"/>
        <v>1</v>
      </c>
      <c r="S824" s="263" t="s">
        <v>1991</v>
      </c>
      <c r="T824" s="263"/>
      <c r="U824" s="263"/>
      <c r="V824" s="263"/>
      <c r="W824" s="263"/>
      <c r="X824" s="263"/>
      <c r="Y824" s="575"/>
      <c r="Z824" s="575"/>
      <c r="AA824" s="576">
        <f t="shared" si="66"/>
        <v>0</v>
      </c>
      <c r="AB824" s="722"/>
    </row>
    <row r="825" spans="1:28" ht="15.75" customHeight="1" x14ac:dyDescent="0.35">
      <c r="A825" s="81" t="s">
        <v>3095</v>
      </c>
      <c r="C825" s="83">
        <v>43817</v>
      </c>
      <c r="D825" s="112">
        <v>43860</v>
      </c>
      <c r="E825" s="570"/>
      <c r="F825" s="88" t="s">
        <v>3096</v>
      </c>
      <c r="G825" s="88" t="s">
        <v>176</v>
      </c>
      <c r="H825" s="81" t="s">
        <v>220</v>
      </c>
      <c r="I825" s="98" t="s">
        <v>722</v>
      </c>
      <c r="J825" s="75">
        <f t="shared" si="69"/>
        <v>1</v>
      </c>
      <c r="K825" s="76" t="s">
        <v>211</v>
      </c>
      <c r="N825" s="78" t="s">
        <v>18</v>
      </c>
      <c r="Q825" s="78" t="s">
        <v>2056</v>
      </c>
      <c r="R825" s="75">
        <f t="shared" si="70"/>
        <v>1</v>
      </c>
      <c r="S825" s="263" t="s">
        <v>1991</v>
      </c>
      <c r="T825" s="263"/>
      <c r="U825" s="263"/>
      <c r="V825" s="263"/>
      <c r="W825" s="263"/>
      <c r="X825" s="263"/>
      <c r="Y825" s="575"/>
      <c r="Z825" s="575"/>
      <c r="AA825" s="576">
        <f t="shared" si="66"/>
        <v>0</v>
      </c>
      <c r="AB825" s="722"/>
    </row>
    <row r="826" spans="1:28" ht="15.75" customHeight="1" x14ac:dyDescent="0.35">
      <c r="A826" s="98" t="s">
        <v>3610</v>
      </c>
      <c r="C826" s="83">
        <v>43826</v>
      </c>
      <c r="D826" s="112">
        <v>43858</v>
      </c>
      <c r="E826" s="570"/>
      <c r="F826" s="88" t="s">
        <v>3611</v>
      </c>
      <c r="G826" s="88" t="s">
        <v>154</v>
      </c>
      <c r="H826" s="81" t="s">
        <v>220</v>
      </c>
      <c r="I826" s="98" t="s">
        <v>2215</v>
      </c>
      <c r="J826" s="75">
        <f t="shared" si="69"/>
        <v>1</v>
      </c>
      <c r="K826" s="76" t="s">
        <v>211</v>
      </c>
      <c r="N826" s="78" t="s">
        <v>17</v>
      </c>
      <c r="Q826" s="78" t="s">
        <v>2056</v>
      </c>
      <c r="R826" s="75">
        <f t="shared" si="70"/>
        <v>1</v>
      </c>
      <c r="S826" s="263" t="s">
        <v>1991</v>
      </c>
      <c r="T826" s="263"/>
      <c r="U826" s="263"/>
      <c r="V826" s="263"/>
      <c r="W826" s="263"/>
      <c r="X826" s="263"/>
      <c r="Y826" s="575"/>
      <c r="Z826" s="575"/>
      <c r="AA826" s="576">
        <f t="shared" si="66"/>
        <v>0</v>
      </c>
      <c r="AB826" s="722"/>
    </row>
    <row r="827" spans="1:28" ht="15.75" customHeight="1" x14ac:dyDescent="0.35">
      <c r="A827" s="98" t="s">
        <v>3614</v>
      </c>
      <c r="C827" s="83">
        <v>43826</v>
      </c>
      <c r="D827" s="112">
        <v>43858</v>
      </c>
      <c r="E827" s="570"/>
      <c r="F827" s="88" t="s">
        <v>3615</v>
      </c>
      <c r="G827" s="88" t="s">
        <v>162</v>
      </c>
      <c r="H827" s="81" t="s">
        <v>220</v>
      </c>
      <c r="I827" s="98" t="s">
        <v>2516</v>
      </c>
      <c r="J827" s="75">
        <f t="shared" si="69"/>
        <v>1</v>
      </c>
      <c r="K827" s="76" t="s">
        <v>211</v>
      </c>
      <c r="N827" s="78" t="s">
        <v>17</v>
      </c>
      <c r="Q827" s="78" t="s">
        <v>2056</v>
      </c>
      <c r="R827" s="75">
        <f t="shared" si="70"/>
        <v>1</v>
      </c>
      <c r="S827" s="263" t="s">
        <v>1991</v>
      </c>
      <c r="T827" s="263"/>
      <c r="U827" s="263"/>
      <c r="V827" s="263"/>
      <c r="W827" s="263"/>
      <c r="X827" s="263"/>
      <c r="Y827" s="575"/>
      <c r="Z827" s="575"/>
      <c r="AA827" s="576">
        <f t="shared" si="66"/>
        <v>0</v>
      </c>
      <c r="AB827" s="722"/>
    </row>
    <row r="828" spans="1:28" ht="15.75" customHeight="1" x14ac:dyDescent="0.35">
      <c r="A828" s="98" t="s">
        <v>3622</v>
      </c>
      <c r="C828" s="83">
        <v>43830</v>
      </c>
      <c r="D828" s="112">
        <v>43859</v>
      </c>
      <c r="E828" s="570"/>
      <c r="F828" s="88" t="s">
        <v>3623</v>
      </c>
      <c r="G828" s="88" t="s">
        <v>158</v>
      </c>
      <c r="H828" s="81" t="s">
        <v>220</v>
      </c>
      <c r="I828" s="98" t="s">
        <v>1004</v>
      </c>
      <c r="J828" s="75">
        <f t="shared" si="69"/>
        <v>1</v>
      </c>
      <c r="K828" s="76" t="s">
        <v>211</v>
      </c>
      <c r="L828" s="99" t="s">
        <v>3730</v>
      </c>
      <c r="N828" s="78" t="s">
        <v>19</v>
      </c>
      <c r="Q828" s="78" t="s">
        <v>2056</v>
      </c>
      <c r="R828" s="75">
        <f t="shared" si="70"/>
        <v>1</v>
      </c>
      <c r="S828" s="263" t="s">
        <v>1991</v>
      </c>
      <c r="T828" s="263"/>
      <c r="U828" s="263"/>
      <c r="V828" s="263"/>
      <c r="W828" s="263"/>
      <c r="X828" s="263"/>
      <c r="Y828" s="575"/>
      <c r="Z828" s="575"/>
      <c r="AA828" s="576">
        <f t="shared" si="66"/>
        <v>0</v>
      </c>
      <c r="AB828" s="722"/>
    </row>
    <row r="829" spans="1:28" ht="15.75" customHeight="1" x14ac:dyDescent="0.35">
      <c r="A829" s="81" t="s">
        <v>3626</v>
      </c>
      <c r="C829" s="83">
        <v>43839</v>
      </c>
      <c r="D829" s="112">
        <v>43861</v>
      </c>
      <c r="E829" s="570"/>
      <c r="F829" s="88" t="s">
        <v>3627</v>
      </c>
      <c r="G829" s="88" t="s">
        <v>170</v>
      </c>
      <c r="H829" s="81" t="s">
        <v>275</v>
      </c>
      <c r="I829" s="98" t="s">
        <v>3739</v>
      </c>
      <c r="J829" s="75">
        <f t="shared" si="69"/>
        <v>1</v>
      </c>
      <c r="K829" s="76" t="s">
        <v>211</v>
      </c>
      <c r="N829" s="78" t="s">
        <v>17</v>
      </c>
      <c r="Q829" s="78" t="s">
        <v>2056</v>
      </c>
      <c r="R829" s="75">
        <f t="shared" si="70"/>
        <v>1</v>
      </c>
      <c r="S829" s="263" t="s">
        <v>1991</v>
      </c>
      <c r="T829" s="263"/>
      <c r="U829" s="263"/>
      <c r="V829" s="263"/>
      <c r="W829" s="263"/>
      <c r="X829" s="263"/>
      <c r="Y829" s="575"/>
      <c r="Z829" s="575"/>
      <c r="AA829" s="576">
        <f t="shared" si="66"/>
        <v>0</v>
      </c>
      <c r="AB829" s="722"/>
    </row>
    <row r="830" spans="1:28" ht="15.75" customHeight="1" x14ac:dyDescent="0.35">
      <c r="A830" s="81" t="s">
        <v>3628</v>
      </c>
      <c r="C830" s="83">
        <v>43839</v>
      </c>
      <c r="D830" s="112">
        <v>43860</v>
      </c>
      <c r="E830" s="570"/>
      <c r="F830" s="88" t="s">
        <v>3629</v>
      </c>
      <c r="G830" s="88" t="s">
        <v>152</v>
      </c>
      <c r="H830" s="81" t="s">
        <v>220</v>
      </c>
      <c r="I830" s="98" t="s">
        <v>3221</v>
      </c>
      <c r="J830" s="75">
        <f t="shared" si="69"/>
        <v>1</v>
      </c>
      <c r="K830" s="76" t="s">
        <v>211</v>
      </c>
      <c r="L830" s="99" t="s">
        <v>4767</v>
      </c>
      <c r="N830" s="78" t="s">
        <v>17</v>
      </c>
      <c r="Q830" s="78" t="s">
        <v>2056</v>
      </c>
      <c r="R830" s="75">
        <f t="shared" si="70"/>
        <v>1</v>
      </c>
      <c r="S830" s="263" t="s">
        <v>1991</v>
      </c>
      <c r="T830" s="263"/>
      <c r="U830" s="263"/>
      <c r="V830" s="263"/>
      <c r="W830" s="263"/>
      <c r="X830" s="263"/>
      <c r="Y830" s="575"/>
      <c r="Z830" s="575"/>
      <c r="AA830" s="576">
        <f t="shared" si="66"/>
        <v>0</v>
      </c>
      <c r="AB830" s="722"/>
    </row>
    <row r="831" spans="1:28" ht="15.75" customHeight="1" x14ac:dyDescent="0.35">
      <c r="A831" s="81" t="s">
        <v>3630</v>
      </c>
      <c r="C831" s="83">
        <v>43839</v>
      </c>
      <c r="D831" s="112">
        <v>43861</v>
      </c>
      <c r="E831" s="570"/>
      <c r="F831" s="88" t="s">
        <v>3631</v>
      </c>
      <c r="G831" s="88" t="s">
        <v>156</v>
      </c>
      <c r="H831" s="81" t="s">
        <v>220</v>
      </c>
      <c r="I831" s="98" t="s">
        <v>730</v>
      </c>
      <c r="J831" s="75">
        <f t="shared" ref="J831:J858" si="71">IF(OR(K831="Документы готовы",K831="Запрос в ФО",K831="ЭЗ",K831="РЕШ",K831="РЕШ шаблон"),0.1,IF(OR(K831="ЭЗ согласование",K831="РЕШ согласование"),0.3,IF(OR(K831="ЭЗ согласовано",K831="РЕШ согласовано",K831="РЕШ подписано"),0.6,IF(OR(K831="ЭЗ ПР согласование",K831="РЕШ УВ согласование"),0.9,IF(OR(K831="ЭЗ ПР DONE",K831="РЕШ УВ DONE"),1,0)))))</f>
        <v>1</v>
      </c>
      <c r="K831" s="76" t="s">
        <v>211</v>
      </c>
      <c r="L831" s="99"/>
      <c r="N831" s="78" t="s">
        <v>18</v>
      </c>
      <c r="Q831" s="78" t="s">
        <v>2056</v>
      </c>
      <c r="R831" s="75">
        <f t="shared" si="70"/>
        <v>1</v>
      </c>
      <c r="S831" s="263" t="s">
        <v>1991</v>
      </c>
      <c r="T831" s="263"/>
      <c r="U831" s="263"/>
      <c r="V831" s="263"/>
      <c r="W831" s="263"/>
      <c r="X831" s="263"/>
      <c r="Y831" s="575"/>
      <c r="Z831" s="575"/>
      <c r="AA831" s="576">
        <f t="shared" si="66"/>
        <v>0</v>
      </c>
      <c r="AB831" s="722"/>
    </row>
    <row r="832" spans="1:28" ht="15.75" customHeight="1" x14ac:dyDescent="0.35">
      <c r="A832" s="81" t="s">
        <v>3632</v>
      </c>
      <c r="C832" s="83">
        <v>43839</v>
      </c>
      <c r="D832" s="112">
        <v>43861</v>
      </c>
      <c r="E832" s="570"/>
      <c r="F832" s="88" t="s">
        <v>3633</v>
      </c>
      <c r="G832" s="88" t="s">
        <v>154</v>
      </c>
      <c r="H832" s="81" t="s">
        <v>220</v>
      </c>
      <c r="I832" s="98" t="s">
        <v>629</v>
      </c>
      <c r="J832" s="75">
        <f t="shared" si="71"/>
        <v>1</v>
      </c>
      <c r="K832" s="76" t="s">
        <v>211</v>
      </c>
      <c r="N832" s="78" t="s">
        <v>19</v>
      </c>
      <c r="Q832" s="78" t="s">
        <v>2056</v>
      </c>
      <c r="R832" s="75">
        <f t="shared" ref="R832:R858" si="72">IF(S832="В работе",0.3,IF(S832="Отписано",0.6,IF(S832="На доработку",0.9,IF(S832="Согласовано",1,0))))</f>
        <v>1</v>
      </c>
      <c r="S832" s="263" t="s">
        <v>1991</v>
      </c>
      <c r="T832" s="263"/>
      <c r="U832" s="263"/>
      <c r="V832" s="263"/>
      <c r="W832" s="263"/>
      <c r="X832" s="263"/>
      <c r="Y832" s="575"/>
      <c r="Z832" s="575"/>
      <c r="AA832" s="576">
        <f t="shared" si="66"/>
        <v>0</v>
      </c>
      <c r="AB832" s="722"/>
    </row>
    <row r="833" spans="1:28" ht="15.75" customHeight="1" x14ac:dyDescent="0.35">
      <c r="A833" s="81" t="s">
        <v>3154</v>
      </c>
      <c r="C833" s="83">
        <v>43812</v>
      </c>
      <c r="D833" s="112">
        <v>43857</v>
      </c>
      <c r="E833" s="570"/>
      <c r="F833" s="88" t="s">
        <v>3155</v>
      </c>
      <c r="G833" s="88" t="s">
        <v>152</v>
      </c>
      <c r="H833" s="81" t="s">
        <v>220</v>
      </c>
      <c r="I833" s="98" t="s">
        <v>652</v>
      </c>
      <c r="J833" s="75">
        <f t="shared" si="71"/>
        <v>1</v>
      </c>
      <c r="K833" s="76" t="s">
        <v>211</v>
      </c>
      <c r="N833" s="78" t="s">
        <v>18</v>
      </c>
      <c r="Q833" s="78" t="s">
        <v>2130</v>
      </c>
      <c r="R833" s="75">
        <f t="shared" si="72"/>
        <v>1</v>
      </c>
      <c r="S833" s="263" t="s">
        <v>1991</v>
      </c>
      <c r="T833" s="263"/>
      <c r="U833" s="263"/>
      <c r="V833" s="263"/>
      <c r="W833" s="263"/>
      <c r="X833" s="263"/>
      <c r="Y833" s="575"/>
      <c r="Z833" s="575"/>
      <c r="AA833" s="576">
        <f t="shared" si="66"/>
        <v>0</v>
      </c>
      <c r="AB833" s="722"/>
    </row>
    <row r="834" spans="1:28" ht="15.75" customHeight="1" x14ac:dyDescent="0.35">
      <c r="A834" s="81" t="s">
        <v>3156</v>
      </c>
      <c r="C834" s="83">
        <v>43812</v>
      </c>
      <c r="D834" s="112">
        <v>43857</v>
      </c>
      <c r="E834" s="570"/>
      <c r="F834" s="88" t="s">
        <v>3157</v>
      </c>
      <c r="G834" s="88" t="s">
        <v>149</v>
      </c>
      <c r="H834" s="81" t="s">
        <v>220</v>
      </c>
      <c r="I834" s="98" t="s">
        <v>722</v>
      </c>
      <c r="J834" s="75">
        <f t="shared" si="71"/>
        <v>1</v>
      </c>
      <c r="K834" s="76" t="s">
        <v>211</v>
      </c>
      <c r="N834" s="78" t="s">
        <v>18</v>
      </c>
      <c r="Q834" s="78" t="s">
        <v>2130</v>
      </c>
      <c r="R834" s="75">
        <f t="shared" si="72"/>
        <v>1</v>
      </c>
      <c r="S834" s="263" t="s">
        <v>1991</v>
      </c>
      <c r="T834" s="263"/>
      <c r="U834" s="263"/>
      <c r="V834" s="263"/>
      <c r="W834" s="263"/>
      <c r="X834" s="263"/>
      <c r="Y834" s="575"/>
      <c r="Z834" s="575"/>
      <c r="AA834" s="576">
        <f t="shared" ref="AA834:AA896" si="73">Z834-Y834</f>
        <v>0</v>
      </c>
      <c r="AB834" s="722"/>
    </row>
    <row r="835" spans="1:28" ht="15.75" customHeight="1" x14ac:dyDescent="0.35">
      <c r="A835" s="81" t="s">
        <v>3160</v>
      </c>
      <c r="C835" s="83">
        <v>43812</v>
      </c>
      <c r="D835" s="112">
        <v>43858</v>
      </c>
      <c r="E835" s="570"/>
      <c r="F835" s="88" t="s">
        <v>3161</v>
      </c>
      <c r="G835" s="88" t="s">
        <v>158</v>
      </c>
      <c r="H835" s="81" t="s">
        <v>220</v>
      </c>
      <c r="I835" s="98" t="s">
        <v>722</v>
      </c>
      <c r="J835" s="75">
        <f t="shared" si="71"/>
        <v>1</v>
      </c>
      <c r="K835" s="76" t="s">
        <v>211</v>
      </c>
      <c r="N835" s="78" t="s">
        <v>18</v>
      </c>
      <c r="Q835" s="78" t="s">
        <v>2130</v>
      </c>
      <c r="R835" s="75">
        <f t="shared" si="72"/>
        <v>1</v>
      </c>
      <c r="S835" s="263" t="s">
        <v>1991</v>
      </c>
      <c r="T835" s="263"/>
      <c r="U835" s="263"/>
      <c r="V835" s="263"/>
      <c r="W835" s="263"/>
      <c r="X835" s="263"/>
      <c r="Y835" s="575"/>
      <c r="Z835" s="575"/>
      <c r="AA835" s="576">
        <f t="shared" si="73"/>
        <v>0</v>
      </c>
      <c r="AB835" s="722"/>
    </row>
    <row r="836" spans="1:28" ht="15.75" customHeight="1" x14ac:dyDescent="0.35">
      <c r="A836" s="81" t="s">
        <v>3162</v>
      </c>
      <c r="C836" s="83">
        <v>43812</v>
      </c>
      <c r="D836" s="112">
        <v>43858</v>
      </c>
      <c r="E836" s="570"/>
      <c r="F836" s="88" t="s">
        <v>3163</v>
      </c>
      <c r="G836" s="88" t="s">
        <v>191</v>
      </c>
      <c r="H836" s="81" t="s">
        <v>220</v>
      </c>
      <c r="I836" s="98" t="s">
        <v>648</v>
      </c>
      <c r="J836" s="75">
        <f t="shared" si="71"/>
        <v>1</v>
      </c>
      <c r="K836" s="76" t="s">
        <v>211</v>
      </c>
      <c r="N836" s="78" t="s">
        <v>17</v>
      </c>
      <c r="Q836" s="78" t="s">
        <v>2130</v>
      </c>
      <c r="R836" s="75">
        <f t="shared" si="72"/>
        <v>1</v>
      </c>
      <c r="S836" s="263" t="s">
        <v>1991</v>
      </c>
      <c r="T836" s="263"/>
      <c r="U836" s="263"/>
      <c r="V836" s="263"/>
      <c r="W836" s="263"/>
      <c r="X836" s="263"/>
      <c r="Y836" s="575"/>
      <c r="Z836" s="575"/>
      <c r="AA836" s="576">
        <f t="shared" si="73"/>
        <v>0</v>
      </c>
      <c r="AB836" s="722"/>
    </row>
    <row r="837" spans="1:28" ht="15.75" customHeight="1" x14ac:dyDescent="0.35">
      <c r="A837" s="98" t="s">
        <v>3168</v>
      </c>
      <c r="C837" s="83">
        <v>43815</v>
      </c>
      <c r="D837" s="112">
        <v>43859</v>
      </c>
      <c r="E837" s="570"/>
      <c r="F837" s="88" t="s">
        <v>3169</v>
      </c>
      <c r="G837" s="88" t="s">
        <v>158</v>
      </c>
      <c r="H837" s="81" t="s">
        <v>220</v>
      </c>
      <c r="I837" s="98" t="s">
        <v>648</v>
      </c>
      <c r="J837" s="75">
        <f t="shared" si="71"/>
        <v>1</v>
      </c>
      <c r="K837" s="76" t="s">
        <v>211</v>
      </c>
      <c r="N837" s="78" t="s">
        <v>17</v>
      </c>
      <c r="Q837" s="78" t="s">
        <v>2130</v>
      </c>
      <c r="R837" s="75">
        <f t="shared" si="72"/>
        <v>1</v>
      </c>
      <c r="S837" s="263" t="s">
        <v>1991</v>
      </c>
      <c r="T837" s="263"/>
      <c r="U837" s="263"/>
      <c r="V837" s="263"/>
      <c r="W837" s="263"/>
      <c r="X837" s="263"/>
      <c r="Y837" s="575"/>
      <c r="Z837" s="575"/>
      <c r="AA837" s="576">
        <f t="shared" si="73"/>
        <v>0</v>
      </c>
      <c r="AB837" s="722"/>
    </row>
    <row r="838" spans="1:28" ht="15.75" customHeight="1" x14ac:dyDescent="0.35">
      <c r="A838" s="98" t="s">
        <v>3170</v>
      </c>
      <c r="C838" s="83">
        <v>43815</v>
      </c>
      <c r="D838" s="112">
        <v>43859</v>
      </c>
      <c r="E838" s="570"/>
      <c r="F838" s="88" t="s">
        <v>3171</v>
      </c>
      <c r="G838" s="88" t="s">
        <v>162</v>
      </c>
      <c r="H838" s="81" t="s">
        <v>220</v>
      </c>
      <c r="I838" s="98" t="s">
        <v>722</v>
      </c>
      <c r="J838" s="75">
        <f t="shared" si="71"/>
        <v>1</v>
      </c>
      <c r="K838" s="76" t="s">
        <v>211</v>
      </c>
      <c r="N838" s="78" t="s">
        <v>17</v>
      </c>
      <c r="Q838" s="78" t="s">
        <v>2130</v>
      </c>
      <c r="R838" s="75">
        <f t="shared" si="72"/>
        <v>1</v>
      </c>
      <c r="S838" s="263" t="s">
        <v>1991</v>
      </c>
      <c r="T838" s="263"/>
      <c r="U838" s="263"/>
      <c r="V838" s="263"/>
      <c r="W838" s="263"/>
      <c r="X838" s="263"/>
      <c r="Y838" s="575"/>
      <c r="Z838" s="575"/>
      <c r="AA838" s="576">
        <f t="shared" si="73"/>
        <v>0</v>
      </c>
      <c r="AB838" s="722"/>
    </row>
    <row r="839" spans="1:28" ht="15.75" customHeight="1" x14ac:dyDescent="0.35">
      <c r="A839" s="98" t="s">
        <v>3172</v>
      </c>
      <c r="C839" s="83">
        <v>43815</v>
      </c>
      <c r="D839" s="112">
        <v>43859</v>
      </c>
      <c r="E839" s="570"/>
      <c r="F839" s="88" t="s">
        <v>3173</v>
      </c>
      <c r="G839" s="88" t="s">
        <v>162</v>
      </c>
      <c r="H839" s="81" t="s">
        <v>220</v>
      </c>
      <c r="I839" s="98" t="s">
        <v>649</v>
      </c>
      <c r="J839" s="75">
        <f t="shared" si="71"/>
        <v>1</v>
      </c>
      <c r="K839" s="76" t="s">
        <v>211</v>
      </c>
      <c r="N839" s="78" t="s">
        <v>18</v>
      </c>
      <c r="Q839" s="78" t="s">
        <v>2130</v>
      </c>
      <c r="R839" s="75">
        <f t="shared" si="72"/>
        <v>1</v>
      </c>
      <c r="S839" s="263" t="s">
        <v>1991</v>
      </c>
      <c r="T839" s="263"/>
      <c r="U839" s="263"/>
      <c r="V839" s="263"/>
      <c r="W839" s="263"/>
      <c r="X839" s="263"/>
      <c r="Y839" s="575"/>
      <c r="Z839" s="575"/>
      <c r="AA839" s="576">
        <f t="shared" si="73"/>
        <v>0</v>
      </c>
      <c r="AB839" s="722"/>
    </row>
    <row r="840" spans="1:28" ht="15.75" customHeight="1" x14ac:dyDescent="0.35">
      <c r="A840" s="98" t="s">
        <v>3634</v>
      </c>
      <c r="C840" s="83">
        <v>43816</v>
      </c>
      <c r="D840" s="112">
        <v>43860</v>
      </c>
      <c r="E840" s="570"/>
      <c r="F840" s="88" t="s">
        <v>3635</v>
      </c>
      <c r="G840" s="88" t="s">
        <v>179</v>
      </c>
      <c r="H840" s="81" t="s">
        <v>220</v>
      </c>
      <c r="I840" s="98" t="s">
        <v>649</v>
      </c>
      <c r="J840" s="75">
        <f t="shared" si="71"/>
        <v>1</v>
      </c>
      <c r="K840" s="76" t="s">
        <v>211</v>
      </c>
      <c r="N840" s="78" t="s">
        <v>18</v>
      </c>
      <c r="Q840" s="78" t="s">
        <v>2130</v>
      </c>
      <c r="R840" s="75">
        <f t="shared" si="72"/>
        <v>1</v>
      </c>
      <c r="S840" s="263" t="s">
        <v>1991</v>
      </c>
      <c r="T840" s="263"/>
      <c r="U840" s="263"/>
      <c r="V840" s="263"/>
      <c r="W840" s="263"/>
      <c r="X840" s="263"/>
      <c r="Y840" s="575"/>
      <c r="Z840" s="575"/>
      <c r="AA840" s="576">
        <f t="shared" si="73"/>
        <v>0</v>
      </c>
      <c r="AB840" s="722"/>
    </row>
    <row r="841" spans="1:28" ht="15.75" customHeight="1" x14ac:dyDescent="0.35">
      <c r="A841" s="98" t="s">
        <v>3387</v>
      </c>
      <c r="C841" s="83">
        <v>43817</v>
      </c>
      <c r="D841" s="112">
        <v>43861</v>
      </c>
      <c r="E841" s="570"/>
      <c r="F841" s="88" t="s">
        <v>3388</v>
      </c>
      <c r="G841" s="88" t="s">
        <v>162</v>
      </c>
      <c r="H841" s="81" t="s">
        <v>220</v>
      </c>
      <c r="I841" s="98" t="s">
        <v>722</v>
      </c>
      <c r="J841" s="75">
        <f t="shared" si="71"/>
        <v>1</v>
      </c>
      <c r="K841" s="76" t="s">
        <v>211</v>
      </c>
      <c r="N841" s="78" t="s">
        <v>18</v>
      </c>
      <c r="Q841" s="78" t="s">
        <v>2130</v>
      </c>
      <c r="R841" s="75">
        <f t="shared" si="72"/>
        <v>1</v>
      </c>
      <c r="S841" s="263" t="s">
        <v>1991</v>
      </c>
      <c r="T841" s="263"/>
      <c r="U841" s="263"/>
      <c r="V841" s="263"/>
      <c r="W841" s="263"/>
      <c r="X841" s="263"/>
      <c r="Y841" s="575"/>
      <c r="Z841" s="575"/>
      <c r="AA841" s="576">
        <f t="shared" si="73"/>
        <v>0</v>
      </c>
      <c r="AB841" s="722"/>
    </row>
    <row r="842" spans="1:28" ht="15.75" customHeight="1" x14ac:dyDescent="0.35">
      <c r="A842" s="98" t="s">
        <v>3389</v>
      </c>
      <c r="C842" s="83">
        <v>43817</v>
      </c>
      <c r="D842" s="112">
        <v>43861</v>
      </c>
      <c r="E842" s="570"/>
      <c r="F842" s="88" t="s">
        <v>3390</v>
      </c>
      <c r="G842" s="88" t="s">
        <v>160</v>
      </c>
      <c r="H842" s="81" t="s">
        <v>220</v>
      </c>
      <c r="I842" s="98" t="s">
        <v>722</v>
      </c>
      <c r="J842" s="75">
        <f t="shared" si="71"/>
        <v>1</v>
      </c>
      <c r="K842" s="76" t="s">
        <v>211</v>
      </c>
      <c r="N842" s="78" t="s">
        <v>18</v>
      </c>
      <c r="Q842" s="78" t="s">
        <v>2130</v>
      </c>
      <c r="R842" s="75">
        <f t="shared" si="72"/>
        <v>1</v>
      </c>
      <c r="S842" s="263" t="s">
        <v>1991</v>
      </c>
      <c r="T842" s="263"/>
      <c r="U842" s="263"/>
      <c r="V842" s="263"/>
      <c r="W842" s="263"/>
      <c r="X842" s="263"/>
      <c r="Y842" s="575"/>
      <c r="Z842" s="575"/>
      <c r="AA842" s="576">
        <f t="shared" si="73"/>
        <v>0</v>
      </c>
      <c r="AB842" s="722"/>
    </row>
    <row r="843" spans="1:28" ht="15.75" customHeight="1" x14ac:dyDescent="0.35">
      <c r="A843" s="81" t="s">
        <v>3648</v>
      </c>
      <c r="C843" s="83">
        <v>43829</v>
      </c>
      <c r="D843" s="112">
        <v>43858</v>
      </c>
      <c r="E843" s="570"/>
      <c r="F843" s="88" t="s">
        <v>3649</v>
      </c>
      <c r="G843" s="88" t="s">
        <v>152</v>
      </c>
      <c r="H843" s="81" t="s">
        <v>220</v>
      </c>
      <c r="I843" s="98" t="s">
        <v>3727</v>
      </c>
      <c r="J843" s="75">
        <f t="shared" si="71"/>
        <v>1</v>
      </c>
      <c r="K843" s="76" t="s">
        <v>211</v>
      </c>
      <c r="N843" s="78" t="s">
        <v>18</v>
      </c>
      <c r="Q843" s="78" t="s">
        <v>2130</v>
      </c>
      <c r="R843" s="75">
        <f t="shared" si="72"/>
        <v>1</v>
      </c>
      <c r="S843" s="263" t="s">
        <v>1991</v>
      </c>
      <c r="T843" s="263"/>
      <c r="U843" s="263"/>
      <c r="V843" s="263"/>
      <c r="W843" s="263"/>
      <c r="X843" s="263"/>
      <c r="Y843" s="575"/>
      <c r="Z843" s="575"/>
      <c r="AA843" s="576">
        <f t="shared" si="73"/>
        <v>0</v>
      </c>
      <c r="AB843" s="722"/>
    </row>
    <row r="844" spans="1:28" ht="15.75" customHeight="1" x14ac:dyDescent="0.35">
      <c r="A844" s="81" t="s">
        <v>3650</v>
      </c>
      <c r="C844" s="83">
        <v>43829</v>
      </c>
      <c r="D844" s="112">
        <v>43858</v>
      </c>
      <c r="E844" s="570"/>
      <c r="F844" s="88" t="s">
        <v>3651</v>
      </c>
      <c r="G844" s="88" t="s">
        <v>152</v>
      </c>
      <c r="H844" s="81" t="s">
        <v>220</v>
      </c>
      <c r="I844" s="98" t="s">
        <v>629</v>
      </c>
      <c r="J844" s="75">
        <f t="shared" si="71"/>
        <v>1</v>
      </c>
      <c r="K844" s="76" t="s">
        <v>211</v>
      </c>
      <c r="N844" s="78" t="s">
        <v>19</v>
      </c>
      <c r="Q844" s="78" t="s">
        <v>2130</v>
      </c>
      <c r="R844" s="75">
        <f t="shared" si="72"/>
        <v>1</v>
      </c>
      <c r="S844" s="263" t="s">
        <v>1991</v>
      </c>
      <c r="T844" s="263"/>
      <c r="U844" s="263"/>
      <c r="V844" s="263"/>
      <c r="W844" s="263"/>
      <c r="X844" s="263"/>
      <c r="Y844" s="575"/>
      <c r="Z844" s="575"/>
      <c r="AA844" s="576">
        <f t="shared" si="73"/>
        <v>0</v>
      </c>
      <c r="AB844" s="722"/>
    </row>
    <row r="845" spans="1:28" ht="15.75" customHeight="1" x14ac:dyDescent="0.35">
      <c r="A845" s="81" t="s">
        <v>3656</v>
      </c>
      <c r="C845" s="83">
        <v>43839</v>
      </c>
      <c r="D845" s="112">
        <v>43860</v>
      </c>
      <c r="E845" s="570"/>
      <c r="F845" s="88" t="s">
        <v>3657</v>
      </c>
      <c r="G845" s="88" t="s">
        <v>160</v>
      </c>
      <c r="H845" s="81" t="s">
        <v>220</v>
      </c>
      <c r="I845" s="98" t="s">
        <v>656</v>
      </c>
      <c r="J845" s="75">
        <f t="shared" si="71"/>
        <v>1</v>
      </c>
      <c r="K845" s="76" t="s">
        <v>211</v>
      </c>
      <c r="N845" s="78" t="s">
        <v>17</v>
      </c>
      <c r="Q845" s="78" t="s">
        <v>2130</v>
      </c>
      <c r="R845" s="75">
        <f t="shared" si="72"/>
        <v>1</v>
      </c>
      <c r="S845" s="263" t="s">
        <v>1991</v>
      </c>
      <c r="T845" s="263"/>
      <c r="U845" s="263"/>
      <c r="V845" s="263"/>
      <c r="W845" s="263"/>
      <c r="X845" s="263"/>
      <c r="Y845" s="575"/>
      <c r="Z845" s="575"/>
      <c r="AA845" s="576">
        <f t="shared" si="73"/>
        <v>0</v>
      </c>
      <c r="AB845" s="722"/>
    </row>
    <row r="846" spans="1:28" ht="15.75" customHeight="1" x14ac:dyDescent="0.35">
      <c r="A846" s="98" t="s">
        <v>3660</v>
      </c>
      <c r="C846" s="83">
        <v>43839</v>
      </c>
      <c r="D846" s="112">
        <v>43861</v>
      </c>
      <c r="E846" s="570"/>
      <c r="F846" s="88" t="s">
        <v>3661</v>
      </c>
      <c r="G846" s="88" t="s">
        <v>158</v>
      </c>
      <c r="H846" s="81" t="s">
        <v>220</v>
      </c>
      <c r="I846" s="98" t="s">
        <v>656</v>
      </c>
      <c r="J846" s="75">
        <f t="shared" si="71"/>
        <v>1</v>
      </c>
      <c r="K846" s="76" t="s">
        <v>211</v>
      </c>
      <c r="N846" s="78" t="s">
        <v>17</v>
      </c>
      <c r="Q846" s="78" t="s">
        <v>2130</v>
      </c>
      <c r="R846" s="75">
        <f t="shared" si="72"/>
        <v>1</v>
      </c>
      <c r="S846" s="263" t="s">
        <v>1991</v>
      </c>
      <c r="T846" s="263"/>
      <c r="U846" s="263"/>
      <c r="V846" s="263"/>
      <c r="W846" s="263"/>
      <c r="X846" s="263"/>
      <c r="Y846" s="575"/>
      <c r="Z846" s="575"/>
      <c r="AA846" s="576">
        <f t="shared" si="73"/>
        <v>0</v>
      </c>
      <c r="AB846" s="722"/>
    </row>
    <row r="847" spans="1:28" ht="15.75" customHeight="1" x14ac:dyDescent="0.35">
      <c r="A847" s="98" t="s">
        <v>3664</v>
      </c>
      <c r="C847" s="83">
        <v>43801</v>
      </c>
      <c r="D847" s="112">
        <v>43859</v>
      </c>
      <c r="E847" s="570"/>
      <c r="F847" s="88" t="s">
        <v>3665</v>
      </c>
      <c r="G847" s="88" t="s">
        <v>158</v>
      </c>
      <c r="H847" s="81" t="s">
        <v>220</v>
      </c>
      <c r="I847" s="98" t="s">
        <v>3731</v>
      </c>
      <c r="J847" s="75">
        <f t="shared" si="71"/>
        <v>1</v>
      </c>
      <c r="K847" s="76" t="s">
        <v>211</v>
      </c>
      <c r="L847" s="99" t="s">
        <v>3732</v>
      </c>
      <c r="N847" s="78" t="s">
        <v>18</v>
      </c>
      <c r="Q847" s="78" t="s">
        <v>2163</v>
      </c>
      <c r="R847" s="75">
        <f t="shared" si="72"/>
        <v>1</v>
      </c>
      <c r="S847" s="263" t="s">
        <v>1991</v>
      </c>
      <c r="T847" s="263"/>
      <c r="U847" s="263"/>
      <c r="V847" s="263"/>
      <c r="W847" s="263"/>
      <c r="X847" s="263"/>
      <c r="Y847" s="575"/>
      <c r="Z847" s="575"/>
      <c r="AA847" s="576">
        <f t="shared" si="73"/>
        <v>0</v>
      </c>
      <c r="AB847" s="722"/>
    </row>
    <row r="848" spans="1:28" ht="15.75" customHeight="1" x14ac:dyDescent="0.35">
      <c r="A848" s="98" t="s">
        <v>2945</v>
      </c>
      <c r="C848" s="83">
        <v>43811</v>
      </c>
      <c r="D848" s="112">
        <v>43857</v>
      </c>
      <c r="E848" s="570"/>
      <c r="F848" s="88" t="s">
        <v>2946</v>
      </c>
      <c r="G848" s="88" t="s">
        <v>154</v>
      </c>
      <c r="H848" s="81" t="s">
        <v>220</v>
      </c>
      <c r="I848" s="98" t="s">
        <v>730</v>
      </c>
      <c r="J848" s="75">
        <f t="shared" si="71"/>
        <v>1</v>
      </c>
      <c r="K848" s="76" t="s">
        <v>211</v>
      </c>
      <c r="N848" s="78" t="s">
        <v>17</v>
      </c>
      <c r="Q848" s="78" t="s">
        <v>2163</v>
      </c>
      <c r="R848" s="75">
        <f t="shared" si="72"/>
        <v>1</v>
      </c>
      <c r="S848" s="263" t="s">
        <v>1991</v>
      </c>
      <c r="T848" s="263"/>
      <c r="U848" s="263"/>
      <c r="V848" s="263"/>
      <c r="W848" s="263"/>
      <c r="X848" s="263"/>
      <c r="Y848" s="575"/>
      <c r="Z848" s="575"/>
      <c r="AA848" s="576">
        <f t="shared" si="73"/>
        <v>0</v>
      </c>
      <c r="AB848" s="722"/>
    </row>
    <row r="849" spans="1:28" ht="15.75" customHeight="1" x14ac:dyDescent="0.35">
      <c r="A849" s="98" t="s">
        <v>2947</v>
      </c>
      <c r="C849" s="83">
        <v>43811</v>
      </c>
      <c r="D849" s="112">
        <v>43857</v>
      </c>
      <c r="E849" s="570"/>
      <c r="F849" s="88" t="s">
        <v>2948</v>
      </c>
      <c r="G849" s="88" t="s">
        <v>160</v>
      </c>
      <c r="H849" s="81" t="s">
        <v>220</v>
      </c>
      <c r="I849" s="98" t="s">
        <v>649</v>
      </c>
      <c r="J849" s="75">
        <f t="shared" si="71"/>
        <v>1</v>
      </c>
      <c r="K849" s="76" t="s">
        <v>211</v>
      </c>
      <c r="N849" s="78" t="s">
        <v>17</v>
      </c>
      <c r="Q849" s="78" t="s">
        <v>2163</v>
      </c>
      <c r="R849" s="75">
        <f t="shared" si="72"/>
        <v>1</v>
      </c>
      <c r="S849" s="263" t="s">
        <v>1991</v>
      </c>
      <c r="T849" s="263"/>
      <c r="U849" s="263"/>
      <c r="V849" s="263"/>
      <c r="W849" s="263"/>
      <c r="X849" s="263"/>
      <c r="Y849" s="575"/>
      <c r="Z849" s="575"/>
      <c r="AA849" s="576">
        <f t="shared" si="73"/>
        <v>0</v>
      </c>
      <c r="AB849" s="722"/>
    </row>
    <row r="850" spans="1:28" ht="15.75" customHeight="1" x14ac:dyDescent="0.35">
      <c r="A850" s="98" t="s">
        <v>2949</v>
      </c>
      <c r="C850" s="83">
        <v>43811</v>
      </c>
      <c r="D850" s="112">
        <v>43857</v>
      </c>
      <c r="E850" s="570"/>
      <c r="F850" s="88" t="s">
        <v>2950</v>
      </c>
      <c r="G850" s="88" t="s">
        <v>156</v>
      </c>
      <c r="H850" s="81" t="s">
        <v>220</v>
      </c>
      <c r="I850" s="98" t="s">
        <v>730</v>
      </c>
      <c r="J850" s="75">
        <f t="shared" si="71"/>
        <v>1</v>
      </c>
      <c r="K850" s="76" t="s">
        <v>211</v>
      </c>
      <c r="N850" s="78" t="s">
        <v>18</v>
      </c>
      <c r="Q850" s="78" t="s">
        <v>2163</v>
      </c>
      <c r="R850" s="75">
        <f t="shared" si="72"/>
        <v>1</v>
      </c>
      <c r="S850" s="263" t="s">
        <v>1991</v>
      </c>
      <c r="T850" s="263"/>
      <c r="U850" s="263"/>
      <c r="V850" s="263"/>
      <c r="W850" s="263"/>
      <c r="X850" s="263"/>
      <c r="Y850" s="575"/>
      <c r="Z850" s="575"/>
      <c r="AA850" s="576">
        <f t="shared" si="73"/>
        <v>0</v>
      </c>
      <c r="AB850" s="722"/>
    </row>
    <row r="851" spans="1:28" ht="15.75" customHeight="1" x14ac:dyDescent="0.35">
      <c r="A851" s="98" t="s">
        <v>2953</v>
      </c>
      <c r="C851" s="83">
        <v>43812</v>
      </c>
      <c r="D851" s="112">
        <v>43858</v>
      </c>
      <c r="E851" s="570"/>
      <c r="F851" s="88" t="s">
        <v>2954</v>
      </c>
      <c r="G851" s="88" t="s">
        <v>158</v>
      </c>
      <c r="H851" s="81" t="s">
        <v>220</v>
      </c>
      <c r="I851" s="98" t="s">
        <v>649</v>
      </c>
      <c r="J851" s="75">
        <f t="shared" si="71"/>
        <v>1</v>
      </c>
      <c r="K851" s="76" t="s">
        <v>211</v>
      </c>
      <c r="N851" s="78" t="s">
        <v>18</v>
      </c>
      <c r="Q851" s="78" t="s">
        <v>2163</v>
      </c>
      <c r="R851" s="75">
        <f t="shared" si="72"/>
        <v>1</v>
      </c>
      <c r="S851" s="263" t="s">
        <v>1991</v>
      </c>
      <c r="T851" s="263"/>
      <c r="U851" s="263"/>
      <c r="V851" s="263"/>
      <c r="W851" s="263"/>
      <c r="X851" s="263"/>
      <c r="Y851" s="575"/>
      <c r="Z851" s="575"/>
      <c r="AA851" s="576">
        <f t="shared" si="73"/>
        <v>0</v>
      </c>
      <c r="AB851" s="722"/>
    </row>
    <row r="852" spans="1:28" ht="15.75" customHeight="1" x14ac:dyDescent="0.35">
      <c r="A852" s="81" t="s">
        <v>2955</v>
      </c>
      <c r="C852" s="83">
        <v>43812</v>
      </c>
      <c r="D852" s="112">
        <v>43858</v>
      </c>
      <c r="E852" s="570"/>
      <c r="F852" s="88" t="s">
        <v>2956</v>
      </c>
      <c r="G852" s="88" t="s">
        <v>186</v>
      </c>
      <c r="H852" s="81" t="s">
        <v>220</v>
      </c>
      <c r="I852" s="98" t="s">
        <v>1004</v>
      </c>
      <c r="J852" s="75">
        <f t="shared" si="71"/>
        <v>1</v>
      </c>
      <c r="K852" s="76" t="s">
        <v>211</v>
      </c>
      <c r="N852" s="78" t="s">
        <v>19</v>
      </c>
      <c r="Q852" s="78" t="s">
        <v>2163</v>
      </c>
      <c r="R852" s="75">
        <f t="shared" si="72"/>
        <v>1</v>
      </c>
      <c r="S852" s="263" t="s">
        <v>1991</v>
      </c>
      <c r="T852" s="263"/>
      <c r="U852" s="263"/>
      <c r="V852" s="263"/>
      <c r="W852" s="263"/>
      <c r="X852" s="263"/>
      <c r="Y852" s="575"/>
      <c r="Z852" s="575"/>
      <c r="AA852" s="576">
        <f t="shared" si="73"/>
        <v>0</v>
      </c>
      <c r="AB852" s="722"/>
    </row>
    <row r="853" spans="1:28" ht="15.75" customHeight="1" x14ac:dyDescent="0.35">
      <c r="A853" s="98" t="s">
        <v>3495</v>
      </c>
      <c r="C853" s="83">
        <v>43815</v>
      </c>
      <c r="D853" s="112">
        <v>43859</v>
      </c>
      <c r="E853" s="570"/>
      <c r="F853" s="88" t="s">
        <v>3496</v>
      </c>
      <c r="G853" s="88" t="s">
        <v>149</v>
      </c>
      <c r="H853" s="81" t="s">
        <v>220</v>
      </c>
      <c r="I853" s="98" t="s">
        <v>3467</v>
      </c>
      <c r="J853" s="75">
        <f t="shared" si="71"/>
        <v>1</v>
      </c>
      <c r="K853" s="76" t="s">
        <v>211</v>
      </c>
      <c r="L853" s="99" t="s">
        <v>3728</v>
      </c>
      <c r="N853" s="78" t="s">
        <v>17</v>
      </c>
      <c r="Q853" s="78" t="s">
        <v>2163</v>
      </c>
      <c r="R853" s="75">
        <f t="shared" si="72"/>
        <v>1</v>
      </c>
      <c r="S853" s="263" t="s">
        <v>1991</v>
      </c>
      <c r="T853" s="263"/>
      <c r="U853" s="263"/>
      <c r="V853" s="263"/>
      <c r="W853" s="263"/>
      <c r="X853" s="263"/>
      <c r="Y853" s="575"/>
      <c r="Z853" s="575"/>
      <c r="AA853" s="576">
        <f t="shared" si="73"/>
        <v>0</v>
      </c>
      <c r="AB853" s="722"/>
    </row>
    <row r="854" spans="1:28" ht="15.75" customHeight="1" x14ac:dyDescent="0.35">
      <c r="A854" s="98" t="s">
        <v>2969</v>
      </c>
      <c r="C854" s="83">
        <v>43816</v>
      </c>
      <c r="D854" s="112">
        <v>43860</v>
      </c>
      <c r="E854" s="570"/>
      <c r="F854" s="88" t="s">
        <v>2970</v>
      </c>
      <c r="G854" s="88" t="s">
        <v>417</v>
      </c>
      <c r="H854" s="81" t="s">
        <v>220</v>
      </c>
      <c r="I854" s="98" t="s">
        <v>649</v>
      </c>
      <c r="J854" s="75">
        <f t="shared" si="71"/>
        <v>1</v>
      </c>
      <c r="K854" s="76" t="s">
        <v>211</v>
      </c>
      <c r="N854" s="78" t="s">
        <v>18</v>
      </c>
      <c r="Q854" s="78" t="s">
        <v>2163</v>
      </c>
      <c r="R854" s="75">
        <f t="shared" si="72"/>
        <v>1</v>
      </c>
      <c r="S854" s="263" t="s">
        <v>1991</v>
      </c>
      <c r="T854" s="263"/>
      <c r="U854" s="263"/>
      <c r="V854" s="263"/>
      <c r="W854" s="263"/>
      <c r="X854" s="263"/>
      <c r="Y854" s="575"/>
      <c r="Z854" s="575"/>
      <c r="AA854" s="576">
        <f t="shared" si="73"/>
        <v>0</v>
      </c>
      <c r="AB854" s="722"/>
    </row>
    <row r="855" spans="1:28" ht="15.75" customHeight="1" x14ac:dyDescent="0.35">
      <c r="A855" s="98" t="s">
        <v>2971</v>
      </c>
      <c r="C855" s="83">
        <v>43816</v>
      </c>
      <c r="D855" s="112">
        <v>43860</v>
      </c>
      <c r="E855" s="570"/>
      <c r="F855" s="88" t="s">
        <v>2972</v>
      </c>
      <c r="G855" s="88" t="s">
        <v>154</v>
      </c>
      <c r="H855" s="81" t="s">
        <v>220</v>
      </c>
      <c r="I855" s="98" t="s">
        <v>722</v>
      </c>
      <c r="J855" s="75">
        <f t="shared" si="71"/>
        <v>1</v>
      </c>
      <c r="K855" s="76" t="s">
        <v>211</v>
      </c>
      <c r="N855" s="78" t="s">
        <v>17</v>
      </c>
      <c r="Q855" s="78" t="s">
        <v>2163</v>
      </c>
      <c r="R855" s="75">
        <f t="shared" si="72"/>
        <v>1</v>
      </c>
      <c r="S855" s="263" t="s">
        <v>1991</v>
      </c>
      <c r="T855" s="263"/>
      <c r="U855" s="263"/>
      <c r="V855" s="263"/>
      <c r="W855" s="263"/>
      <c r="X855" s="263"/>
      <c r="Y855" s="575"/>
      <c r="Z855" s="575"/>
      <c r="AA855" s="576">
        <f t="shared" si="73"/>
        <v>0</v>
      </c>
      <c r="AB855" s="722"/>
    </row>
    <row r="856" spans="1:28" ht="15.75" customHeight="1" x14ac:dyDescent="0.35">
      <c r="A856" s="98" t="s">
        <v>2973</v>
      </c>
      <c r="C856" s="83">
        <v>43816</v>
      </c>
      <c r="D856" s="112">
        <v>43860</v>
      </c>
      <c r="E856" s="570"/>
      <c r="F856" s="88" t="s">
        <v>2974</v>
      </c>
      <c r="G856" s="88" t="s">
        <v>162</v>
      </c>
      <c r="H856" s="81" t="s">
        <v>220</v>
      </c>
      <c r="I856" s="98" t="s">
        <v>649</v>
      </c>
      <c r="J856" s="75">
        <f t="shared" si="71"/>
        <v>1</v>
      </c>
      <c r="K856" s="76" t="s">
        <v>211</v>
      </c>
      <c r="N856" s="78" t="s">
        <v>18</v>
      </c>
      <c r="Q856" s="78" t="s">
        <v>2163</v>
      </c>
      <c r="R856" s="75">
        <f t="shared" si="72"/>
        <v>1</v>
      </c>
      <c r="S856" s="263" t="s">
        <v>1991</v>
      </c>
      <c r="T856" s="263"/>
      <c r="U856" s="263"/>
      <c r="V856" s="263"/>
      <c r="W856" s="263"/>
      <c r="X856" s="263"/>
      <c r="Y856" s="575"/>
      <c r="Z856" s="575"/>
      <c r="AA856" s="576">
        <f t="shared" si="73"/>
        <v>0</v>
      </c>
      <c r="AB856" s="722"/>
    </row>
    <row r="857" spans="1:28" ht="15.75" customHeight="1" x14ac:dyDescent="0.35">
      <c r="A857" s="98" t="s">
        <v>3666</v>
      </c>
      <c r="C857" s="83">
        <v>43817</v>
      </c>
      <c r="D857" s="112">
        <v>43861</v>
      </c>
      <c r="E857" s="570"/>
      <c r="F857" s="88" t="s">
        <v>3667</v>
      </c>
      <c r="G857" s="88" t="s">
        <v>162</v>
      </c>
      <c r="H857" s="81" t="s">
        <v>220</v>
      </c>
      <c r="I857" s="98" t="s">
        <v>730</v>
      </c>
      <c r="J857" s="75">
        <f t="shared" si="71"/>
        <v>1</v>
      </c>
      <c r="K857" s="76" t="s">
        <v>211</v>
      </c>
      <c r="N857" s="78" t="s">
        <v>19</v>
      </c>
      <c r="Q857" s="78" t="s">
        <v>2163</v>
      </c>
      <c r="R857" s="75">
        <f t="shared" si="72"/>
        <v>1</v>
      </c>
      <c r="S857" s="263" t="s">
        <v>1991</v>
      </c>
      <c r="T857" s="263"/>
      <c r="U857" s="263"/>
      <c r="V857" s="263"/>
      <c r="W857" s="263"/>
      <c r="X857" s="263"/>
      <c r="Y857" s="575"/>
      <c r="Z857" s="575"/>
      <c r="AA857" s="576">
        <f t="shared" si="73"/>
        <v>0</v>
      </c>
      <c r="AB857" s="722"/>
    </row>
    <row r="858" spans="1:28" ht="15.75" customHeight="1" x14ac:dyDescent="0.35">
      <c r="A858" s="98" t="s">
        <v>3252</v>
      </c>
      <c r="C858" s="83">
        <v>43817</v>
      </c>
      <c r="D858" s="112">
        <v>43861</v>
      </c>
      <c r="E858" s="570"/>
      <c r="F858" s="88" t="s">
        <v>3253</v>
      </c>
      <c r="G858" s="88" t="s">
        <v>162</v>
      </c>
      <c r="H858" s="81" t="s">
        <v>220</v>
      </c>
      <c r="I858" s="98" t="s">
        <v>722</v>
      </c>
      <c r="J858" s="75">
        <f t="shared" si="71"/>
        <v>1</v>
      </c>
      <c r="K858" s="76" t="s">
        <v>211</v>
      </c>
      <c r="N858" s="78" t="s">
        <v>18</v>
      </c>
      <c r="Q858" s="78" t="s">
        <v>2163</v>
      </c>
      <c r="R858" s="75">
        <f t="shared" si="72"/>
        <v>1</v>
      </c>
      <c r="S858" s="263" t="s">
        <v>1991</v>
      </c>
      <c r="T858" s="263"/>
      <c r="U858" s="263"/>
      <c r="V858" s="263"/>
      <c r="W858" s="263"/>
      <c r="X858" s="263"/>
      <c r="Y858" s="575"/>
      <c r="Z858" s="575"/>
      <c r="AA858" s="576">
        <f t="shared" si="73"/>
        <v>0</v>
      </c>
      <c r="AB858" s="722"/>
    </row>
    <row r="859" spans="1:28" ht="15.75" customHeight="1" x14ac:dyDescent="0.35">
      <c r="A859" s="98" t="s">
        <v>3670</v>
      </c>
      <c r="C859" s="83">
        <v>43825</v>
      </c>
      <c r="D859" s="112">
        <v>43857</v>
      </c>
      <c r="E859" s="570"/>
      <c r="F859" s="88" t="s">
        <v>3671</v>
      </c>
      <c r="G859" s="88" t="s">
        <v>181</v>
      </c>
      <c r="H859" s="98" t="s">
        <v>3693</v>
      </c>
      <c r="I859" s="98" t="s">
        <v>1004</v>
      </c>
      <c r="J859" s="75">
        <f t="shared" ref="J859:J877" si="74">IF(OR(K859="Документы готовы",K859="Запрос в ФО",K859="ЭЗ",K859="РЕШ",K859="РЕШ шаблон"),0.1,IF(OR(K859="ЭЗ согласование",K859="РЕШ согласование"),0.3,IF(OR(K859="ЭЗ согласовано",K859="РЕШ согласовано",K859="РЕШ подписано"),0.6,IF(OR(K859="ЭЗ ПР согласование",K859="РЕШ УВ согласование"),0.9,IF(OR(K859="ЭЗ ПР DONE",K859="РЕШ УВ DONE"),1,0)))))</f>
        <v>1</v>
      </c>
      <c r="K859" s="76" t="s">
        <v>211</v>
      </c>
      <c r="L859" s="99" t="s">
        <v>3694</v>
      </c>
      <c r="N859" s="78" t="s">
        <v>19</v>
      </c>
      <c r="Q859" s="78" t="s">
        <v>2163</v>
      </c>
      <c r="R859" s="75">
        <f t="shared" ref="R859:R878" si="75">IF(S859="В работе",0.3,IF(S859="Отписано",0.6,IF(S859="На доработку",0.9,IF(S859="Согласовано",1,0))))</f>
        <v>1</v>
      </c>
      <c r="S859" s="263" t="s">
        <v>1991</v>
      </c>
      <c r="T859" s="263"/>
      <c r="U859" s="263"/>
      <c r="V859" s="263"/>
      <c r="W859" s="263"/>
      <c r="X859" s="263"/>
      <c r="Y859" s="575"/>
      <c r="Z859" s="575"/>
      <c r="AA859" s="576">
        <f t="shared" si="73"/>
        <v>0</v>
      </c>
      <c r="AB859" s="722"/>
    </row>
    <row r="860" spans="1:28" ht="15.75" customHeight="1" x14ac:dyDescent="0.35">
      <c r="A860" s="98" t="s">
        <v>3672</v>
      </c>
      <c r="C860" s="83">
        <v>43825</v>
      </c>
      <c r="D860" s="112">
        <v>43857</v>
      </c>
      <c r="E860" s="570"/>
      <c r="F860" s="88" t="s">
        <v>3673</v>
      </c>
      <c r="G860" s="88" t="s">
        <v>152</v>
      </c>
      <c r="H860" s="81" t="s">
        <v>220</v>
      </c>
      <c r="I860" s="98" t="s">
        <v>665</v>
      </c>
      <c r="J860" s="75">
        <f t="shared" si="74"/>
        <v>1</v>
      </c>
      <c r="K860" s="76" t="s">
        <v>211</v>
      </c>
      <c r="N860" s="78" t="s">
        <v>18</v>
      </c>
      <c r="Q860" s="78" t="s">
        <v>2163</v>
      </c>
      <c r="R860" s="75">
        <f t="shared" si="75"/>
        <v>1</v>
      </c>
      <c r="S860" s="263" t="s">
        <v>1991</v>
      </c>
      <c r="T860" s="263"/>
      <c r="U860" s="263"/>
      <c r="V860" s="263"/>
      <c r="W860" s="263"/>
      <c r="X860" s="263"/>
      <c r="Y860" s="575"/>
      <c r="Z860" s="575"/>
      <c r="AA860" s="576">
        <f t="shared" si="73"/>
        <v>0</v>
      </c>
      <c r="AB860" s="722"/>
    </row>
    <row r="861" spans="1:28" ht="15.75" customHeight="1" x14ac:dyDescent="0.35">
      <c r="A861" s="98" t="s">
        <v>3678</v>
      </c>
      <c r="C861" s="83">
        <v>43826</v>
      </c>
      <c r="D861" s="112">
        <v>43858</v>
      </c>
      <c r="E861" s="570"/>
      <c r="F861" s="88" t="s">
        <v>3679</v>
      </c>
      <c r="G861" s="88" t="s">
        <v>152</v>
      </c>
      <c r="H861" s="81" t="s">
        <v>220</v>
      </c>
      <c r="I861" s="98" t="s">
        <v>3724</v>
      </c>
      <c r="J861" s="75">
        <f t="shared" si="74"/>
        <v>1</v>
      </c>
      <c r="K861" s="76" t="s">
        <v>211</v>
      </c>
      <c r="N861" s="78" t="s">
        <v>19</v>
      </c>
      <c r="Q861" s="78" t="s">
        <v>2163</v>
      </c>
      <c r="R861" s="75">
        <f t="shared" si="75"/>
        <v>1</v>
      </c>
      <c r="S861" s="263" t="s">
        <v>1991</v>
      </c>
      <c r="T861" s="263"/>
      <c r="U861" s="263"/>
      <c r="V861" s="263"/>
      <c r="W861" s="263"/>
      <c r="X861" s="263"/>
      <c r="Y861" s="575"/>
      <c r="Z861" s="575"/>
      <c r="AA861" s="576">
        <f t="shared" si="73"/>
        <v>0</v>
      </c>
      <c r="AB861" s="722"/>
    </row>
    <row r="862" spans="1:28" ht="15.75" customHeight="1" x14ac:dyDescent="0.35">
      <c r="A862" s="98" t="s">
        <v>3680</v>
      </c>
      <c r="C862" s="83">
        <v>43826</v>
      </c>
      <c r="D862" s="112">
        <v>43858</v>
      </c>
      <c r="E862" s="570"/>
      <c r="F862" s="88" t="s">
        <v>3681</v>
      </c>
      <c r="G862" s="88" t="s">
        <v>154</v>
      </c>
      <c r="H862" s="81" t="s">
        <v>220</v>
      </c>
      <c r="I862" s="98" t="s">
        <v>1122</v>
      </c>
      <c r="J862" s="75">
        <f t="shared" si="74"/>
        <v>1</v>
      </c>
      <c r="K862" s="76" t="s">
        <v>211</v>
      </c>
      <c r="N862" s="78" t="s">
        <v>18</v>
      </c>
      <c r="Q862" s="78" t="s">
        <v>2163</v>
      </c>
      <c r="R862" s="75">
        <f t="shared" si="75"/>
        <v>1</v>
      </c>
      <c r="S862" s="263" t="s">
        <v>1991</v>
      </c>
      <c r="T862" s="263"/>
      <c r="U862" s="263"/>
      <c r="V862" s="263"/>
      <c r="W862" s="263"/>
      <c r="X862" s="263"/>
      <c r="Y862" s="575"/>
      <c r="Z862" s="575"/>
      <c r="AA862" s="576">
        <f t="shared" si="73"/>
        <v>0</v>
      </c>
      <c r="AB862" s="722"/>
    </row>
    <row r="863" spans="1:28" ht="15.75" customHeight="1" x14ac:dyDescent="0.35">
      <c r="A863" s="98" t="s">
        <v>3691</v>
      </c>
      <c r="C863" s="83">
        <v>43839</v>
      </c>
      <c r="D863" s="112">
        <v>43861</v>
      </c>
      <c r="E863" s="570"/>
      <c r="F863" s="255" t="s">
        <v>3692</v>
      </c>
      <c r="G863" s="88" t="s">
        <v>162</v>
      </c>
      <c r="H863" s="81" t="s">
        <v>220</v>
      </c>
      <c r="I863" s="98" t="s">
        <v>656</v>
      </c>
      <c r="J863" s="75">
        <f t="shared" si="74"/>
        <v>1</v>
      </c>
      <c r="K863" s="76" t="s">
        <v>211</v>
      </c>
      <c r="N863" s="78" t="s">
        <v>17</v>
      </c>
      <c r="Q863" s="78" t="s">
        <v>2163</v>
      </c>
      <c r="R863" s="75">
        <f t="shared" si="75"/>
        <v>1</v>
      </c>
      <c r="S863" s="263" t="s">
        <v>1991</v>
      </c>
      <c r="T863" s="263"/>
      <c r="U863" s="263"/>
      <c r="V863" s="263"/>
      <c r="W863" s="263"/>
      <c r="X863" s="263"/>
      <c r="Y863" s="575"/>
      <c r="Z863" s="575"/>
      <c r="AA863" s="576">
        <f t="shared" si="73"/>
        <v>0</v>
      </c>
      <c r="AB863" s="722"/>
    </row>
    <row r="864" spans="1:28" ht="15.75" customHeight="1" x14ac:dyDescent="0.35">
      <c r="A864" s="81" t="s">
        <v>3491</v>
      </c>
      <c r="C864" s="83">
        <v>43812</v>
      </c>
      <c r="D864" s="112">
        <v>43858</v>
      </c>
      <c r="E864" s="570"/>
      <c r="F864" s="88" t="s">
        <v>3492</v>
      </c>
      <c r="G864" s="88" t="s">
        <v>156</v>
      </c>
      <c r="H864" s="81" t="s">
        <v>220</v>
      </c>
      <c r="I864" s="98" t="s">
        <v>3735</v>
      </c>
      <c r="J864" s="75">
        <f t="shared" si="74"/>
        <v>1</v>
      </c>
      <c r="K864" s="76" t="s">
        <v>211</v>
      </c>
      <c r="L864" s="99" t="s">
        <v>3736</v>
      </c>
      <c r="N864" s="78" t="s">
        <v>17</v>
      </c>
      <c r="Q864" s="78" t="s">
        <v>2447</v>
      </c>
      <c r="R864" s="75">
        <f t="shared" si="75"/>
        <v>1</v>
      </c>
      <c r="S864" s="263" t="s">
        <v>1991</v>
      </c>
      <c r="T864" s="263"/>
      <c r="U864" s="263"/>
      <c r="V864" s="263"/>
      <c r="W864" s="263"/>
      <c r="X864" s="263"/>
      <c r="Y864" s="575"/>
      <c r="Z864" s="575"/>
      <c r="AA864" s="576">
        <f t="shared" si="73"/>
        <v>0</v>
      </c>
      <c r="AB864" s="722"/>
    </row>
    <row r="865" spans="1:28" ht="15.75" customHeight="1" x14ac:dyDescent="0.35">
      <c r="A865" s="81" t="s">
        <v>3497</v>
      </c>
      <c r="C865" s="83">
        <v>43815</v>
      </c>
      <c r="D865" s="112">
        <v>43859</v>
      </c>
      <c r="E865" s="570"/>
      <c r="F865" s="88" t="s">
        <v>3498</v>
      </c>
      <c r="G865" s="88" t="s">
        <v>152</v>
      </c>
      <c r="H865" s="81" t="s">
        <v>220</v>
      </c>
      <c r="I865" s="98" t="s">
        <v>649</v>
      </c>
      <c r="J865" s="75">
        <f t="shared" si="74"/>
        <v>1</v>
      </c>
      <c r="K865" s="76" t="s">
        <v>211</v>
      </c>
      <c r="N865" s="78" t="s">
        <v>18</v>
      </c>
      <c r="Q865" s="78" t="s">
        <v>2447</v>
      </c>
      <c r="R865" s="75">
        <f t="shared" si="75"/>
        <v>1</v>
      </c>
      <c r="S865" s="263" t="s">
        <v>1991</v>
      </c>
      <c r="T865" s="263"/>
      <c r="U865" s="263"/>
      <c r="V865" s="263"/>
      <c r="W865" s="263"/>
      <c r="X865" s="263"/>
      <c r="Y865" s="575"/>
      <c r="Z865" s="575"/>
      <c r="AA865" s="576">
        <f t="shared" si="73"/>
        <v>0</v>
      </c>
      <c r="AB865" s="722"/>
    </row>
    <row r="866" spans="1:28" ht="15.75" customHeight="1" x14ac:dyDescent="0.35">
      <c r="A866" s="81" t="s">
        <v>3499</v>
      </c>
      <c r="C866" s="83">
        <v>43815</v>
      </c>
      <c r="D866" s="112">
        <v>43859</v>
      </c>
      <c r="E866" s="570"/>
      <c r="F866" s="88" t="s">
        <v>3500</v>
      </c>
      <c r="G866" s="88" t="s">
        <v>160</v>
      </c>
      <c r="H866" s="81" t="s">
        <v>220</v>
      </c>
      <c r="J866" s="75">
        <f t="shared" si="74"/>
        <v>1</v>
      </c>
      <c r="K866" s="76" t="s">
        <v>211</v>
      </c>
      <c r="Q866" s="78" t="s">
        <v>2447</v>
      </c>
      <c r="R866" s="75">
        <f t="shared" si="75"/>
        <v>1</v>
      </c>
      <c r="S866" s="263" t="s">
        <v>1991</v>
      </c>
      <c r="T866" s="263"/>
      <c r="U866" s="263"/>
      <c r="V866" s="263"/>
      <c r="W866" s="263"/>
      <c r="X866" s="263"/>
      <c r="Y866" s="575"/>
      <c r="Z866" s="575"/>
      <c r="AA866" s="576">
        <f t="shared" si="73"/>
        <v>0</v>
      </c>
      <c r="AB866" s="722"/>
    </row>
    <row r="867" spans="1:28" ht="15.75" customHeight="1" x14ac:dyDescent="0.35">
      <c r="A867" s="81" t="s">
        <v>3501</v>
      </c>
      <c r="C867" s="83">
        <v>43815</v>
      </c>
      <c r="D867" s="112">
        <v>43858</v>
      </c>
      <c r="E867" s="570"/>
      <c r="F867" s="88" t="s">
        <v>3502</v>
      </c>
      <c r="G867" s="88" t="s">
        <v>162</v>
      </c>
      <c r="H867" s="81" t="s">
        <v>220</v>
      </c>
      <c r="I867" s="98" t="s">
        <v>3725</v>
      </c>
      <c r="J867" s="75">
        <f t="shared" si="74"/>
        <v>1</v>
      </c>
      <c r="K867" s="76" t="s">
        <v>211</v>
      </c>
      <c r="N867" s="78" t="s">
        <v>19</v>
      </c>
      <c r="Q867" s="78" t="s">
        <v>2447</v>
      </c>
      <c r="R867" s="75">
        <f t="shared" si="75"/>
        <v>1</v>
      </c>
      <c r="S867" s="263" t="s">
        <v>1991</v>
      </c>
      <c r="T867" s="263"/>
      <c r="U867" s="263"/>
      <c r="V867" s="263"/>
      <c r="W867" s="263"/>
      <c r="X867" s="263"/>
      <c r="Y867" s="575"/>
      <c r="Z867" s="575"/>
      <c r="AA867" s="576">
        <f t="shared" si="73"/>
        <v>0</v>
      </c>
      <c r="AB867" s="722"/>
    </row>
    <row r="868" spans="1:28" ht="15.75" customHeight="1" x14ac:dyDescent="0.35">
      <c r="A868" s="81" t="s">
        <v>3503</v>
      </c>
      <c r="C868" s="83">
        <v>43816</v>
      </c>
      <c r="D868" s="112">
        <v>43859</v>
      </c>
      <c r="E868" s="570"/>
      <c r="F868" s="88" t="s">
        <v>3504</v>
      </c>
      <c r="G868" s="88" t="s">
        <v>156</v>
      </c>
      <c r="H868" s="81" t="s">
        <v>220</v>
      </c>
      <c r="I868" s="98" t="s">
        <v>649</v>
      </c>
      <c r="J868" s="75">
        <f t="shared" si="74"/>
        <v>1</v>
      </c>
      <c r="K868" s="76" t="s">
        <v>211</v>
      </c>
      <c r="N868" s="78" t="s">
        <v>18</v>
      </c>
      <c r="Q868" s="78" t="s">
        <v>2447</v>
      </c>
      <c r="R868" s="75">
        <f t="shared" si="75"/>
        <v>1</v>
      </c>
      <c r="S868" s="263" t="s">
        <v>1991</v>
      </c>
      <c r="T868" s="263"/>
      <c r="U868" s="263"/>
      <c r="V868" s="263"/>
      <c r="W868" s="263"/>
      <c r="X868" s="263"/>
      <c r="Y868" s="575"/>
      <c r="Z868" s="575"/>
      <c r="AA868" s="576">
        <f t="shared" si="73"/>
        <v>0</v>
      </c>
      <c r="AB868" s="722"/>
    </row>
    <row r="869" spans="1:28" ht="15.75" customHeight="1" x14ac:dyDescent="0.35">
      <c r="A869" s="81" t="s">
        <v>3506</v>
      </c>
      <c r="C869" s="83">
        <v>43816</v>
      </c>
      <c r="D869" s="112">
        <v>43860</v>
      </c>
      <c r="E869" s="570"/>
      <c r="F869" s="88" t="s">
        <v>3507</v>
      </c>
      <c r="G869" s="88" t="s">
        <v>154</v>
      </c>
      <c r="H869" s="81" t="s">
        <v>220</v>
      </c>
      <c r="I869" s="98" t="s">
        <v>649</v>
      </c>
      <c r="J869" s="75">
        <f t="shared" si="74"/>
        <v>1</v>
      </c>
      <c r="K869" s="76" t="s">
        <v>211</v>
      </c>
      <c r="N869" s="78" t="s">
        <v>18</v>
      </c>
      <c r="Q869" s="78" t="s">
        <v>2447</v>
      </c>
      <c r="R869" s="75">
        <f t="shared" si="75"/>
        <v>1</v>
      </c>
      <c r="S869" s="263" t="s">
        <v>1991</v>
      </c>
      <c r="T869" s="263"/>
      <c r="U869" s="263"/>
      <c r="V869" s="263"/>
      <c r="W869" s="263"/>
      <c r="X869" s="263"/>
      <c r="Y869" s="575"/>
      <c r="Z869" s="575"/>
      <c r="AA869" s="576">
        <f t="shared" si="73"/>
        <v>0</v>
      </c>
      <c r="AB869" s="722"/>
    </row>
    <row r="870" spans="1:28" ht="15.75" customHeight="1" x14ac:dyDescent="0.35">
      <c r="A870" s="81" t="s">
        <v>3508</v>
      </c>
      <c r="C870" s="83">
        <v>43816</v>
      </c>
      <c r="D870" s="112">
        <v>43860</v>
      </c>
      <c r="E870" s="570"/>
      <c r="F870" s="88" t="s">
        <v>3509</v>
      </c>
      <c r="G870" s="88" t="s">
        <v>170</v>
      </c>
      <c r="H870" s="81" t="s">
        <v>220</v>
      </c>
      <c r="I870" s="98" t="s">
        <v>649</v>
      </c>
      <c r="J870" s="75">
        <f t="shared" si="74"/>
        <v>1</v>
      </c>
      <c r="K870" s="76" t="s">
        <v>211</v>
      </c>
      <c r="L870" s="99" t="s">
        <v>3738</v>
      </c>
      <c r="N870" s="78" t="s">
        <v>17</v>
      </c>
      <c r="Q870" s="78" t="s">
        <v>2447</v>
      </c>
      <c r="R870" s="75">
        <f t="shared" si="75"/>
        <v>1</v>
      </c>
      <c r="S870" s="263" t="s">
        <v>1991</v>
      </c>
      <c r="T870" s="263"/>
      <c r="U870" s="263"/>
      <c r="V870" s="263"/>
      <c r="W870" s="263"/>
      <c r="X870" s="263"/>
      <c r="Y870" s="575"/>
      <c r="Z870" s="575"/>
      <c r="AA870" s="576">
        <f t="shared" si="73"/>
        <v>0</v>
      </c>
      <c r="AB870" s="722"/>
    </row>
    <row r="871" spans="1:28" ht="15.75" customHeight="1" x14ac:dyDescent="0.35">
      <c r="A871" s="81" t="s">
        <v>3510</v>
      </c>
      <c r="C871" s="83">
        <v>43817</v>
      </c>
      <c r="D871" s="112">
        <v>43861</v>
      </c>
      <c r="E871" s="570"/>
      <c r="F871" s="88" t="s">
        <v>3511</v>
      </c>
      <c r="G871" s="88" t="s">
        <v>152</v>
      </c>
      <c r="H871" s="81" t="s">
        <v>220</v>
      </c>
      <c r="I871" s="98" t="s">
        <v>649</v>
      </c>
      <c r="J871" s="75">
        <f t="shared" si="74"/>
        <v>1</v>
      </c>
      <c r="K871" s="76" t="s">
        <v>211</v>
      </c>
      <c r="N871" s="78" t="s">
        <v>18</v>
      </c>
      <c r="Q871" s="78" t="s">
        <v>2447</v>
      </c>
      <c r="R871" s="75">
        <f t="shared" si="75"/>
        <v>1</v>
      </c>
      <c r="S871" s="263" t="s">
        <v>1991</v>
      </c>
      <c r="T871" s="263"/>
      <c r="U871" s="263"/>
      <c r="V871" s="263"/>
      <c r="W871" s="263"/>
      <c r="X871" s="263"/>
      <c r="Y871" s="575"/>
      <c r="Z871" s="575"/>
      <c r="AA871" s="576">
        <f t="shared" si="73"/>
        <v>0</v>
      </c>
      <c r="AB871" s="722"/>
    </row>
    <row r="872" spans="1:28" ht="15.75" customHeight="1" x14ac:dyDescent="0.35">
      <c r="A872" s="81" t="s">
        <v>3512</v>
      </c>
      <c r="C872" s="83">
        <v>43818</v>
      </c>
      <c r="D872" s="112">
        <v>43861</v>
      </c>
      <c r="E872" s="570"/>
      <c r="F872" s="88" t="s">
        <v>3513</v>
      </c>
      <c r="G872" s="88" t="s">
        <v>152</v>
      </c>
      <c r="H872" s="81" t="s">
        <v>220</v>
      </c>
      <c r="I872" s="98" t="s">
        <v>3740</v>
      </c>
      <c r="J872" s="75">
        <f t="shared" si="74"/>
        <v>1</v>
      </c>
      <c r="K872" s="76" t="s">
        <v>211</v>
      </c>
      <c r="N872" s="78" t="s">
        <v>17</v>
      </c>
      <c r="Q872" s="78" t="s">
        <v>2447</v>
      </c>
      <c r="R872" s="75">
        <f t="shared" si="75"/>
        <v>1</v>
      </c>
      <c r="S872" s="263" t="s">
        <v>1991</v>
      </c>
      <c r="T872" s="263"/>
      <c r="U872" s="263"/>
      <c r="V872" s="263"/>
      <c r="W872" s="263"/>
      <c r="X872" s="263"/>
      <c r="Y872" s="575"/>
      <c r="Z872" s="575"/>
      <c r="AA872" s="576">
        <f t="shared" si="73"/>
        <v>0</v>
      </c>
      <c r="AB872" s="722"/>
    </row>
    <row r="873" spans="1:28" ht="15.75" customHeight="1" x14ac:dyDescent="0.35">
      <c r="A873" s="81" t="s">
        <v>3695</v>
      </c>
      <c r="C873" s="83">
        <v>43826</v>
      </c>
      <c r="D873" s="112">
        <v>43857</v>
      </c>
      <c r="E873" s="570"/>
      <c r="F873" s="88" t="s">
        <v>3696</v>
      </c>
      <c r="G873" s="88" t="s">
        <v>154</v>
      </c>
      <c r="H873" s="81" t="s">
        <v>275</v>
      </c>
      <c r="I873" s="98" t="s">
        <v>2204</v>
      </c>
      <c r="J873" s="75">
        <f t="shared" si="74"/>
        <v>1</v>
      </c>
      <c r="K873" s="76" t="s">
        <v>211</v>
      </c>
      <c r="N873" s="78" t="s">
        <v>18</v>
      </c>
      <c r="Q873" s="78" t="s">
        <v>2447</v>
      </c>
      <c r="R873" s="75">
        <f t="shared" si="75"/>
        <v>1</v>
      </c>
      <c r="S873" s="263" t="s">
        <v>1991</v>
      </c>
      <c r="T873" s="263"/>
      <c r="U873" s="263"/>
      <c r="V873" s="263"/>
      <c r="W873" s="263"/>
      <c r="X873" s="263"/>
      <c r="Y873" s="575"/>
      <c r="Z873" s="575"/>
      <c r="AA873" s="576">
        <f t="shared" si="73"/>
        <v>0</v>
      </c>
      <c r="AB873" s="722"/>
    </row>
    <row r="874" spans="1:28" ht="15.75" customHeight="1" x14ac:dyDescent="0.35">
      <c r="A874" s="81" t="s">
        <v>3703</v>
      </c>
      <c r="C874" s="83">
        <v>43826</v>
      </c>
      <c r="D874" s="112">
        <v>43858</v>
      </c>
      <c r="E874" s="570"/>
      <c r="F874" s="88" t="s">
        <v>3704</v>
      </c>
      <c r="G874" s="88" t="s">
        <v>158</v>
      </c>
      <c r="H874" s="81" t="s">
        <v>220</v>
      </c>
      <c r="I874" s="98" t="s">
        <v>2516</v>
      </c>
      <c r="J874" s="75">
        <f t="shared" si="74"/>
        <v>1</v>
      </c>
      <c r="K874" s="76" t="s">
        <v>211</v>
      </c>
      <c r="N874" s="78" t="s">
        <v>17</v>
      </c>
      <c r="Q874" s="78" t="s">
        <v>2447</v>
      </c>
      <c r="R874" s="75">
        <f t="shared" si="75"/>
        <v>1</v>
      </c>
      <c r="S874" s="263" t="s">
        <v>1991</v>
      </c>
      <c r="T874" s="263"/>
      <c r="U874" s="263"/>
      <c r="V874" s="263"/>
      <c r="W874" s="263"/>
      <c r="X874" s="263"/>
      <c r="Y874" s="575"/>
      <c r="Z874" s="575"/>
      <c r="AA874" s="576">
        <f t="shared" si="73"/>
        <v>0</v>
      </c>
      <c r="AB874" s="722"/>
    </row>
    <row r="875" spans="1:28" ht="15.75" customHeight="1" x14ac:dyDescent="0.35">
      <c r="A875" s="81" t="s">
        <v>3707</v>
      </c>
      <c r="C875" s="83">
        <v>43826</v>
      </c>
      <c r="D875" s="112">
        <v>43858</v>
      </c>
      <c r="E875" s="570"/>
      <c r="F875" s="88" t="s">
        <v>3708</v>
      </c>
      <c r="G875" s="88" t="s">
        <v>158</v>
      </c>
      <c r="H875" s="81" t="s">
        <v>220</v>
      </c>
      <c r="I875" s="98" t="s">
        <v>3726</v>
      </c>
      <c r="J875" s="75">
        <f t="shared" si="74"/>
        <v>1</v>
      </c>
      <c r="K875" s="76" t="s">
        <v>211</v>
      </c>
      <c r="N875" s="78" t="s">
        <v>19</v>
      </c>
      <c r="Q875" s="78" t="s">
        <v>2447</v>
      </c>
      <c r="R875" s="75">
        <f t="shared" si="75"/>
        <v>1</v>
      </c>
      <c r="S875" s="263" t="s">
        <v>1991</v>
      </c>
      <c r="T875" s="263"/>
      <c r="U875" s="263"/>
      <c r="V875" s="263"/>
      <c r="W875" s="263"/>
      <c r="X875" s="263"/>
      <c r="Y875" s="575"/>
      <c r="Z875" s="575"/>
      <c r="AA875" s="576">
        <f t="shared" si="73"/>
        <v>0</v>
      </c>
      <c r="AB875" s="722"/>
    </row>
    <row r="876" spans="1:28" ht="15.75" customHeight="1" x14ac:dyDescent="0.35">
      <c r="A876" s="81" t="s">
        <v>3713</v>
      </c>
      <c r="C876" s="83">
        <v>43830</v>
      </c>
      <c r="D876" s="112">
        <v>43859</v>
      </c>
      <c r="E876" s="570"/>
      <c r="F876" s="88" t="s">
        <v>3714</v>
      </c>
      <c r="G876" s="88" t="s">
        <v>176</v>
      </c>
      <c r="H876" s="81" t="s">
        <v>220</v>
      </c>
      <c r="I876" s="98" t="s">
        <v>2516</v>
      </c>
      <c r="J876" s="75">
        <f t="shared" si="74"/>
        <v>1</v>
      </c>
      <c r="K876" s="76" t="s">
        <v>211</v>
      </c>
      <c r="N876" s="78" t="s">
        <v>17</v>
      </c>
      <c r="Q876" s="78" t="s">
        <v>2447</v>
      </c>
      <c r="R876" s="75">
        <f t="shared" si="75"/>
        <v>1</v>
      </c>
      <c r="S876" s="263" t="s">
        <v>1991</v>
      </c>
      <c r="T876" s="263"/>
      <c r="U876" s="263"/>
      <c r="V876" s="263"/>
      <c r="W876" s="263"/>
      <c r="X876" s="263"/>
      <c r="Y876" s="575"/>
      <c r="Z876" s="575"/>
      <c r="AA876" s="576">
        <f t="shared" si="73"/>
        <v>0</v>
      </c>
      <c r="AB876" s="722"/>
    </row>
    <row r="877" spans="1:28" ht="15.75" customHeight="1" x14ac:dyDescent="0.35">
      <c r="A877" s="81" t="s">
        <v>3719</v>
      </c>
      <c r="C877" s="83">
        <v>43839</v>
      </c>
      <c r="D877" s="112">
        <v>43861</v>
      </c>
      <c r="E877" s="570"/>
      <c r="F877" s="255" t="s">
        <v>3720</v>
      </c>
      <c r="G877" s="88" t="s">
        <v>158</v>
      </c>
      <c r="H877" s="81" t="s">
        <v>220</v>
      </c>
      <c r="I877" s="98" t="s">
        <v>656</v>
      </c>
      <c r="J877" s="75">
        <f t="shared" si="74"/>
        <v>1</v>
      </c>
      <c r="K877" s="76" t="s">
        <v>211</v>
      </c>
      <c r="N877" s="78" t="s">
        <v>17</v>
      </c>
      <c r="Q877" s="78" t="s">
        <v>2447</v>
      </c>
      <c r="R877" s="75">
        <f t="shared" si="75"/>
        <v>1</v>
      </c>
      <c r="S877" s="263" t="s">
        <v>1991</v>
      </c>
      <c r="T877" s="263"/>
      <c r="U877" s="263"/>
      <c r="V877" s="263"/>
      <c r="W877" s="263"/>
      <c r="X877" s="263"/>
      <c r="Y877" s="575"/>
      <c r="Z877" s="575"/>
      <c r="AA877" s="576">
        <f t="shared" si="73"/>
        <v>0</v>
      </c>
      <c r="AB877" s="722"/>
    </row>
    <row r="878" spans="1:28" ht="15.75" customHeight="1" x14ac:dyDescent="0.35">
      <c r="A878" s="81" t="s">
        <v>3144</v>
      </c>
      <c r="C878" s="83">
        <v>43809</v>
      </c>
      <c r="D878" s="112">
        <v>43867</v>
      </c>
      <c r="E878" s="570"/>
      <c r="F878" s="88" t="s">
        <v>3145</v>
      </c>
      <c r="G878" s="88" t="s">
        <v>158</v>
      </c>
      <c r="H878" s="81" t="s">
        <v>220</v>
      </c>
      <c r="I878" s="98" t="s">
        <v>649</v>
      </c>
      <c r="J878" s="75">
        <f t="shared" ref="J878:J906" si="76">IF(OR(K878="Документы готовы",K878="Запрос в ФО",K878="ЭЗ",K878="РЕШ",K878="РЕШ шаблон"),0.1,IF(OR(K878="ЭЗ согласование",K878="РЕШ согласование"),0.3,IF(OR(K878="ЭЗ согласовано",K878="РЕШ согласовано",K878="РЕШ подписано"),0.6,IF(OR(K878="ЭЗ ПР согласование",K878="РЕШ УВ согласование"),0.9,IF(OR(K878="ЭЗ ПР DONE",K878="РЕШ УВ DONE"),1,0)))))</f>
        <v>1</v>
      </c>
      <c r="K878" s="76" t="s">
        <v>211</v>
      </c>
      <c r="L878" s="99" t="s">
        <v>3950</v>
      </c>
      <c r="N878" s="78" t="s">
        <v>17</v>
      </c>
      <c r="Q878" s="78" t="s">
        <v>2130</v>
      </c>
      <c r="R878" s="75">
        <f t="shared" si="75"/>
        <v>1</v>
      </c>
      <c r="S878" s="263" t="s">
        <v>1991</v>
      </c>
      <c r="T878" s="263"/>
      <c r="U878" s="263"/>
      <c r="V878" s="263"/>
      <c r="W878" s="263"/>
      <c r="X878" s="263"/>
      <c r="Y878" s="575"/>
      <c r="Z878" s="575"/>
      <c r="AA878" s="576">
        <f t="shared" si="73"/>
        <v>0</v>
      </c>
      <c r="AB878" s="722"/>
    </row>
    <row r="879" spans="1:28" ht="15.75" customHeight="1" x14ac:dyDescent="0.35">
      <c r="A879" s="98" t="s">
        <v>3395</v>
      </c>
      <c r="C879" s="83">
        <v>43818</v>
      </c>
      <c r="D879" s="112">
        <v>43864</v>
      </c>
      <c r="E879" s="570"/>
      <c r="F879" s="88" t="s">
        <v>3396</v>
      </c>
      <c r="G879" s="88" t="s">
        <v>152</v>
      </c>
      <c r="H879" s="81" t="s">
        <v>220</v>
      </c>
      <c r="I879" s="98" t="s">
        <v>722</v>
      </c>
      <c r="J879" s="75">
        <f t="shared" si="76"/>
        <v>1</v>
      </c>
      <c r="K879" s="76" t="s">
        <v>211</v>
      </c>
      <c r="L879" s="99" t="s">
        <v>3897</v>
      </c>
      <c r="N879" s="78" t="s">
        <v>17</v>
      </c>
      <c r="Q879" s="78" t="s">
        <v>2130</v>
      </c>
      <c r="R879" s="75">
        <f t="shared" ref="R879:R907" si="77">IF(S879="В работе",0.3,IF(S879="Отписано",0.6,IF(S879="На доработку",0.9,IF(S879="Согласовано",1,0))))</f>
        <v>1</v>
      </c>
      <c r="S879" s="263" t="s">
        <v>1991</v>
      </c>
      <c r="T879" s="263"/>
      <c r="U879" s="263"/>
      <c r="V879" s="263"/>
      <c r="W879" s="263"/>
      <c r="X879" s="263"/>
      <c r="Y879" s="575"/>
      <c r="Z879" s="575"/>
      <c r="AA879" s="576">
        <f t="shared" si="73"/>
        <v>0</v>
      </c>
      <c r="AB879" s="722"/>
    </row>
    <row r="880" spans="1:28" ht="15.75" customHeight="1" x14ac:dyDescent="0.35">
      <c r="A880" s="98" t="s">
        <v>3397</v>
      </c>
      <c r="C880" s="83">
        <v>43818</v>
      </c>
      <c r="D880" s="112">
        <v>43864</v>
      </c>
      <c r="E880" s="570"/>
      <c r="F880" s="88" t="s">
        <v>3398</v>
      </c>
      <c r="G880" s="88" t="s">
        <v>152</v>
      </c>
      <c r="H880" s="81" t="s">
        <v>220</v>
      </c>
      <c r="I880" s="98" t="s">
        <v>649</v>
      </c>
      <c r="J880" s="75">
        <f t="shared" si="76"/>
        <v>1</v>
      </c>
      <c r="K880" s="76" t="s">
        <v>211</v>
      </c>
      <c r="N880" s="78" t="s">
        <v>18</v>
      </c>
      <c r="Q880" s="78" t="s">
        <v>2130</v>
      </c>
      <c r="R880" s="75">
        <f t="shared" si="77"/>
        <v>1</v>
      </c>
      <c r="S880" s="263" t="s">
        <v>1991</v>
      </c>
      <c r="T880" s="263"/>
      <c r="U880" s="263"/>
      <c r="V880" s="263"/>
      <c r="W880" s="263"/>
      <c r="X880" s="263"/>
      <c r="Y880" s="575"/>
      <c r="Z880" s="575"/>
      <c r="AA880" s="576">
        <f t="shared" si="73"/>
        <v>0</v>
      </c>
      <c r="AB880" s="722"/>
    </row>
    <row r="881" spans="1:28" ht="15.75" customHeight="1" x14ac:dyDescent="0.35">
      <c r="A881" s="98" t="s">
        <v>3401</v>
      </c>
      <c r="C881" s="83">
        <v>43819</v>
      </c>
      <c r="D881" s="112">
        <v>43865</v>
      </c>
      <c r="E881" s="570"/>
      <c r="F881" s="88" t="s">
        <v>3402</v>
      </c>
      <c r="G881" s="88" t="s">
        <v>162</v>
      </c>
      <c r="H881" s="81" t="s">
        <v>220</v>
      </c>
      <c r="I881" s="98" t="s">
        <v>649</v>
      </c>
      <c r="J881" s="75">
        <f t="shared" si="76"/>
        <v>1</v>
      </c>
      <c r="K881" s="76" t="s">
        <v>211</v>
      </c>
      <c r="N881" s="78" t="s">
        <v>18</v>
      </c>
      <c r="Q881" s="78" t="s">
        <v>2130</v>
      </c>
      <c r="R881" s="75">
        <f t="shared" si="77"/>
        <v>1</v>
      </c>
      <c r="S881" s="263" t="s">
        <v>1991</v>
      </c>
      <c r="T881" s="263"/>
      <c r="U881" s="263"/>
      <c r="V881" s="263"/>
      <c r="W881" s="263"/>
      <c r="X881" s="263"/>
      <c r="Y881" s="575"/>
      <c r="Z881" s="575"/>
      <c r="AA881" s="576">
        <f t="shared" si="73"/>
        <v>0</v>
      </c>
      <c r="AB881" s="722"/>
    </row>
    <row r="882" spans="1:28" ht="15.75" customHeight="1" x14ac:dyDescent="0.35">
      <c r="A882" s="81" t="s">
        <v>3743</v>
      </c>
      <c r="C882" s="83">
        <v>43822</v>
      </c>
      <c r="D882" s="112">
        <v>43865</v>
      </c>
      <c r="E882" s="570"/>
      <c r="F882" s="88" t="s">
        <v>3744</v>
      </c>
      <c r="G882" s="88" t="s">
        <v>417</v>
      </c>
      <c r="H882" s="81" t="s">
        <v>220</v>
      </c>
      <c r="I882" s="98" t="s">
        <v>1004</v>
      </c>
      <c r="J882" s="75">
        <f t="shared" si="76"/>
        <v>1</v>
      </c>
      <c r="K882" s="76" t="s">
        <v>211</v>
      </c>
      <c r="N882" s="78" t="s">
        <v>19</v>
      </c>
      <c r="Q882" s="78" t="s">
        <v>2130</v>
      </c>
      <c r="R882" s="75">
        <f t="shared" si="77"/>
        <v>1</v>
      </c>
      <c r="S882" s="263" t="s">
        <v>1991</v>
      </c>
      <c r="T882" s="263"/>
      <c r="U882" s="263"/>
      <c r="V882" s="263"/>
      <c r="W882" s="263"/>
      <c r="X882" s="263"/>
      <c r="Y882" s="575"/>
      <c r="Z882" s="575"/>
      <c r="AA882" s="576">
        <f t="shared" si="73"/>
        <v>0</v>
      </c>
      <c r="AB882" s="722"/>
    </row>
    <row r="883" spans="1:28" ht="15.75" customHeight="1" x14ac:dyDescent="0.35">
      <c r="A883" s="81" t="s">
        <v>3745</v>
      </c>
      <c r="C883" s="83">
        <v>43822</v>
      </c>
      <c r="D883" s="112">
        <v>43866</v>
      </c>
      <c r="E883" s="570"/>
      <c r="F883" s="88" t="s">
        <v>3746</v>
      </c>
      <c r="G883" s="88" t="s">
        <v>154</v>
      </c>
      <c r="H883" s="81" t="s">
        <v>275</v>
      </c>
      <c r="I883" s="98" t="s">
        <v>730</v>
      </c>
      <c r="J883" s="75">
        <f t="shared" si="76"/>
        <v>1</v>
      </c>
      <c r="K883" s="76" t="s">
        <v>211</v>
      </c>
      <c r="L883" s="99" t="s">
        <v>3947</v>
      </c>
      <c r="N883" s="78" t="s">
        <v>17</v>
      </c>
      <c r="Q883" s="78" t="s">
        <v>2130</v>
      </c>
      <c r="R883" s="75">
        <f t="shared" si="77"/>
        <v>1</v>
      </c>
      <c r="S883" s="263" t="s">
        <v>1991</v>
      </c>
      <c r="T883" s="263"/>
      <c r="U883" s="263"/>
      <c r="V883" s="263"/>
      <c r="W883" s="263"/>
      <c r="X883" s="263"/>
      <c r="Y883" s="575"/>
      <c r="Z883" s="575"/>
      <c r="AA883" s="576">
        <f t="shared" si="73"/>
        <v>0</v>
      </c>
      <c r="AB883" s="722"/>
    </row>
    <row r="884" spans="1:28" ht="15.75" customHeight="1" x14ac:dyDescent="0.35">
      <c r="A884" s="81" t="s">
        <v>3413</v>
      </c>
      <c r="C884" s="83">
        <v>43822</v>
      </c>
      <c r="D884" s="112">
        <v>43866</v>
      </c>
      <c r="E884" s="570"/>
      <c r="F884" s="88" t="s">
        <v>3414</v>
      </c>
      <c r="G884" s="88" t="s">
        <v>154</v>
      </c>
      <c r="H884" s="81" t="s">
        <v>220</v>
      </c>
      <c r="I884" s="98" t="s">
        <v>649</v>
      </c>
      <c r="J884" s="75">
        <f t="shared" si="76"/>
        <v>1</v>
      </c>
      <c r="K884" s="76" t="s">
        <v>211</v>
      </c>
      <c r="N884" s="78" t="s">
        <v>18</v>
      </c>
      <c r="Q884" s="78" t="s">
        <v>2130</v>
      </c>
      <c r="R884" s="75">
        <f t="shared" si="77"/>
        <v>1</v>
      </c>
      <c r="S884" s="263" t="s">
        <v>1991</v>
      </c>
      <c r="T884" s="263"/>
      <c r="U884" s="263"/>
      <c r="V884" s="263"/>
      <c r="W884" s="263"/>
      <c r="X884" s="263"/>
      <c r="Y884" s="575"/>
      <c r="Z884" s="575"/>
      <c r="AA884" s="576">
        <f t="shared" si="73"/>
        <v>0</v>
      </c>
      <c r="AB884" s="722"/>
    </row>
    <row r="885" spans="1:28" ht="15.75" customHeight="1" x14ac:dyDescent="0.35">
      <c r="A885" s="81" t="s">
        <v>3419</v>
      </c>
      <c r="C885" s="83">
        <v>43823</v>
      </c>
      <c r="D885" s="112">
        <v>43867</v>
      </c>
      <c r="E885" s="570"/>
      <c r="F885" s="88" t="s">
        <v>3420</v>
      </c>
      <c r="G885" s="88" t="s">
        <v>158</v>
      </c>
      <c r="H885" s="81" t="s">
        <v>220</v>
      </c>
      <c r="I885" s="98" t="s">
        <v>2517</v>
      </c>
      <c r="J885" s="75">
        <f t="shared" si="76"/>
        <v>1</v>
      </c>
      <c r="K885" s="76" t="s">
        <v>211</v>
      </c>
      <c r="L885" s="99" t="s">
        <v>4177</v>
      </c>
      <c r="N885" s="78" t="s">
        <v>17</v>
      </c>
      <c r="Q885" s="78" t="s">
        <v>2130</v>
      </c>
      <c r="R885" s="75">
        <f t="shared" si="77"/>
        <v>1</v>
      </c>
      <c r="S885" s="263" t="s">
        <v>1991</v>
      </c>
      <c r="T885" s="263"/>
      <c r="U885" s="263"/>
      <c r="V885" s="263"/>
      <c r="W885" s="263"/>
      <c r="X885" s="263"/>
      <c r="Y885" s="575"/>
      <c r="Z885" s="575"/>
      <c r="AA885" s="576">
        <f t="shared" si="73"/>
        <v>0</v>
      </c>
      <c r="AB885" s="722"/>
    </row>
    <row r="886" spans="1:28" ht="15.75" customHeight="1" x14ac:dyDescent="0.35">
      <c r="A886" s="81" t="s">
        <v>3423</v>
      </c>
      <c r="C886" s="83">
        <v>43824</v>
      </c>
      <c r="D886" s="112">
        <v>43868</v>
      </c>
      <c r="E886" s="570"/>
      <c r="F886" s="88" t="s">
        <v>3424</v>
      </c>
      <c r="G886" s="88" t="s">
        <v>149</v>
      </c>
      <c r="H886" s="81" t="s">
        <v>220</v>
      </c>
      <c r="I886" s="98" t="s">
        <v>722</v>
      </c>
      <c r="J886" s="75">
        <f t="shared" si="76"/>
        <v>1</v>
      </c>
      <c r="K886" s="76" t="s">
        <v>211</v>
      </c>
      <c r="N886" s="78" t="s">
        <v>17</v>
      </c>
      <c r="Q886" s="78" t="s">
        <v>2130</v>
      </c>
      <c r="R886" s="75">
        <f t="shared" si="77"/>
        <v>1</v>
      </c>
      <c r="S886" s="263" t="s">
        <v>1991</v>
      </c>
      <c r="T886" s="263"/>
      <c r="U886" s="263"/>
      <c r="V886" s="263"/>
      <c r="W886" s="263"/>
      <c r="X886" s="263"/>
      <c r="Y886" s="575"/>
      <c r="Z886" s="575"/>
      <c r="AA886" s="576">
        <f t="shared" si="73"/>
        <v>0</v>
      </c>
      <c r="AB886" s="722"/>
    </row>
    <row r="887" spans="1:28" ht="15.75" customHeight="1" x14ac:dyDescent="0.35">
      <c r="A887" s="81" t="s">
        <v>3658</v>
      </c>
      <c r="C887" s="83">
        <v>43839</v>
      </c>
      <c r="D887" s="112">
        <v>43861</v>
      </c>
      <c r="E887" s="570"/>
      <c r="F887" s="88" t="s">
        <v>3659</v>
      </c>
      <c r="G887" s="88" t="s">
        <v>158</v>
      </c>
      <c r="H887" s="81" t="s">
        <v>220</v>
      </c>
      <c r="I887" s="98" t="s">
        <v>1004</v>
      </c>
      <c r="J887" s="75">
        <f t="shared" si="76"/>
        <v>1</v>
      </c>
      <c r="K887" s="76" t="s">
        <v>211</v>
      </c>
      <c r="N887" s="78" t="s">
        <v>19</v>
      </c>
      <c r="Q887" s="78" t="s">
        <v>2130</v>
      </c>
      <c r="R887" s="75">
        <f t="shared" si="77"/>
        <v>1</v>
      </c>
      <c r="S887" s="263" t="s">
        <v>1991</v>
      </c>
      <c r="T887" s="263"/>
      <c r="U887" s="263"/>
      <c r="V887" s="263"/>
      <c r="W887" s="263"/>
      <c r="X887" s="263"/>
      <c r="Y887" s="575"/>
      <c r="Z887" s="575"/>
      <c r="AA887" s="576">
        <f t="shared" si="73"/>
        <v>0</v>
      </c>
      <c r="AB887" s="722"/>
    </row>
    <row r="888" spans="1:28" ht="15.75" customHeight="1" x14ac:dyDescent="0.35">
      <c r="A888" s="81" t="s">
        <v>3662</v>
      </c>
      <c r="C888" s="83">
        <v>43839</v>
      </c>
      <c r="D888" s="112">
        <v>43861</v>
      </c>
      <c r="E888" s="570"/>
      <c r="F888" s="88" t="s">
        <v>3663</v>
      </c>
      <c r="G888" s="88" t="s">
        <v>177</v>
      </c>
      <c r="H888" s="81" t="s">
        <v>220</v>
      </c>
      <c r="I888" s="98" t="s">
        <v>3726</v>
      </c>
      <c r="J888" s="75">
        <f t="shared" si="76"/>
        <v>1</v>
      </c>
      <c r="K888" s="76" t="s">
        <v>211</v>
      </c>
      <c r="N888" s="78" t="s">
        <v>19</v>
      </c>
      <c r="Q888" s="78" t="s">
        <v>2130</v>
      </c>
      <c r="R888" s="75">
        <f t="shared" si="77"/>
        <v>1</v>
      </c>
      <c r="S888" s="263" t="s">
        <v>1991</v>
      </c>
      <c r="T888" s="263"/>
      <c r="U888" s="263"/>
      <c r="V888" s="263"/>
      <c r="W888" s="263"/>
      <c r="X888" s="263"/>
      <c r="Y888" s="575"/>
      <c r="Z888" s="575"/>
      <c r="AA888" s="576">
        <f t="shared" si="73"/>
        <v>0</v>
      </c>
      <c r="AB888" s="722"/>
    </row>
    <row r="889" spans="1:28" ht="15.75" customHeight="1" x14ac:dyDescent="0.35">
      <c r="A889" s="98" t="s">
        <v>3747</v>
      </c>
      <c r="C889" s="83">
        <v>43843</v>
      </c>
      <c r="D889" s="112">
        <v>43864</v>
      </c>
      <c r="E889" s="570"/>
      <c r="F889" s="88" t="s">
        <v>3748</v>
      </c>
      <c r="G889" s="88" t="s">
        <v>149</v>
      </c>
      <c r="H889" s="81" t="s">
        <v>220</v>
      </c>
      <c r="I889" s="98" t="s">
        <v>2516</v>
      </c>
      <c r="J889" s="75">
        <f t="shared" si="76"/>
        <v>1</v>
      </c>
      <c r="K889" s="76" t="s">
        <v>211</v>
      </c>
      <c r="N889" s="78" t="s">
        <v>17</v>
      </c>
      <c r="Q889" s="78" t="s">
        <v>2130</v>
      </c>
      <c r="R889" s="75">
        <f t="shared" si="77"/>
        <v>1</v>
      </c>
      <c r="S889" s="263" t="s">
        <v>1991</v>
      </c>
      <c r="T889" s="263"/>
      <c r="U889" s="263"/>
      <c r="V889" s="263"/>
      <c r="W889" s="263"/>
      <c r="X889" s="263"/>
      <c r="Y889" s="575"/>
      <c r="Z889" s="575"/>
      <c r="AA889" s="576">
        <f t="shared" si="73"/>
        <v>0</v>
      </c>
      <c r="AB889" s="722"/>
    </row>
    <row r="890" spans="1:28" ht="15.75" customHeight="1" x14ac:dyDescent="0.35">
      <c r="A890" s="81" t="s">
        <v>3749</v>
      </c>
      <c r="C890" s="83">
        <v>43840</v>
      </c>
      <c r="D890" s="112">
        <v>43864</v>
      </c>
      <c r="E890" s="570"/>
      <c r="F890" s="88" t="s">
        <v>3750</v>
      </c>
      <c r="G890" s="88" t="s">
        <v>156</v>
      </c>
      <c r="H890" s="81" t="s">
        <v>220</v>
      </c>
      <c r="I890" s="98" t="s">
        <v>3936</v>
      </c>
      <c r="J890" s="75">
        <f t="shared" si="76"/>
        <v>1</v>
      </c>
      <c r="K890" s="76" t="s">
        <v>211</v>
      </c>
      <c r="L890" s="99" t="s">
        <v>3937</v>
      </c>
      <c r="N890" s="78" t="s">
        <v>19</v>
      </c>
      <c r="Q890" s="78" t="s">
        <v>2130</v>
      </c>
      <c r="R890" s="75">
        <f t="shared" si="77"/>
        <v>1</v>
      </c>
      <c r="S890" s="263" t="s">
        <v>1991</v>
      </c>
      <c r="T890" s="263"/>
      <c r="U890" s="263"/>
      <c r="V890" s="263"/>
      <c r="W890" s="263"/>
      <c r="X890" s="263"/>
      <c r="Y890" s="575"/>
      <c r="Z890" s="575"/>
      <c r="AA890" s="576">
        <f t="shared" si="73"/>
        <v>0</v>
      </c>
      <c r="AB890" s="722"/>
    </row>
    <row r="891" spans="1:28" ht="15.75" customHeight="1" x14ac:dyDescent="0.35">
      <c r="A891" s="81" t="s">
        <v>3751</v>
      </c>
      <c r="C891" s="83">
        <v>43840</v>
      </c>
      <c r="D891" s="112">
        <v>43864</v>
      </c>
      <c r="E891" s="570"/>
      <c r="F891" s="88" t="s">
        <v>3752</v>
      </c>
      <c r="G891" s="88" t="s">
        <v>156</v>
      </c>
      <c r="H891" s="81" t="s">
        <v>220</v>
      </c>
      <c r="I891" s="98" t="s">
        <v>3901</v>
      </c>
      <c r="J891" s="75">
        <f t="shared" si="76"/>
        <v>1</v>
      </c>
      <c r="K891" s="76" t="s">
        <v>211</v>
      </c>
      <c r="N891" s="78" t="s">
        <v>17</v>
      </c>
      <c r="Q891" s="78" t="s">
        <v>2130</v>
      </c>
      <c r="R891" s="75">
        <f t="shared" si="77"/>
        <v>1</v>
      </c>
      <c r="S891" s="263" t="s">
        <v>1991</v>
      </c>
      <c r="T891" s="263"/>
      <c r="U891" s="263"/>
      <c r="V891" s="263"/>
      <c r="W891" s="263"/>
      <c r="X891" s="263"/>
      <c r="Y891" s="575"/>
      <c r="Z891" s="575"/>
      <c r="AA891" s="576">
        <f t="shared" si="73"/>
        <v>0</v>
      </c>
      <c r="AB891" s="722"/>
    </row>
    <row r="892" spans="1:28" ht="15.75" customHeight="1" x14ac:dyDescent="0.35">
      <c r="A892" s="98" t="s">
        <v>3753</v>
      </c>
      <c r="C892" s="83">
        <v>43840</v>
      </c>
      <c r="D892" s="112">
        <v>43864</v>
      </c>
      <c r="E892" s="570"/>
      <c r="F892" s="88" t="s">
        <v>3754</v>
      </c>
      <c r="G892" s="88" t="s">
        <v>154</v>
      </c>
      <c r="H892" s="81" t="s">
        <v>220</v>
      </c>
      <c r="I892" s="98" t="s">
        <v>1877</v>
      </c>
      <c r="J892" s="75">
        <f t="shared" si="76"/>
        <v>1</v>
      </c>
      <c r="K892" s="76" t="s">
        <v>211</v>
      </c>
      <c r="N892" s="78" t="s">
        <v>17</v>
      </c>
      <c r="Q892" s="78" t="s">
        <v>2130</v>
      </c>
      <c r="R892" s="75">
        <f t="shared" si="77"/>
        <v>1</v>
      </c>
      <c r="S892" s="263" t="s">
        <v>1991</v>
      </c>
      <c r="T892" s="263"/>
      <c r="U892" s="263"/>
      <c r="V892" s="263"/>
      <c r="W892" s="263"/>
      <c r="X892" s="263"/>
      <c r="Y892" s="575"/>
      <c r="Z892" s="575"/>
      <c r="AA892" s="576">
        <f t="shared" si="73"/>
        <v>0</v>
      </c>
      <c r="AB892" s="722"/>
    </row>
    <row r="893" spans="1:28" ht="15.75" customHeight="1" x14ac:dyDescent="0.35">
      <c r="A893" s="81" t="s">
        <v>3759</v>
      </c>
      <c r="C893" s="83">
        <v>43843</v>
      </c>
      <c r="D893" s="112">
        <v>43865</v>
      </c>
      <c r="E893" s="570"/>
      <c r="F893" s="88" t="s">
        <v>3760</v>
      </c>
      <c r="G893" s="88" t="s">
        <v>176</v>
      </c>
      <c r="H893" s="81" t="s">
        <v>220</v>
      </c>
      <c r="I893" s="98" t="s">
        <v>2516</v>
      </c>
      <c r="J893" s="75">
        <f t="shared" si="76"/>
        <v>1</v>
      </c>
      <c r="K893" s="76" t="s">
        <v>211</v>
      </c>
      <c r="L893" s="99" t="s">
        <v>3941</v>
      </c>
      <c r="N893" s="78" t="s">
        <v>19</v>
      </c>
      <c r="Q893" s="78" t="s">
        <v>2130</v>
      </c>
      <c r="R893" s="75">
        <f t="shared" si="77"/>
        <v>1</v>
      </c>
      <c r="S893" s="263" t="s">
        <v>1991</v>
      </c>
      <c r="T893" s="263"/>
      <c r="U893" s="263"/>
      <c r="V893" s="263"/>
      <c r="W893" s="263"/>
      <c r="X893" s="263"/>
      <c r="Y893" s="575"/>
      <c r="Z893" s="575"/>
      <c r="AA893" s="576">
        <f t="shared" si="73"/>
        <v>0</v>
      </c>
      <c r="AB893" s="722"/>
    </row>
    <row r="894" spans="1:28" ht="15.75" customHeight="1" x14ac:dyDescent="0.35">
      <c r="A894" s="81" t="s">
        <v>3769</v>
      </c>
      <c r="C894" s="83">
        <v>43845</v>
      </c>
      <c r="D894" s="112">
        <v>43867</v>
      </c>
      <c r="E894" s="570"/>
      <c r="F894" s="88" t="s">
        <v>3770</v>
      </c>
      <c r="G894" s="88" t="s">
        <v>168</v>
      </c>
      <c r="H894" s="81" t="s">
        <v>220</v>
      </c>
      <c r="I894" s="98" t="s">
        <v>3956</v>
      </c>
      <c r="J894" s="75">
        <f t="shared" si="76"/>
        <v>1</v>
      </c>
      <c r="K894" s="76" t="s">
        <v>211</v>
      </c>
      <c r="L894" s="99" t="s">
        <v>3957</v>
      </c>
      <c r="N894" s="78" t="s">
        <v>17</v>
      </c>
      <c r="Q894" s="78" t="s">
        <v>2130</v>
      </c>
      <c r="R894" s="75">
        <f t="shared" si="77"/>
        <v>1</v>
      </c>
      <c r="S894" s="263" t="s">
        <v>1991</v>
      </c>
      <c r="T894" s="263"/>
      <c r="U894" s="263"/>
      <c r="V894" s="263"/>
      <c r="W894" s="263"/>
      <c r="X894" s="263"/>
      <c r="Y894" s="575"/>
      <c r="Z894" s="575"/>
      <c r="AA894" s="576">
        <f t="shared" si="73"/>
        <v>0</v>
      </c>
      <c r="AB894" s="722"/>
    </row>
    <row r="895" spans="1:28" ht="15.75" customHeight="1" x14ac:dyDescent="0.35">
      <c r="A895" s="81" t="s">
        <v>3771</v>
      </c>
      <c r="C895" s="83">
        <v>43845</v>
      </c>
      <c r="D895" s="112">
        <v>43867</v>
      </c>
      <c r="E895" s="570"/>
      <c r="F895" s="88" t="s">
        <v>3772</v>
      </c>
      <c r="G895" s="88" t="s">
        <v>156</v>
      </c>
      <c r="H895" s="81" t="s">
        <v>220</v>
      </c>
      <c r="I895" s="98" t="s">
        <v>1004</v>
      </c>
      <c r="J895" s="75">
        <f t="shared" si="76"/>
        <v>1</v>
      </c>
      <c r="K895" s="76" t="s">
        <v>211</v>
      </c>
      <c r="L895" s="99" t="s">
        <v>3961</v>
      </c>
      <c r="N895" s="78" t="s">
        <v>19</v>
      </c>
      <c r="Q895" s="78" t="s">
        <v>2130</v>
      </c>
      <c r="R895" s="75">
        <f t="shared" si="77"/>
        <v>1</v>
      </c>
      <c r="S895" s="263" t="s">
        <v>1991</v>
      </c>
      <c r="T895" s="263"/>
      <c r="U895" s="263"/>
      <c r="V895" s="263"/>
      <c r="W895" s="263"/>
      <c r="X895" s="263"/>
      <c r="Y895" s="575"/>
      <c r="Z895" s="575"/>
      <c r="AA895" s="576">
        <f t="shared" si="73"/>
        <v>0</v>
      </c>
      <c r="AB895" s="722"/>
    </row>
    <row r="896" spans="1:28" ht="15.75" customHeight="1" x14ac:dyDescent="0.35">
      <c r="A896" s="81" t="s">
        <v>3775</v>
      </c>
      <c r="C896" s="83">
        <v>43845</v>
      </c>
      <c r="D896" s="112">
        <v>43867</v>
      </c>
      <c r="E896" s="570"/>
      <c r="F896" s="88" t="s">
        <v>3776</v>
      </c>
      <c r="G896" s="88" t="s">
        <v>162</v>
      </c>
      <c r="H896" s="81" t="s">
        <v>220</v>
      </c>
      <c r="I896" s="98" t="s">
        <v>656</v>
      </c>
      <c r="J896" s="75">
        <f t="shared" si="76"/>
        <v>1</v>
      </c>
      <c r="K896" s="76" t="s">
        <v>211</v>
      </c>
      <c r="N896" s="78" t="s">
        <v>17</v>
      </c>
      <c r="Q896" s="78" t="s">
        <v>2130</v>
      </c>
      <c r="R896" s="75">
        <f t="shared" si="77"/>
        <v>1</v>
      </c>
      <c r="S896" s="263" t="s">
        <v>1991</v>
      </c>
      <c r="T896" s="263"/>
      <c r="U896" s="263"/>
      <c r="V896" s="263"/>
      <c r="W896" s="263"/>
      <c r="X896" s="263"/>
      <c r="Y896" s="575"/>
      <c r="Z896" s="575"/>
      <c r="AA896" s="576">
        <f t="shared" si="73"/>
        <v>0</v>
      </c>
      <c r="AB896" s="722"/>
    </row>
    <row r="897" spans="1:28" ht="15.75" customHeight="1" x14ac:dyDescent="0.35">
      <c r="A897" s="81" t="s">
        <v>3781</v>
      </c>
      <c r="C897" s="83">
        <v>43846</v>
      </c>
      <c r="D897" s="112">
        <v>43868</v>
      </c>
      <c r="E897" s="570"/>
      <c r="F897" s="88" t="s">
        <v>3782</v>
      </c>
      <c r="G897" s="88" t="s">
        <v>154</v>
      </c>
      <c r="H897" s="81" t="s">
        <v>275</v>
      </c>
      <c r="I897" s="98" t="s">
        <v>656</v>
      </c>
      <c r="J897" s="75">
        <f t="shared" si="76"/>
        <v>1</v>
      </c>
      <c r="K897" s="76" t="s">
        <v>211</v>
      </c>
      <c r="L897" s="99" t="s">
        <v>4182</v>
      </c>
      <c r="N897" s="78" t="s">
        <v>18</v>
      </c>
      <c r="Q897" s="78" t="s">
        <v>2130</v>
      </c>
      <c r="R897" s="75">
        <f t="shared" si="77"/>
        <v>1</v>
      </c>
      <c r="S897" s="263" t="s">
        <v>1991</v>
      </c>
      <c r="T897" s="263"/>
      <c r="U897" s="263"/>
      <c r="V897" s="263"/>
      <c r="W897" s="263"/>
      <c r="X897" s="263"/>
      <c r="Y897" s="575"/>
      <c r="Z897" s="575"/>
      <c r="AA897" s="576">
        <f t="shared" ref="AA897:AA960" si="78">Z897-Y897</f>
        <v>0</v>
      </c>
      <c r="AB897" s="722"/>
    </row>
    <row r="898" spans="1:28" ht="15.75" customHeight="1" x14ac:dyDescent="0.35">
      <c r="A898" s="98" t="s">
        <v>3437</v>
      </c>
      <c r="C898" s="83">
        <v>43818</v>
      </c>
      <c r="D898" s="112">
        <v>43864</v>
      </c>
      <c r="E898" s="570"/>
      <c r="F898" s="88" t="s">
        <v>3438</v>
      </c>
      <c r="G898" s="88" t="s">
        <v>149</v>
      </c>
      <c r="H898" s="81" t="s">
        <v>220</v>
      </c>
      <c r="I898" s="98" t="s">
        <v>649</v>
      </c>
      <c r="J898" s="75">
        <f t="shared" si="76"/>
        <v>1</v>
      </c>
      <c r="K898" s="76" t="s">
        <v>211</v>
      </c>
      <c r="N898" s="78" t="s">
        <v>18</v>
      </c>
      <c r="Q898" s="78" t="s">
        <v>2163</v>
      </c>
      <c r="R898" s="75">
        <f t="shared" si="77"/>
        <v>1</v>
      </c>
      <c r="S898" s="263" t="s">
        <v>1991</v>
      </c>
      <c r="T898" s="263"/>
      <c r="U898" s="263"/>
      <c r="V898" s="263"/>
      <c r="W898" s="263"/>
      <c r="X898" s="263"/>
      <c r="Y898" s="575"/>
      <c r="Z898" s="575"/>
      <c r="AA898" s="576">
        <f t="shared" si="78"/>
        <v>0</v>
      </c>
      <c r="AB898" s="722"/>
    </row>
    <row r="899" spans="1:28" ht="15.75" customHeight="1" x14ac:dyDescent="0.35">
      <c r="A899" s="98" t="s">
        <v>3439</v>
      </c>
      <c r="C899" s="83">
        <v>43818</v>
      </c>
      <c r="D899" s="112">
        <v>43864</v>
      </c>
      <c r="E899" s="570"/>
      <c r="F899" s="88" t="s">
        <v>3440</v>
      </c>
      <c r="G899" s="88" t="s">
        <v>156</v>
      </c>
      <c r="H899" s="81" t="s">
        <v>220</v>
      </c>
      <c r="I899" s="98" t="s">
        <v>730</v>
      </c>
      <c r="J899" s="75">
        <f t="shared" si="76"/>
        <v>1</v>
      </c>
      <c r="K899" s="76" t="s">
        <v>211</v>
      </c>
      <c r="L899" s="99" t="s">
        <v>3899</v>
      </c>
      <c r="N899" s="78" t="s">
        <v>17</v>
      </c>
      <c r="Q899" s="78" t="s">
        <v>2163</v>
      </c>
      <c r="R899" s="75">
        <f t="shared" si="77"/>
        <v>1</v>
      </c>
      <c r="S899" s="263" t="s">
        <v>1991</v>
      </c>
      <c r="T899" s="263"/>
      <c r="U899" s="263"/>
      <c r="V899" s="263"/>
      <c r="W899" s="263"/>
      <c r="X899" s="263"/>
      <c r="Y899" s="575"/>
      <c r="Z899" s="575"/>
      <c r="AA899" s="576">
        <f t="shared" si="78"/>
        <v>0</v>
      </c>
      <c r="AB899" s="722"/>
    </row>
    <row r="900" spans="1:28" ht="15.75" customHeight="1" x14ac:dyDescent="0.35">
      <c r="A900" s="81" t="s">
        <v>3443</v>
      </c>
      <c r="C900" s="83">
        <v>43819</v>
      </c>
      <c r="D900" s="112">
        <v>43865</v>
      </c>
      <c r="E900" s="570"/>
      <c r="F900" s="88" t="s">
        <v>3444</v>
      </c>
      <c r="G900" s="88" t="s">
        <v>168</v>
      </c>
      <c r="H900" s="81" t="s">
        <v>220</v>
      </c>
      <c r="I900" s="98" t="s">
        <v>722</v>
      </c>
      <c r="J900" s="75">
        <f t="shared" si="76"/>
        <v>1</v>
      </c>
      <c r="K900" s="76" t="s">
        <v>211</v>
      </c>
      <c r="N900" s="78" t="s">
        <v>17</v>
      </c>
      <c r="Q900" s="78" t="s">
        <v>2163</v>
      </c>
      <c r="R900" s="75">
        <f t="shared" si="77"/>
        <v>1</v>
      </c>
      <c r="S900" s="263" t="s">
        <v>1991</v>
      </c>
      <c r="T900" s="263"/>
      <c r="U900" s="263"/>
      <c r="V900" s="263"/>
      <c r="W900" s="263"/>
      <c r="X900" s="263"/>
      <c r="Y900" s="575"/>
      <c r="Z900" s="575"/>
      <c r="AA900" s="576">
        <f t="shared" si="78"/>
        <v>0</v>
      </c>
      <c r="AB900" s="722"/>
    </row>
    <row r="901" spans="1:28" ht="15.75" customHeight="1" x14ac:dyDescent="0.35">
      <c r="A901" s="98" t="s">
        <v>3445</v>
      </c>
      <c r="C901" s="83">
        <v>43819</v>
      </c>
      <c r="D901" s="112">
        <v>43865</v>
      </c>
      <c r="E901" s="570"/>
      <c r="F901" s="88" t="s">
        <v>3446</v>
      </c>
      <c r="G901" s="88" t="s">
        <v>154</v>
      </c>
      <c r="H901" s="81" t="s">
        <v>220</v>
      </c>
      <c r="I901" s="98" t="s">
        <v>648</v>
      </c>
      <c r="J901" s="75">
        <f t="shared" si="76"/>
        <v>1</v>
      </c>
      <c r="K901" s="76" t="s">
        <v>211</v>
      </c>
      <c r="N901" s="78" t="s">
        <v>17</v>
      </c>
      <c r="Q901" s="78" t="s">
        <v>2163</v>
      </c>
      <c r="R901" s="75">
        <f t="shared" si="77"/>
        <v>1</v>
      </c>
      <c r="S901" s="263" t="s">
        <v>1991</v>
      </c>
      <c r="T901" s="263"/>
      <c r="U901" s="263"/>
      <c r="V901" s="263"/>
      <c r="W901" s="263"/>
      <c r="X901" s="263"/>
      <c r="Y901" s="575"/>
      <c r="Z901" s="575"/>
      <c r="AA901" s="576">
        <f t="shared" si="78"/>
        <v>0</v>
      </c>
      <c r="AB901" s="722"/>
    </row>
    <row r="902" spans="1:28" ht="15.75" customHeight="1" x14ac:dyDescent="0.35">
      <c r="A902" s="81" t="s">
        <v>3447</v>
      </c>
      <c r="C902" s="83">
        <v>43819</v>
      </c>
      <c r="D902" s="112">
        <v>43865</v>
      </c>
      <c r="E902" s="570"/>
      <c r="F902" s="88" t="s">
        <v>3448</v>
      </c>
      <c r="G902" s="88" t="s">
        <v>162</v>
      </c>
      <c r="H902" s="81" t="s">
        <v>220</v>
      </c>
      <c r="I902" s="98" t="s">
        <v>649</v>
      </c>
      <c r="J902" s="75">
        <f t="shared" si="76"/>
        <v>1</v>
      </c>
      <c r="K902" s="76" t="s">
        <v>211</v>
      </c>
      <c r="N902" s="78" t="s">
        <v>18</v>
      </c>
      <c r="Q902" s="78" t="s">
        <v>2163</v>
      </c>
      <c r="R902" s="75">
        <f t="shared" si="77"/>
        <v>1</v>
      </c>
      <c r="S902" s="263" t="s">
        <v>1991</v>
      </c>
      <c r="T902" s="263"/>
      <c r="U902" s="263"/>
      <c r="V902" s="263"/>
      <c r="W902" s="263"/>
      <c r="X902" s="263"/>
      <c r="Y902" s="575"/>
      <c r="Z902" s="575"/>
      <c r="AA902" s="576">
        <f t="shared" si="78"/>
        <v>0</v>
      </c>
      <c r="AB902" s="722"/>
    </row>
    <row r="903" spans="1:28" ht="15.75" customHeight="1" x14ac:dyDescent="0.35">
      <c r="A903" s="81" t="s">
        <v>3449</v>
      </c>
      <c r="C903" s="83">
        <v>43822</v>
      </c>
      <c r="D903" s="112">
        <v>43866</v>
      </c>
      <c r="E903" s="570"/>
      <c r="F903" s="88" t="s">
        <v>3450</v>
      </c>
      <c r="G903" s="88" t="s">
        <v>162</v>
      </c>
      <c r="H903" s="81" t="s">
        <v>220</v>
      </c>
      <c r="I903" s="98" t="s">
        <v>648</v>
      </c>
      <c r="J903" s="75">
        <f t="shared" si="76"/>
        <v>1</v>
      </c>
      <c r="K903" s="76" t="s">
        <v>211</v>
      </c>
      <c r="N903" s="78" t="s">
        <v>17</v>
      </c>
      <c r="Q903" s="78" t="s">
        <v>2163</v>
      </c>
      <c r="R903" s="75">
        <f t="shared" si="77"/>
        <v>1</v>
      </c>
      <c r="S903" s="263" t="s">
        <v>1991</v>
      </c>
      <c r="T903" s="263"/>
      <c r="U903" s="263"/>
      <c r="V903" s="263"/>
      <c r="W903" s="263"/>
      <c r="X903" s="263"/>
      <c r="Y903" s="575"/>
      <c r="Z903" s="575"/>
      <c r="AA903" s="576">
        <f t="shared" si="78"/>
        <v>0</v>
      </c>
      <c r="AB903" s="722"/>
    </row>
    <row r="904" spans="1:28" ht="15.75" customHeight="1" x14ac:dyDescent="0.35">
      <c r="A904" s="81" t="s">
        <v>3455</v>
      </c>
      <c r="C904" s="83">
        <v>43822</v>
      </c>
      <c r="D904" s="112">
        <v>43866</v>
      </c>
      <c r="E904" s="570"/>
      <c r="F904" s="88" t="s">
        <v>3456</v>
      </c>
      <c r="G904" s="88" t="s">
        <v>162</v>
      </c>
      <c r="H904" s="81" t="s">
        <v>220</v>
      </c>
      <c r="I904" s="98" t="s">
        <v>722</v>
      </c>
      <c r="J904" s="75">
        <f t="shared" si="76"/>
        <v>1</v>
      </c>
      <c r="K904" s="76" t="s">
        <v>211</v>
      </c>
      <c r="N904" s="78" t="s">
        <v>17</v>
      </c>
      <c r="Q904" s="78" t="s">
        <v>2163</v>
      </c>
      <c r="R904" s="75">
        <f t="shared" si="77"/>
        <v>1</v>
      </c>
      <c r="S904" s="263" t="s">
        <v>1991</v>
      </c>
      <c r="T904" s="263"/>
      <c r="U904" s="263"/>
      <c r="V904" s="263"/>
      <c r="W904" s="263"/>
      <c r="X904" s="263"/>
      <c r="Y904" s="575"/>
      <c r="Z904" s="575"/>
      <c r="AA904" s="576">
        <f t="shared" si="78"/>
        <v>0</v>
      </c>
      <c r="AB904" s="722"/>
    </row>
    <row r="905" spans="1:28" ht="15.75" customHeight="1" x14ac:dyDescent="0.35">
      <c r="A905" s="81" t="s">
        <v>3459</v>
      </c>
      <c r="C905" s="83">
        <v>43823</v>
      </c>
      <c r="D905" s="112">
        <v>43867</v>
      </c>
      <c r="E905" s="570"/>
      <c r="F905" s="88" t="s">
        <v>3460</v>
      </c>
      <c r="G905" s="88" t="s">
        <v>162</v>
      </c>
      <c r="H905" s="81" t="s">
        <v>220</v>
      </c>
      <c r="I905" s="98" t="s">
        <v>722</v>
      </c>
      <c r="J905" s="75">
        <f t="shared" si="76"/>
        <v>1</v>
      </c>
      <c r="K905" s="76" t="s">
        <v>211</v>
      </c>
      <c r="L905" s="99" t="s">
        <v>3962</v>
      </c>
      <c r="N905" s="78" t="s">
        <v>17</v>
      </c>
      <c r="Q905" s="78" t="s">
        <v>2163</v>
      </c>
      <c r="R905" s="75">
        <f t="shared" si="77"/>
        <v>1</v>
      </c>
      <c r="S905" s="263" t="s">
        <v>1991</v>
      </c>
      <c r="T905" s="263"/>
      <c r="U905" s="263"/>
      <c r="V905" s="263"/>
      <c r="W905" s="263"/>
      <c r="X905" s="263"/>
      <c r="Y905" s="575"/>
      <c r="Z905" s="575"/>
      <c r="AA905" s="576">
        <f t="shared" si="78"/>
        <v>0</v>
      </c>
      <c r="AB905" s="722"/>
    </row>
    <row r="906" spans="1:28" ht="15.75" customHeight="1" x14ac:dyDescent="0.35">
      <c r="A906" s="81" t="s">
        <v>3461</v>
      </c>
      <c r="C906" s="83">
        <v>43823</v>
      </c>
      <c r="D906" s="112">
        <v>43867</v>
      </c>
      <c r="E906" s="570"/>
      <c r="F906" s="88" t="s">
        <v>3462</v>
      </c>
      <c r="G906" s="88" t="s">
        <v>162</v>
      </c>
      <c r="H906" s="81" t="s">
        <v>220</v>
      </c>
      <c r="I906" s="98" t="s">
        <v>722</v>
      </c>
      <c r="J906" s="75">
        <f t="shared" si="76"/>
        <v>1</v>
      </c>
      <c r="K906" s="76" t="s">
        <v>211</v>
      </c>
      <c r="N906" s="78" t="s">
        <v>18</v>
      </c>
      <c r="Q906" s="78" t="s">
        <v>2163</v>
      </c>
      <c r="R906" s="75">
        <f t="shared" si="77"/>
        <v>1</v>
      </c>
      <c r="S906" s="263" t="s">
        <v>1991</v>
      </c>
      <c r="T906" s="263"/>
      <c r="U906" s="263"/>
      <c r="V906" s="263"/>
      <c r="W906" s="263"/>
      <c r="X906" s="263"/>
      <c r="Y906" s="575"/>
      <c r="Z906" s="575"/>
      <c r="AA906" s="576">
        <f t="shared" si="78"/>
        <v>0</v>
      </c>
      <c r="AB906" s="722"/>
    </row>
    <row r="907" spans="1:28" ht="15.75" customHeight="1" x14ac:dyDescent="0.35">
      <c r="A907" s="81" t="s">
        <v>3465</v>
      </c>
      <c r="C907" s="83">
        <v>43824</v>
      </c>
      <c r="D907" s="112">
        <v>43868</v>
      </c>
      <c r="E907" s="570"/>
      <c r="F907" s="88" t="s">
        <v>3466</v>
      </c>
      <c r="G907" s="88" t="s">
        <v>156</v>
      </c>
      <c r="H907" s="81" t="s">
        <v>220</v>
      </c>
      <c r="I907" s="98" t="s">
        <v>730</v>
      </c>
      <c r="J907" s="75">
        <f t="shared" ref="J907:J928" si="79">IF(OR(K907="Документы готовы",K907="Запрос в ФО",K907="ЭЗ",K907="РЕШ",K907="РЕШ шаблон"),0.1,IF(OR(K907="ЭЗ согласование",K907="РЕШ согласование"),0.3,IF(OR(K907="ЭЗ согласовано",K907="РЕШ согласовано",K907="РЕШ подписано"),0.6,IF(OR(K907="ЭЗ ПР согласование",K907="РЕШ УВ согласование"),0.9,IF(OR(K907="ЭЗ ПР DONE",K907="РЕШ УВ DONE"),1,0)))))</f>
        <v>1</v>
      </c>
      <c r="K907" s="76" t="s">
        <v>211</v>
      </c>
      <c r="L907" s="99" t="s">
        <v>3954</v>
      </c>
      <c r="N907" s="78" t="s">
        <v>17</v>
      </c>
      <c r="Q907" s="78" t="s">
        <v>2163</v>
      </c>
      <c r="R907" s="75">
        <f t="shared" si="77"/>
        <v>1</v>
      </c>
      <c r="S907" s="263" t="s">
        <v>1991</v>
      </c>
      <c r="T907" s="263"/>
      <c r="U907" s="263"/>
      <c r="V907" s="263"/>
      <c r="W907" s="263"/>
      <c r="X907" s="263"/>
      <c r="Y907" s="575"/>
      <c r="Z907" s="575"/>
      <c r="AA907" s="576">
        <f t="shared" si="78"/>
        <v>0</v>
      </c>
      <c r="AB907" s="722"/>
    </row>
    <row r="908" spans="1:28" ht="15.75" customHeight="1" x14ac:dyDescent="0.35">
      <c r="A908" s="81" t="s">
        <v>3689</v>
      </c>
      <c r="C908" s="83">
        <v>43839</v>
      </c>
      <c r="D908" s="83">
        <v>43861</v>
      </c>
      <c r="E908" s="570"/>
      <c r="F908" s="88" t="s">
        <v>3690</v>
      </c>
      <c r="G908" s="88" t="s">
        <v>176</v>
      </c>
      <c r="H908" s="81" t="s">
        <v>220</v>
      </c>
      <c r="J908" s="75">
        <f t="shared" si="79"/>
        <v>1</v>
      </c>
      <c r="K908" s="76" t="s">
        <v>221</v>
      </c>
      <c r="Q908" s="78" t="s">
        <v>2163</v>
      </c>
      <c r="R908" s="75">
        <f t="shared" ref="R908:R928" si="80">IF(S908="В работе",0.3,IF(S908="Отписано",0.6,IF(S908="На доработку",0.9,IF(S908="Согласовано",1,0))))</f>
        <v>1</v>
      </c>
      <c r="S908" s="263" t="s">
        <v>1991</v>
      </c>
      <c r="T908" s="263"/>
      <c r="U908" s="263"/>
      <c r="V908" s="263"/>
      <c r="W908" s="263"/>
      <c r="X908" s="263"/>
      <c r="Y908" s="575"/>
      <c r="Z908" s="575"/>
      <c r="AA908" s="576">
        <f t="shared" si="78"/>
        <v>0</v>
      </c>
      <c r="AB908" s="722"/>
    </row>
    <row r="909" spans="1:28" ht="15.75" customHeight="1" x14ac:dyDescent="0.35">
      <c r="A909" s="98" t="s">
        <v>3785</v>
      </c>
      <c r="C909" s="83">
        <v>43840</v>
      </c>
      <c r="D909" s="112">
        <v>43864</v>
      </c>
      <c r="E909" s="570"/>
      <c r="F909" s="88" t="s">
        <v>3786</v>
      </c>
      <c r="G909" s="88" t="s">
        <v>152</v>
      </c>
      <c r="H909" s="81" t="s">
        <v>220</v>
      </c>
      <c r="I909" s="98" t="s">
        <v>3900</v>
      </c>
      <c r="J909" s="75">
        <f t="shared" si="79"/>
        <v>1</v>
      </c>
      <c r="K909" s="76" t="s">
        <v>211</v>
      </c>
      <c r="N909" s="78" t="s">
        <v>19</v>
      </c>
      <c r="Q909" s="78" t="s">
        <v>2163</v>
      </c>
      <c r="R909" s="75">
        <f t="shared" si="80"/>
        <v>1</v>
      </c>
      <c r="S909" s="263" t="s">
        <v>1991</v>
      </c>
      <c r="T909" s="263"/>
      <c r="U909" s="263"/>
      <c r="V909" s="263"/>
      <c r="W909" s="263"/>
      <c r="X909" s="263"/>
      <c r="Y909" s="575"/>
      <c r="Z909" s="575"/>
      <c r="AA909" s="576">
        <f t="shared" si="78"/>
        <v>0</v>
      </c>
      <c r="AB909" s="722"/>
    </row>
    <row r="910" spans="1:28" ht="15.75" customHeight="1" x14ac:dyDescent="0.35">
      <c r="A910" s="98" t="s">
        <v>3787</v>
      </c>
      <c r="C910" s="83">
        <v>43840</v>
      </c>
      <c r="D910" s="112">
        <v>43864</v>
      </c>
      <c r="E910" s="570"/>
      <c r="F910" s="88" t="s">
        <v>3788</v>
      </c>
      <c r="G910" s="88" t="s">
        <v>158</v>
      </c>
      <c r="H910" s="81" t="s">
        <v>220</v>
      </c>
      <c r="I910" s="98" t="s">
        <v>1004</v>
      </c>
      <c r="J910" s="75">
        <f t="shared" si="79"/>
        <v>1</v>
      </c>
      <c r="K910" s="76" t="s">
        <v>211</v>
      </c>
      <c r="N910" s="78" t="s">
        <v>19</v>
      </c>
      <c r="Q910" s="78" t="s">
        <v>2163</v>
      </c>
      <c r="R910" s="75">
        <f t="shared" si="80"/>
        <v>1</v>
      </c>
      <c r="S910" s="263" t="s">
        <v>1991</v>
      </c>
      <c r="T910" s="263"/>
      <c r="U910" s="263"/>
      <c r="V910" s="263"/>
      <c r="W910" s="263"/>
      <c r="X910" s="263"/>
      <c r="Y910" s="575"/>
      <c r="Z910" s="575"/>
      <c r="AA910" s="576">
        <f t="shared" si="78"/>
        <v>0</v>
      </c>
      <c r="AB910" s="722"/>
    </row>
    <row r="911" spans="1:28" ht="15.75" customHeight="1" x14ac:dyDescent="0.35">
      <c r="A911" s="98" t="s">
        <v>3789</v>
      </c>
      <c r="C911" s="83">
        <v>43840</v>
      </c>
      <c r="D911" s="112">
        <v>43864</v>
      </c>
      <c r="E911" s="570"/>
      <c r="F911" s="88" t="s">
        <v>3790</v>
      </c>
      <c r="G911" s="88" t="s">
        <v>162</v>
      </c>
      <c r="H911" s="81" t="s">
        <v>220</v>
      </c>
      <c r="I911" s="98" t="s">
        <v>656</v>
      </c>
      <c r="J911" s="75">
        <f t="shared" si="79"/>
        <v>1</v>
      </c>
      <c r="K911" s="76" t="s">
        <v>211</v>
      </c>
      <c r="N911" s="78" t="s">
        <v>17</v>
      </c>
      <c r="Q911" s="78" t="s">
        <v>2163</v>
      </c>
      <c r="R911" s="75">
        <f t="shared" si="80"/>
        <v>1</v>
      </c>
      <c r="S911" s="263" t="s">
        <v>1991</v>
      </c>
      <c r="T911" s="263"/>
      <c r="U911" s="263"/>
      <c r="V911" s="263"/>
      <c r="W911" s="263"/>
      <c r="X911" s="263"/>
      <c r="Y911" s="575"/>
      <c r="Z911" s="575"/>
      <c r="AA911" s="576">
        <f t="shared" si="78"/>
        <v>0</v>
      </c>
      <c r="AB911" s="722"/>
    </row>
    <row r="912" spans="1:28" ht="15.75" customHeight="1" x14ac:dyDescent="0.35">
      <c r="A912" s="81" t="s">
        <v>3791</v>
      </c>
      <c r="C912" s="83">
        <v>43840</v>
      </c>
      <c r="D912" s="112">
        <v>43864</v>
      </c>
      <c r="E912" s="570"/>
      <c r="F912" s="88" t="s">
        <v>3792</v>
      </c>
      <c r="G912" s="88" t="s">
        <v>154</v>
      </c>
      <c r="H912" s="81" t="s">
        <v>220</v>
      </c>
      <c r="I912" s="98" t="s">
        <v>656</v>
      </c>
      <c r="J912" s="75">
        <f t="shared" si="79"/>
        <v>1</v>
      </c>
      <c r="K912" s="76" t="s">
        <v>211</v>
      </c>
      <c r="N912" s="78" t="s">
        <v>18</v>
      </c>
      <c r="Q912" s="78" t="s">
        <v>2163</v>
      </c>
      <c r="R912" s="75">
        <f t="shared" si="80"/>
        <v>1</v>
      </c>
      <c r="S912" s="263" t="s">
        <v>1991</v>
      </c>
      <c r="T912" s="263"/>
      <c r="U912" s="263"/>
      <c r="V912" s="263"/>
      <c r="W912" s="263"/>
      <c r="X912" s="263"/>
      <c r="Y912" s="575"/>
      <c r="Z912" s="575"/>
      <c r="AA912" s="576">
        <f t="shared" si="78"/>
        <v>0</v>
      </c>
      <c r="AB912" s="722"/>
    </row>
    <row r="913" spans="1:28" ht="15.75" customHeight="1" x14ac:dyDescent="0.35">
      <c r="A913" s="98" t="s">
        <v>3797</v>
      </c>
      <c r="C913" s="83">
        <v>43843</v>
      </c>
      <c r="D913" s="112">
        <v>43865</v>
      </c>
      <c r="E913" s="570"/>
      <c r="F913" s="88" t="s">
        <v>3798</v>
      </c>
      <c r="G913" s="88" t="s">
        <v>154</v>
      </c>
      <c r="H913" s="81" t="s">
        <v>220</v>
      </c>
      <c r="I913" s="98" t="s">
        <v>656</v>
      </c>
      <c r="J913" s="75">
        <f t="shared" si="79"/>
        <v>1</v>
      </c>
      <c r="K913" s="76" t="s">
        <v>211</v>
      </c>
      <c r="N913" s="78" t="s">
        <v>17</v>
      </c>
      <c r="Q913" s="78" t="s">
        <v>2163</v>
      </c>
      <c r="R913" s="75">
        <f t="shared" si="80"/>
        <v>1</v>
      </c>
      <c r="S913" s="263" t="s">
        <v>1991</v>
      </c>
      <c r="T913" s="263"/>
      <c r="U913" s="263"/>
      <c r="V913" s="263"/>
      <c r="W913" s="263"/>
      <c r="X913" s="263"/>
      <c r="Y913" s="575"/>
      <c r="Z913" s="575"/>
      <c r="AA913" s="576">
        <f t="shared" si="78"/>
        <v>0</v>
      </c>
      <c r="AB913" s="722"/>
    </row>
    <row r="914" spans="1:28" ht="15.75" customHeight="1" x14ac:dyDescent="0.35">
      <c r="A914" s="81" t="s">
        <v>3799</v>
      </c>
      <c r="C914" s="83">
        <v>43844</v>
      </c>
      <c r="D914" s="112">
        <v>43866</v>
      </c>
      <c r="E914" s="570"/>
      <c r="F914" s="88" t="s">
        <v>3800</v>
      </c>
      <c r="G914" s="88" t="s">
        <v>154</v>
      </c>
      <c r="H914" s="81" t="s">
        <v>220</v>
      </c>
      <c r="I914" s="98" t="s">
        <v>2516</v>
      </c>
      <c r="J914" s="75">
        <f t="shared" si="79"/>
        <v>1</v>
      </c>
      <c r="K914" s="76" t="s">
        <v>211</v>
      </c>
      <c r="N914" s="78" t="s">
        <v>18</v>
      </c>
      <c r="Q914" s="78" t="s">
        <v>2163</v>
      </c>
      <c r="R914" s="75">
        <f t="shared" si="80"/>
        <v>1</v>
      </c>
      <c r="S914" s="263" t="s">
        <v>1991</v>
      </c>
      <c r="T914" s="263"/>
      <c r="U914" s="263"/>
      <c r="V914" s="263"/>
      <c r="W914" s="263"/>
      <c r="X914" s="263"/>
      <c r="Y914" s="575"/>
      <c r="Z914" s="575"/>
      <c r="AA914" s="576">
        <f t="shared" si="78"/>
        <v>0</v>
      </c>
      <c r="AB914" s="722"/>
    </row>
    <row r="915" spans="1:28" ht="15.75" customHeight="1" x14ac:dyDescent="0.35">
      <c r="A915" s="81" t="s">
        <v>3803</v>
      </c>
      <c r="C915" s="83">
        <v>43844</v>
      </c>
      <c r="D915" s="112">
        <v>43866</v>
      </c>
      <c r="E915" s="570"/>
      <c r="F915" s="88" t="s">
        <v>3804</v>
      </c>
      <c r="G915" s="88" t="s">
        <v>179</v>
      </c>
      <c r="H915" s="81" t="s">
        <v>220</v>
      </c>
      <c r="I915" s="98" t="s">
        <v>665</v>
      </c>
      <c r="J915" s="75">
        <f t="shared" si="79"/>
        <v>1</v>
      </c>
      <c r="K915" s="76" t="s">
        <v>211</v>
      </c>
      <c r="L915" s="99" t="s">
        <v>3948</v>
      </c>
      <c r="N915" s="78" t="s">
        <v>17</v>
      </c>
      <c r="Q915" s="78" t="s">
        <v>2163</v>
      </c>
      <c r="R915" s="75">
        <f t="shared" si="80"/>
        <v>1</v>
      </c>
      <c r="S915" s="263" t="s">
        <v>1991</v>
      </c>
      <c r="T915" s="263"/>
      <c r="U915" s="263"/>
      <c r="V915" s="263"/>
      <c r="W915" s="263"/>
      <c r="X915" s="263"/>
      <c r="Y915" s="575"/>
      <c r="Z915" s="575"/>
      <c r="AA915" s="576">
        <f t="shared" si="78"/>
        <v>0</v>
      </c>
      <c r="AB915" s="722"/>
    </row>
    <row r="916" spans="1:28" ht="15.75" customHeight="1" x14ac:dyDescent="0.35">
      <c r="A916" s="81" t="s">
        <v>3807</v>
      </c>
      <c r="C916" s="83">
        <v>43844</v>
      </c>
      <c r="D916" s="112">
        <v>43866</v>
      </c>
      <c r="E916" s="570"/>
      <c r="F916" s="88" t="s">
        <v>3808</v>
      </c>
      <c r="G916" s="88" t="s">
        <v>154</v>
      </c>
      <c r="H916" s="81" t="s">
        <v>220</v>
      </c>
      <c r="I916" s="98" t="s">
        <v>656</v>
      </c>
      <c r="J916" s="75">
        <f t="shared" si="79"/>
        <v>1</v>
      </c>
      <c r="K916" s="76" t="s">
        <v>211</v>
      </c>
      <c r="L916" s="99" t="s">
        <v>3949</v>
      </c>
      <c r="N916" s="78" t="s">
        <v>17</v>
      </c>
      <c r="Q916" s="78" t="s">
        <v>2163</v>
      </c>
      <c r="R916" s="75">
        <f t="shared" si="80"/>
        <v>1</v>
      </c>
      <c r="S916" s="263" t="s">
        <v>1991</v>
      </c>
      <c r="T916" s="263"/>
      <c r="U916" s="263"/>
      <c r="V916" s="263"/>
      <c r="W916" s="263"/>
      <c r="X916" s="263"/>
      <c r="Y916" s="575"/>
      <c r="Z916" s="575"/>
      <c r="AA916" s="576">
        <f t="shared" si="78"/>
        <v>0</v>
      </c>
      <c r="AB916" s="722"/>
    </row>
    <row r="917" spans="1:28" ht="15.75" customHeight="1" x14ac:dyDescent="0.35">
      <c r="A917" s="81" t="s">
        <v>3821</v>
      </c>
      <c r="C917" s="83">
        <v>43846</v>
      </c>
      <c r="D917" s="112">
        <v>43868</v>
      </c>
      <c r="E917" s="570"/>
      <c r="F917" s="255" t="s">
        <v>3822</v>
      </c>
      <c r="G917" s="88" t="s">
        <v>152</v>
      </c>
      <c r="H917" s="81" t="s">
        <v>220</v>
      </c>
      <c r="I917" s="98" t="s">
        <v>730</v>
      </c>
      <c r="J917" s="75">
        <f t="shared" si="79"/>
        <v>1</v>
      </c>
      <c r="K917" s="76" t="s">
        <v>211</v>
      </c>
      <c r="N917" s="78" t="s">
        <v>18</v>
      </c>
      <c r="Q917" s="78" t="s">
        <v>2163</v>
      </c>
      <c r="R917" s="75">
        <f t="shared" si="80"/>
        <v>1</v>
      </c>
      <c r="S917" s="263" t="s">
        <v>1991</v>
      </c>
      <c r="T917" s="263"/>
      <c r="U917" s="263"/>
      <c r="V917" s="263"/>
      <c r="W917" s="263"/>
      <c r="X917" s="263"/>
      <c r="Y917" s="575"/>
      <c r="Z917" s="575"/>
      <c r="AA917" s="576">
        <f t="shared" si="78"/>
        <v>0</v>
      </c>
      <c r="AB917" s="722"/>
    </row>
    <row r="918" spans="1:28" ht="15.75" customHeight="1" x14ac:dyDescent="0.35">
      <c r="A918" s="98" t="s">
        <v>3823</v>
      </c>
      <c r="C918" s="83">
        <v>43808</v>
      </c>
      <c r="D918" s="112">
        <v>43866</v>
      </c>
      <c r="E918" s="570"/>
      <c r="F918" s="88" t="s">
        <v>3824</v>
      </c>
      <c r="G918" s="88" t="s">
        <v>154</v>
      </c>
      <c r="H918" s="81" t="s">
        <v>220</v>
      </c>
      <c r="I918" s="98" t="s">
        <v>722</v>
      </c>
      <c r="J918" s="75">
        <f t="shared" si="79"/>
        <v>1</v>
      </c>
      <c r="K918" s="76" t="s">
        <v>211</v>
      </c>
      <c r="L918" s="99" t="s">
        <v>3939</v>
      </c>
      <c r="N918" s="78" t="s">
        <v>17</v>
      </c>
      <c r="Q918" s="78" t="s">
        <v>2056</v>
      </c>
      <c r="R918" s="75">
        <f t="shared" si="80"/>
        <v>1</v>
      </c>
      <c r="S918" s="263" t="s">
        <v>1991</v>
      </c>
      <c r="T918" s="263"/>
      <c r="U918" s="263"/>
      <c r="V918" s="263"/>
      <c r="W918" s="263"/>
      <c r="X918" s="263"/>
      <c r="Y918" s="575"/>
      <c r="Z918" s="575"/>
      <c r="AA918" s="576">
        <f t="shared" si="78"/>
        <v>0</v>
      </c>
      <c r="AB918" s="722"/>
    </row>
    <row r="919" spans="1:28" ht="15.75" customHeight="1" x14ac:dyDescent="0.35">
      <c r="A919" s="98" t="s">
        <v>3825</v>
      </c>
      <c r="C919" s="83">
        <v>43811</v>
      </c>
      <c r="D919" s="112">
        <v>43864</v>
      </c>
      <c r="E919" s="570"/>
      <c r="F919" s="88" t="s">
        <v>3341</v>
      </c>
      <c r="G919" s="88" t="s">
        <v>149</v>
      </c>
      <c r="H919" s="81" t="s">
        <v>220</v>
      </c>
      <c r="I919" s="98" t="s">
        <v>1122</v>
      </c>
      <c r="J919" s="75">
        <f t="shared" si="79"/>
        <v>1</v>
      </c>
      <c r="K919" s="76" t="s">
        <v>211</v>
      </c>
      <c r="N919" s="78" t="s">
        <v>18</v>
      </c>
      <c r="Q919" s="78" t="s">
        <v>2056</v>
      </c>
      <c r="R919" s="75">
        <f t="shared" si="80"/>
        <v>1</v>
      </c>
      <c r="S919" s="263" t="s">
        <v>1991</v>
      </c>
      <c r="T919" s="263"/>
      <c r="U919" s="263"/>
      <c r="V919" s="263"/>
      <c r="W919" s="263"/>
      <c r="X919" s="263"/>
      <c r="Y919" s="575"/>
      <c r="Z919" s="575"/>
      <c r="AA919" s="576">
        <f t="shared" si="78"/>
        <v>0</v>
      </c>
      <c r="AB919" s="722"/>
    </row>
    <row r="920" spans="1:28" ht="15.75" customHeight="1" x14ac:dyDescent="0.35">
      <c r="A920" s="81" t="s">
        <v>3246</v>
      </c>
      <c r="C920" s="83">
        <v>43817</v>
      </c>
      <c r="D920" s="83">
        <v>43861</v>
      </c>
      <c r="E920" s="570"/>
      <c r="F920" s="88" t="s">
        <v>3247</v>
      </c>
      <c r="G920" s="88" t="s">
        <v>741</v>
      </c>
      <c r="H920" s="81" t="s">
        <v>220</v>
      </c>
      <c r="J920" s="75">
        <f t="shared" si="79"/>
        <v>1</v>
      </c>
      <c r="K920" s="76" t="s">
        <v>221</v>
      </c>
      <c r="Q920" s="78" t="s">
        <v>2056</v>
      </c>
      <c r="R920" s="75">
        <f t="shared" si="80"/>
        <v>1</v>
      </c>
      <c r="S920" s="263" t="s">
        <v>1991</v>
      </c>
      <c r="T920" s="263"/>
      <c r="U920" s="263"/>
      <c r="V920" s="263"/>
      <c r="W920" s="263"/>
      <c r="X920" s="263"/>
      <c r="Y920" s="575"/>
      <c r="Z920" s="575"/>
      <c r="AA920" s="576">
        <f t="shared" si="78"/>
        <v>0</v>
      </c>
      <c r="AB920" s="722"/>
    </row>
    <row r="921" spans="1:28" ht="15.75" customHeight="1" x14ac:dyDescent="0.35">
      <c r="A921" s="98" t="s">
        <v>3348</v>
      </c>
      <c r="C921" s="83">
        <v>43819</v>
      </c>
      <c r="D921" s="112">
        <v>43864</v>
      </c>
      <c r="E921" s="570"/>
      <c r="F921" s="88" t="s">
        <v>3349</v>
      </c>
      <c r="G921" s="88" t="s">
        <v>162</v>
      </c>
      <c r="H921" s="81" t="s">
        <v>220</v>
      </c>
      <c r="J921" s="75">
        <f t="shared" si="79"/>
        <v>1</v>
      </c>
      <c r="K921" s="76" t="s">
        <v>211</v>
      </c>
      <c r="N921" s="78" t="s">
        <v>17</v>
      </c>
      <c r="Q921" s="78" t="s">
        <v>2056</v>
      </c>
      <c r="R921" s="75">
        <f t="shared" si="80"/>
        <v>1</v>
      </c>
      <c r="S921" s="263" t="s">
        <v>1991</v>
      </c>
      <c r="T921" s="263"/>
      <c r="U921" s="263"/>
      <c r="V921" s="263"/>
      <c r="W921" s="263"/>
      <c r="X921" s="263"/>
      <c r="Y921" s="575"/>
      <c r="Z921" s="575"/>
      <c r="AA921" s="576">
        <f t="shared" si="78"/>
        <v>0</v>
      </c>
      <c r="AB921" s="722"/>
    </row>
    <row r="922" spans="1:28" ht="15.75" customHeight="1" x14ac:dyDescent="0.35">
      <c r="A922" s="98" t="s">
        <v>3354</v>
      </c>
      <c r="C922" s="83">
        <v>43822</v>
      </c>
      <c r="D922" s="112">
        <v>43865</v>
      </c>
      <c r="E922" s="570"/>
      <c r="F922" s="88" t="s">
        <v>3355</v>
      </c>
      <c r="G922" s="88" t="s">
        <v>3356</v>
      </c>
      <c r="H922" s="81" t="s">
        <v>220</v>
      </c>
      <c r="I922" s="98" t="s">
        <v>722</v>
      </c>
      <c r="J922" s="75">
        <f t="shared" si="79"/>
        <v>1</v>
      </c>
      <c r="K922" s="76" t="s">
        <v>211</v>
      </c>
      <c r="N922" s="78" t="s">
        <v>18</v>
      </c>
      <c r="Q922" s="78" t="s">
        <v>2056</v>
      </c>
      <c r="R922" s="75">
        <f t="shared" si="80"/>
        <v>1</v>
      </c>
      <c r="S922" s="263" t="s">
        <v>1991</v>
      </c>
      <c r="T922" s="263"/>
      <c r="U922" s="263"/>
      <c r="V922" s="263"/>
      <c r="W922" s="263"/>
      <c r="X922" s="263"/>
      <c r="Y922" s="575"/>
      <c r="Z922" s="575"/>
      <c r="AA922" s="576">
        <f t="shared" si="78"/>
        <v>0</v>
      </c>
      <c r="AB922" s="722"/>
    </row>
    <row r="923" spans="1:28" ht="15.75" customHeight="1" x14ac:dyDescent="0.35">
      <c r="A923" s="98" t="s">
        <v>3359</v>
      </c>
      <c r="C923" s="83">
        <v>43822</v>
      </c>
      <c r="D923" s="112">
        <v>43865</v>
      </c>
      <c r="E923" s="570"/>
      <c r="F923" s="88" t="s">
        <v>3360</v>
      </c>
      <c r="G923" s="88" t="s">
        <v>154</v>
      </c>
      <c r="H923" s="81" t="s">
        <v>220</v>
      </c>
      <c r="I923" s="98" t="s">
        <v>1308</v>
      </c>
      <c r="J923" s="75">
        <f t="shared" si="79"/>
        <v>1</v>
      </c>
      <c r="K923" s="76" t="s">
        <v>211</v>
      </c>
      <c r="N923" s="78" t="s">
        <v>17</v>
      </c>
      <c r="Q923" s="78" t="s">
        <v>2056</v>
      </c>
      <c r="R923" s="75">
        <f t="shared" si="80"/>
        <v>1</v>
      </c>
      <c r="S923" s="263" t="s">
        <v>1991</v>
      </c>
      <c r="T923" s="263"/>
      <c r="U923" s="263"/>
      <c r="V923" s="263"/>
      <c r="W923" s="263"/>
      <c r="X923" s="263"/>
      <c r="Y923" s="575"/>
      <c r="Z923" s="575"/>
      <c r="AA923" s="576">
        <f t="shared" si="78"/>
        <v>0</v>
      </c>
      <c r="AB923" s="722"/>
    </row>
    <row r="924" spans="1:28" ht="15.75" customHeight="1" x14ac:dyDescent="0.35">
      <c r="A924" s="98" t="s">
        <v>3826</v>
      </c>
      <c r="C924" s="83">
        <v>43822</v>
      </c>
      <c r="D924" s="112">
        <v>43866</v>
      </c>
      <c r="E924" s="570"/>
      <c r="F924" s="88" t="s">
        <v>3827</v>
      </c>
      <c r="G924" s="88" t="s">
        <v>2125</v>
      </c>
      <c r="H924" s="81" t="s">
        <v>220</v>
      </c>
      <c r="I924" s="98" t="s">
        <v>722</v>
      </c>
      <c r="J924" s="75">
        <f t="shared" si="79"/>
        <v>1</v>
      </c>
      <c r="K924" s="76" t="s">
        <v>211</v>
      </c>
      <c r="N924" s="78" t="s">
        <v>18</v>
      </c>
      <c r="Q924" s="78" t="s">
        <v>2056</v>
      </c>
      <c r="R924" s="75">
        <f t="shared" si="80"/>
        <v>1</v>
      </c>
      <c r="S924" s="263" t="s">
        <v>1991</v>
      </c>
      <c r="T924" s="263"/>
      <c r="U924" s="263"/>
      <c r="V924" s="263"/>
      <c r="W924" s="263"/>
      <c r="X924" s="263"/>
      <c r="Y924" s="575"/>
      <c r="Z924" s="575"/>
      <c r="AA924" s="576">
        <f t="shared" si="78"/>
        <v>0</v>
      </c>
      <c r="AB924" s="722"/>
    </row>
    <row r="925" spans="1:28" ht="15.75" customHeight="1" x14ac:dyDescent="0.35">
      <c r="A925" s="81" t="s">
        <v>3371</v>
      </c>
      <c r="C925" s="83">
        <v>43824</v>
      </c>
      <c r="D925" s="112">
        <v>43867</v>
      </c>
      <c r="E925" s="570"/>
      <c r="F925" s="88" t="s">
        <v>3372</v>
      </c>
      <c r="G925" s="88" t="s">
        <v>158</v>
      </c>
      <c r="H925" s="81" t="s">
        <v>220</v>
      </c>
      <c r="I925" s="81">
        <v>400000</v>
      </c>
      <c r="J925" s="75">
        <f t="shared" si="79"/>
        <v>1</v>
      </c>
      <c r="K925" s="76" t="s">
        <v>211</v>
      </c>
      <c r="L925" s="99" t="s">
        <v>3963</v>
      </c>
      <c r="N925" s="78" t="s">
        <v>17</v>
      </c>
      <c r="Q925" s="78" t="s">
        <v>2056</v>
      </c>
      <c r="R925" s="75">
        <f t="shared" si="80"/>
        <v>1</v>
      </c>
      <c r="S925" s="263" t="s">
        <v>1991</v>
      </c>
      <c r="T925" s="263"/>
      <c r="U925" s="263"/>
      <c r="V925" s="263"/>
      <c r="W925" s="263"/>
      <c r="X925" s="263"/>
      <c r="Y925" s="575"/>
      <c r="Z925" s="575"/>
      <c r="AA925" s="576">
        <f t="shared" si="78"/>
        <v>0</v>
      </c>
      <c r="AB925" s="722"/>
    </row>
    <row r="926" spans="1:28" ht="15.75" customHeight="1" x14ac:dyDescent="0.35">
      <c r="A926" s="81" t="s">
        <v>3373</v>
      </c>
      <c r="C926" s="83">
        <v>43824</v>
      </c>
      <c r="D926" s="112">
        <v>43867</v>
      </c>
      <c r="E926" s="570"/>
      <c r="F926" s="88" t="s">
        <v>3374</v>
      </c>
      <c r="G926" s="88" t="s">
        <v>149</v>
      </c>
      <c r="H926" s="81" t="s">
        <v>220</v>
      </c>
      <c r="I926" s="98" t="s">
        <v>648</v>
      </c>
      <c r="J926" s="75">
        <f t="shared" si="79"/>
        <v>1</v>
      </c>
      <c r="K926" s="76" t="s">
        <v>211</v>
      </c>
      <c r="N926" s="78" t="s">
        <v>17</v>
      </c>
      <c r="Q926" s="78" t="s">
        <v>2056</v>
      </c>
      <c r="R926" s="75">
        <f t="shared" si="80"/>
        <v>1</v>
      </c>
      <c r="S926" s="263" t="s">
        <v>1991</v>
      </c>
      <c r="T926" s="263"/>
      <c r="U926" s="263"/>
      <c r="V926" s="263"/>
      <c r="W926" s="263"/>
      <c r="X926" s="263"/>
      <c r="Y926" s="575"/>
      <c r="Z926" s="575"/>
      <c r="AA926" s="576">
        <f t="shared" si="78"/>
        <v>0</v>
      </c>
      <c r="AB926" s="722"/>
    </row>
    <row r="927" spans="1:28" ht="15.75" customHeight="1" x14ac:dyDescent="0.35">
      <c r="A927" s="81" t="s">
        <v>3377</v>
      </c>
      <c r="C927" s="83">
        <v>43824</v>
      </c>
      <c r="D927" s="112">
        <v>43868</v>
      </c>
      <c r="E927" s="570"/>
      <c r="F927" s="88" t="s">
        <v>3378</v>
      </c>
      <c r="G927" s="88" t="s">
        <v>170</v>
      </c>
      <c r="H927" s="81" t="s">
        <v>220</v>
      </c>
      <c r="I927" s="98" t="s">
        <v>652</v>
      </c>
      <c r="J927" s="75">
        <f t="shared" si="79"/>
        <v>1</v>
      </c>
      <c r="K927" s="76" t="s">
        <v>211</v>
      </c>
      <c r="N927" s="78" t="s">
        <v>17</v>
      </c>
      <c r="Q927" s="78" t="s">
        <v>2056</v>
      </c>
      <c r="R927" s="75">
        <f t="shared" si="80"/>
        <v>1</v>
      </c>
      <c r="S927" s="263" t="s">
        <v>1991</v>
      </c>
      <c r="T927" s="263"/>
      <c r="U927" s="263"/>
      <c r="V927" s="263"/>
      <c r="W927" s="263"/>
      <c r="X927" s="263"/>
      <c r="Y927" s="575"/>
      <c r="Z927" s="575"/>
      <c r="AA927" s="576">
        <f t="shared" si="78"/>
        <v>0</v>
      </c>
      <c r="AB927" s="722"/>
    </row>
    <row r="928" spans="1:28" ht="15.75" customHeight="1" x14ac:dyDescent="0.35">
      <c r="A928" s="98" t="s">
        <v>3828</v>
      </c>
      <c r="C928" s="83">
        <v>43840</v>
      </c>
      <c r="D928" s="112">
        <v>43864</v>
      </c>
      <c r="E928" s="570"/>
      <c r="F928" s="88" t="s">
        <v>3829</v>
      </c>
      <c r="G928" s="88" t="s">
        <v>156</v>
      </c>
      <c r="H928" s="81" t="s">
        <v>220</v>
      </c>
      <c r="I928" s="98" t="s">
        <v>3943</v>
      </c>
      <c r="J928" s="75">
        <f t="shared" si="79"/>
        <v>1</v>
      </c>
      <c r="K928" s="76" t="s">
        <v>211</v>
      </c>
      <c r="L928" s="99" t="s">
        <v>3944</v>
      </c>
      <c r="N928" s="78" t="s">
        <v>17</v>
      </c>
      <c r="Q928" s="78" t="s">
        <v>2056</v>
      </c>
      <c r="R928" s="75">
        <f t="shared" si="80"/>
        <v>1</v>
      </c>
      <c r="S928" s="263" t="s">
        <v>1991</v>
      </c>
      <c r="T928" s="263"/>
      <c r="U928" s="263"/>
      <c r="V928" s="263"/>
      <c r="W928" s="263"/>
      <c r="X928" s="263"/>
      <c r="Y928" s="575"/>
      <c r="Z928" s="575"/>
      <c r="AA928" s="576">
        <f t="shared" si="78"/>
        <v>0</v>
      </c>
      <c r="AB928" s="722"/>
    </row>
    <row r="929" spans="1:28" ht="15.75" customHeight="1" x14ac:dyDescent="0.35">
      <c r="A929" s="98" t="s">
        <v>3836</v>
      </c>
      <c r="C929" s="83">
        <v>43844</v>
      </c>
      <c r="D929" s="112">
        <v>43866</v>
      </c>
      <c r="E929" s="570"/>
      <c r="F929" s="88" t="s">
        <v>3837</v>
      </c>
      <c r="G929" s="88" t="s">
        <v>162</v>
      </c>
      <c r="H929" s="81" t="s">
        <v>220</v>
      </c>
      <c r="I929" s="98" t="s">
        <v>656</v>
      </c>
      <c r="J929" s="75">
        <f t="shared" ref="J929:J950" si="81">IF(OR(K929="Документы готовы",K929="Запрос в ФО",K929="ЭЗ",K929="РЕШ",K929="РЕШ шаблон"),0.1,IF(OR(K929="ЭЗ согласование",K929="РЕШ согласование"),0.3,IF(OR(K929="ЭЗ согласовано",K929="РЕШ согласовано",K929="РЕШ подписано"),0.6,IF(OR(K929="ЭЗ ПР согласование",K929="РЕШ УВ согласование"),0.9,IF(OR(K929="ЭЗ ПР DONE",K929="РЕШ УВ DONE"),1,0)))))</f>
        <v>1</v>
      </c>
      <c r="K929" s="76" t="s">
        <v>211</v>
      </c>
      <c r="N929" s="78" t="s">
        <v>17</v>
      </c>
      <c r="Q929" s="78" t="s">
        <v>2056</v>
      </c>
      <c r="R929" s="75">
        <f t="shared" ref="R929:R952" si="82">IF(S929="В работе",0.3,IF(S929="Отписано",0.6,IF(S929="На доработку",0.9,IF(S929="Согласовано",1,0))))</f>
        <v>1</v>
      </c>
      <c r="S929" s="263" t="s">
        <v>1991</v>
      </c>
      <c r="T929" s="263"/>
      <c r="U929" s="263"/>
      <c r="V929" s="263"/>
      <c r="W929" s="263"/>
      <c r="X929" s="263"/>
      <c r="Y929" s="575"/>
      <c r="Z929" s="575"/>
      <c r="AA929" s="576">
        <f t="shared" si="78"/>
        <v>0</v>
      </c>
      <c r="AB929" s="722"/>
    </row>
    <row r="930" spans="1:28" ht="15.75" customHeight="1" x14ac:dyDescent="0.35">
      <c r="A930" s="98" t="s">
        <v>3840</v>
      </c>
      <c r="C930" s="83">
        <v>43844</v>
      </c>
      <c r="D930" s="112">
        <v>43865</v>
      </c>
      <c r="E930" s="570"/>
      <c r="F930" s="88" t="s">
        <v>3841</v>
      </c>
      <c r="G930" s="88" t="s">
        <v>186</v>
      </c>
      <c r="H930" s="81" t="s">
        <v>220</v>
      </c>
      <c r="I930" s="98" t="s">
        <v>730</v>
      </c>
      <c r="J930" s="75">
        <f t="shared" si="81"/>
        <v>1</v>
      </c>
      <c r="K930" s="76" t="s">
        <v>211</v>
      </c>
      <c r="N930" s="78" t="s">
        <v>18</v>
      </c>
      <c r="Q930" s="78" t="s">
        <v>2056</v>
      </c>
      <c r="R930" s="75">
        <f t="shared" si="82"/>
        <v>1</v>
      </c>
      <c r="S930" s="263" t="s">
        <v>1991</v>
      </c>
      <c r="T930" s="263"/>
      <c r="U930" s="263"/>
      <c r="V930" s="263"/>
      <c r="W930" s="263"/>
      <c r="X930" s="263"/>
      <c r="Y930" s="575"/>
      <c r="Z930" s="575"/>
      <c r="AA930" s="576">
        <f t="shared" si="78"/>
        <v>0</v>
      </c>
      <c r="AB930" s="722"/>
    </row>
    <row r="931" spans="1:28" ht="15.75" customHeight="1" x14ac:dyDescent="0.35">
      <c r="A931" s="81" t="s">
        <v>3483</v>
      </c>
      <c r="C931" s="83">
        <v>43808</v>
      </c>
      <c r="D931" s="112">
        <v>43865</v>
      </c>
      <c r="E931" s="570"/>
      <c r="F931" s="88" t="s">
        <v>3484</v>
      </c>
      <c r="G931" s="88" t="s">
        <v>158</v>
      </c>
      <c r="H931" s="81" t="s">
        <v>220</v>
      </c>
      <c r="I931" s="98" t="s">
        <v>3553</v>
      </c>
      <c r="J931" s="75">
        <f t="shared" si="81"/>
        <v>1</v>
      </c>
      <c r="K931" s="76" t="s">
        <v>211</v>
      </c>
      <c r="N931" s="78" t="s">
        <v>19</v>
      </c>
      <c r="Q931" s="78" t="s">
        <v>2447</v>
      </c>
      <c r="R931" s="75">
        <f t="shared" si="82"/>
        <v>1</v>
      </c>
      <c r="S931" s="263" t="s">
        <v>1991</v>
      </c>
      <c r="T931" s="263"/>
      <c r="U931" s="263"/>
      <c r="V931" s="263"/>
      <c r="W931" s="263"/>
      <c r="X931" s="263"/>
      <c r="Y931" s="575"/>
      <c r="Z931" s="575"/>
      <c r="AA931" s="576">
        <f t="shared" si="78"/>
        <v>0</v>
      </c>
      <c r="AB931" s="722"/>
    </row>
    <row r="932" spans="1:28" ht="15.75" customHeight="1" x14ac:dyDescent="0.35">
      <c r="A932" s="81" t="s">
        <v>3516</v>
      </c>
      <c r="C932" s="83">
        <v>43818</v>
      </c>
      <c r="D932" s="112">
        <v>43864</v>
      </c>
      <c r="E932" s="570"/>
      <c r="F932" s="88" t="s">
        <v>3517</v>
      </c>
      <c r="G932" s="88" t="s">
        <v>177</v>
      </c>
      <c r="H932" s="81" t="s">
        <v>220</v>
      </c>
      <c r="I932" s="98" t="s">
        <v>649</v>
      </c>
      <c r="J932" s="75">
        <f t="shared" si="81"/>
        <v>1</v>
      </c>
      <c r="K932" s="76" t="s">
        <v>211</v>
      </c>
      <c r="N932" s="78" t="s">
        <v>17</v>
      </c>
      <c r="Q932" s="78" t="s">
        <v>2447</v>
      </c>
      <c r="R932" s="75">
        <f t="shared" si="82"/>
        <v>1</v>
      </c>
      <c r="S932" s="263" t="s">
        <v>1991</v>
      </c>
      <c r="T932" s="263"/>
      <c r="U932" s="263"/>
      <c r="V932" s="263"/>
      <c r="W932" s="263"/>
      <c r="X932" s="263"/>
      <c r="Y932" s="575"/>
      <c r="Z932" s="575"/>
      <c r="AA932" s="576">
        <f t="shared" si="78"/>
        <v>0</v>
      </c>
      <c r="AB932" s="722"/>
    </row>
    <row r="933" spans="1:28" ht="15.75" customHeight="1" x14ac:dyDescent="0.35">
      <c r="A933" s="81" t="s">
        <v>3520</v>
      </c>
      <c r="C933" s="83">
        <v>43819</v>
      </c>
      <c r="D933" s="112">
        <v>43864</v>
      </c>
      <c r="E933" s="570"/>
      <c r="F933" s="88" t="s">
        <v>3521</v>
      </c>
      <c r="G933" s="88" t="s">
        <v>417</v>
      </c>
      <c r="H933" s="81" t="s">
        <v>220</v>
      </c>
      <c r="I933" s="98" t="s">
        <v>3553</v>
      </c>
      <c r="J933" s="75">
        <f t="shared" si="81"/>
        <v>1</v>
      </c>
      <c r="K933" s="76" t="s">
        <v>211</v>
      </c>
      <c r="N933" s="78" t="s">
        <v>19</v>
      </c>
      <c r="Q933" s="78" t="s">
        <v>2447</v>
      </c>
      <c r="R933" s="75">
        <f t="shared" si="82"/>
        <v>1</v>
      </c>
      <c r="S933" s="263" t="s">
        <v>1991</v>
      </c>
      <c r="T933" s="263"/>
      <c r="U933" s="263"/>
      <c r="V933" s="263"/>
      <c r="W933" s="263"/>
      <c r="X933" s="263"/>
      <c r="Y933" s="575"/>
      <c r="Z933" s="575"/>
      <c r="AA933" s="576">
        <f t="shared" si="78"/>
        <v>0</v>
      </c>
      <c r="AB933" s="722"/>
    </row>
    <row r="934" spans="1:28" ht="15.75" customHeight="1" x14ac:dyDescent="0.35">
      <c r="A934" s="81" t="s">
        <v>3524</v>
      </c>
      <c r="C934" s="83">
        <v>43822</v>
      </c>
      <c r="D934" s="112">
        <v>43865</v>
      </c>
      <c r="E934" s="570"/>
      <c r="F934" s="88" t="s">
        <v>3525</v>
      </c>
      <c r="G934" s="88" t="s">
        <v>162</v>
      </c>
      <c r="H934" s="81" t="s">
        <v>220</v>
      </c>
      <c r="I934" s="98" t="s">
        <v>652</v>
      </c>
      <c r="J934" s="75">
        <f t="shared" si="81"/>
        <v>1</v>
      </c>
      <c r="K934" s="76" t="s">
        <v>211</v>
      </c>
      <c r="N934" s="78" t="s">
        <v>17</v>
      </c>
      <c r="Q934" s="78" t="s">
        <v>2447</v>
      </c>
      <c r="R934" s="75">
        <f t="shared" si="82"/>
        <v>1</v>
      </c>
      <c r="S934" s="263" t="s">
        <v>1991</v>
      </c>
      <c r="T934" s="263"/>
      <c r="U934" s="263"/>
      <c r="V934" s="263"/>
      <c r="W934" s="263"/>
      <c r="X934" s="263"/>
      <c r="Y934" s="575"/>
      <c r="Z934" s="575"/>
      <c r="AA934" s="576">
        <f t="shared" si="78"/>
        <v>0</v>
      </c>
      <c r="AB934" s="722"/>
    </row>
    <row r="935" spans="1:28" ht="15.75" customHeight="1" x14ac:dyDescent="0.35">
      <c r="A935" s="81" t="s">
        <v>3528</v>
      </c>
      <c r="C935" s="83">
        <v>43823</v>
      </c>
      <c r="D935" s="112">
        <v>43866</v>
      </c>
      <c r="E935" s="570"/>
      <c r="F935" s="88" t="s">
        <v>3529</v>
      </c>
      <c r="G935" s="88" t="s">
        <v>152</v>
      </c>
      <c r="H935" s="81" t="s">
        <v>220</v>
      </c>
      <c r="I935" s="98" t="s">
        <v>722</v>
      </c>
      <c r="J935" s="75">
        <f t="shared" si="81"/>
        <v>1</v>
      </c>
      <c r="K935" s="76" t="s">
        <v>211</v>
      </c>
      <c r="L935" s="99" t="s">
        <v>3946</v>
      </c>
      <c r="N935" s="78" t="s">
        <v>17</v>
      </c>
      <c r="Q935" s="78" t="s">
        <v>2447</v>
      </c>
      <c r="R935" s="75">
        <f t="shared" si="82"/>
        <v>1</v>
      </c>
      <c r="S935" s="263" t="s">
        <v>1991</v>
      </c>
      <c r="T935" s="263"/>
      <c r="U935" s="263"/>
      <c r="V935" s="263"/>
      <c r="W935" s="263"/>
      <c r="X935" s="263"/>
      <c r="Y935" s="575"/>
      <c r="Z935" s="575"/>
      <c r="AA935" s="576">
        <f t="shared" si="78"/>
        <v>0</v>
      </c>
      <c r="AB935" s="722"/>
    </row>
    <row r="936" spans="1:28" ht="15.75" customHeight="1" x14ac:dyDescent="0.35">
      <c r="A936" s="81" t="s">
        <v>3860</v>
      </c>
      <c r="C936" s="83">
        <v>43823</v>
      </c>
      <c r="D936" s="112">
        <v>43867</v>
      </c>
      <c r="E936" s="570"/>
      <c r="F936" s="88" t="s">
        <v>3861</v>
      </c>
      <c r="G936" s="88" t="s">
        <v>158</v>
      </c>
      <c r="H936" s="81" t="s">
        <v>220</v>
      </c>
      <c r="I936" s="98" t="s">
        <v>722</v>
      </c>
      <c r="J936" s="75">
        <f t="shared" si="81"/>
        <v>1</v>
      </c>
      <c r="K936" s="76" t="s">
        <v>211</v>
      </c>
      <c r="N936" s="78" t="s">
        <v>18</v>
      </c>
      <c r="Q936" s="78" t="s">
        <v>2447</v>
      </c>
      <c r="R936" s="75">
        <f t="shared" si="82"/>
        <v>1</v>
      </c>
      <c r="S936" s="263" t="s">
        <v>1991</v>
      </c>
      <c r="T936" s="263"/>
      <c r="U936" s="263"/>
      <c r="V936" s="263"/>
      <c r="W936" s="263"/>
      <c r="X936" s="263"/>
      <c r="Y936" s="575"/>
      <c r="Z936" s="575"/>
      <c r="AA936" s="576">
        <f t="shared" si="78"/>
        <v>0</v>
      </c>
      <c r="AB936" s="722"/>
    </row>
    <row r="937" spans="1:28" ht="15.75" customHeight="1" x14ac:dyDescent="0.35">
      <c r="A937" s="81" t="s">
        <v>3532</v>
      </c>
      <c r="C937" s="83">
        <v>43823</v>
      </c>
      <c r="D937" s="112">
        <v>43866</v>
      </c>
      <c r="E937" s="570"/>
      <c r="F937" s="88" t="s">
        <v>3533</v>
      </c>
      <c r="G937" s="88" t="s">
        <v>162</v>
      </c>
      <c r="H937" s="81" t="s">
        <v>220</v>
      </c>
      <c r="I937" s="98" t="s">
        <v>649</v>
      </c>
      <c r="J937" s="75">
        <f t="shared" si="81"/>
        <v>1</v>
      </c>
      <c r="K937" s="76" t="s">
        <v>211</v>
      </c>
      <c r="N937" s="78" t="s">
        <v>18</v>
      </c>
      <c r="Q937" s="78" t="s">
        <v>2447</v>
      </c>
      <c r="R937" s="75">
        <f t="shared" si="82"/>
        <v>1</v>
      </c>
      <c r="S937" s="263" t="s">
        <v>1991</v>
      </c>
      <c r="T937" s="263"/>
      <c r="U937" s="263"/>
      <c r="V937" s="263"/>
      <c r="W937" s="263"/>
      <c r="X937" s="263"/>
      <c r="Y937" s="575"/>
      <c r="Z937" s="575"/>
      <c r="AA937" s="576">
        <f t="shared" si="78"/>
        <v>0</v>
      </c>
      <c r="AB937" s="722"/>
    </row>
    <row r="938" spans="1:28" ht="15.75" customHeight="1" x14ac:dyDescent="0.35">
      <c r="A938" s="81" t="s">
        <v>3534</v>
      </c>
      <c r="C938" s="83">
        <v>43823</v>
      </c>
      <c r="D938" s="112">
        <v>43867</v>
      </c>
      <c r="E938" s="570"/>
      <c r="F938" s="88" t="s">
        <v>3535</v>
      </c>
      <c r="G938" s="88" t="s">
        <v>1337</v>
      </c>
      <c r="H938" s="81" t="s">
        <v>220</v>
      </c>
      <c r="I938" s="98" t="s">
        <v>722</v>
      </c>
      <c r="J938" s="75">
        <f t="shared" si="81"/>
        <v>1</v>
      </c>
      <c r="K938" s="76" t="s">
        <v>211</v>
      </c>
      <c r="N938" s="78" t="s">
        <v>18</v>
      </c>
      <c r="Q938" s="78" t="s">
        <v>2447</v>
      </c>
      <c r="R938" s="75">
        <f t="shared" si="82"/>
        <v>1</v>
      </c>
      <c r="S938" s="263" t="s">
        <v>1991</v>
      </c>
      <c r="T938" s="263"/>
      <c r="U938" s="263"/>
      <c r="V938" s="263"/>
      <c r="W938" s="263"/>
      <c r="X938" s="263"/>
      <c r="Y938" s="575"/>
      <c r="Z938" s="575"/>
      <c r="AA938" s="576">
        <f t="shared" si="78"/>
        <v>0</v>
      </c>
      <c r="AB938" s="722"/>
    </row>
    <row r="939" spans="1:28" ht="15.75" customHeight="1" x14ac:dyDescent="0.35">
      <c r="A939" s="81" t="s">
        <v>3542</v>
      </c>
      <c r="C939" s="83">
        <v>43824</v>
      </c>
      <c r="D939" s="112">
        <v>43868</v>
      </c>
      <c r="E939" s="570"/>
      <c r="F939" s="88" t="s">
        <v>3543</v>
      </c>
      <c r="G939" s="88" t="s">
        <v>154</v>
      </c>
      <c r="H939" s="81" t="s">
        <v>220</v>
      </c>
      <c r="I939" s="98" t="s">
        <v>652</v>
      </c>
      <c r="J939" s="75">
        <f t="shared" si="81"/>
        <v>1</v>
      </c>
      <c r="K939" s="76" t="s">
        <v>211</v>
      </c>
      <c r="L939" s="99" t="s">
        <v>3958</v>
      </c>
      <c r="N939" s="78" t="s">
        <v>17</v>
      </c>
      <c r="Q939" s="78" t="s">
        <v>2447</v>
      </c>
      <c r="R939" s="75">
        <f t="shared" si="82"/>
        <v>1</v>
      </c>
      <c r="S939" s="263" t="s">
        <v>1991</v>
      </c>
      <c r="T939" s="263"/>
      <c r="U939" s="263"/>
      <c r="V939" s="263"/>
      <c r="W939" s="263"/>
      <c r="X939" s="263"/>
      <c r="Y939" s="575"/>
      <c r="Z939" s="575"/>
      <c r="AA939" s="576">
        <f t="shared" si="78"/>
        <v>0</v>
      </c>
      <c r="AB939" s="722"/>
    </row>
    <row r="940" spans="1:28" ht="15.75" customHeight="1" x14ac:dyDescent="0.35">
      <c r="A940" s="81" t="s">
        <v>3717</v>
      </c>
      <c r="C940" s="83">
        <v>43839</v>
      </c>
      <c r="D940" s="83">
        <v>43861</v>
      </c>
      <c r="E940" s="570"/>
      <c r="F940" s="88" t="s">
        <v>3718</v>
      </c>
      <c r="G940" s="88" t="s">
        <v>417</v>
      </c>
      <c r="H940" s="81" t="s">
        <v>220</v>
      </c>
      <c r="J940" s="75">
        <f t="shared" si="81"/>
        <v>1</v>
      </c>
      <c r="K940" s="76" t="s">
        <v>221</v>
      </c>
      <c r="Q940" s="78" t="s">
        <v>2447</v>
      </c>
      <c r="R940" s="75">
        <f t="shared" si="82"/>
        <v>1</v>
      </c>
      <c r="S940" s="263" t="s">
        <v>1991</v>
      </c>
      <c r="T940" s="263"/>
      <c r="U940" s="263"/>
      <c r="V940" s="263"/>
      <c r="W940" s="263"/>
      <c r="X940" s="263"/>
      <c r="Y940" s="575"/>
      <c r="Z940" s="575"/>
      <c r="AA940" s="576">
        <f t="shared" si="78"/>
        <v>0</v>
      </c>
      <c r="AB940" s="722"/>
    </row>
    <row r="941" spans="1:28" ht="15.75" customHeight="1" x14ac:dyDescent="0.35">
      <c r="A941" s="81" t="s">
        <v>3862</v>
      </c>
      <c r="C941" s="83">
        <v>43843</v>
      </c>
      <c r="D941" s="112">
        <v>43864</v>
      </c>
      <c r="E941" s="570"/>
      <c r="F941" s="88" t="s">
        <v>3863</v>
      </c>
      <c r="G941" s="88" t="s">
        <v>156</v>
      </c>
      <c r="H941" s="81" t="s">
        <v>220</v>
      </c>
      <c r="I941" s="98" t="s">
        <v>3726</v>
      </c>
      <c r="J941" s="75">
        <f t="shared" si="81"/>
        <v>1</v>
      </c>
      <c r="K941" s="76" t="s">
        <v>211</v>
      </c>
      <c r="N941" s="78" t="s">
        <v>19</v>
      </c>
      <c r="Q941" s="78" t="s">
        <v>2447</v>
      </c>
      <c r="R941" s="75">
        <f t="shared" si="82"/>
        <v>1</v>
      </c>
      <c r="S941" s="263" t="s">
        <v>1991</v>
      </c>
      <c r="T941" s="263"/>
      <c r="U941" s="263"/>
      <c r="V941" s="263"/>
      <c r="W941" s="263"/>
      <c r="X941" s="263"/>
      <c r="Y941" s="575"/>
      <c r="Z941" s="575"/>
      <c r="AA941" s="576">
        <f t="shared" si="78"/>
        <v>0</v>
      </c>
      <c r="AB941" s="722"/>
    </row>
    <row r="942" spans="1:28" ht="15.75" customHeight="1" x14ac:dyDescent="0.35">
      <c r="A942" s="81" t="s">
        <v>3864</v>
      </c>
      <c r="C942" s="83">
        <v>43843</v>
      </c>
      <c r="D942" s="112">
        <v>43864</v>
      </c>
      <c r="E942" s="570"/>
      <c r="F942" s="88" t="s">
        <v>3865</v>
      </c>
      <c r="G942" s="88" t="s">
        <v>162</v>
      </c>
      <c r="H942" s="81" t="s">
        <v>220</v>
      </c>
      <c r="I942" s="98" t="s">
        <v>656</v>
      </c>
      <c r="J942" s="75">
        <f t="shared" si="81"/>
        <v>1</v>
      </c>
      <c r="K942" s="76" t="s">
        <v>211</v>
      </c>
      <c r="N942" s="78" t="s">
        <v>17</v>
      </c>
      <c r="Q942" s="78" t="s">
        <v>2447</v>
      </c>
      <c r="R942" s="75">
        <f t="shared" si="82"/>
        <v>1</v>
      </c>
      <c r="S942" s="263" t="s">
        <v>1991</v>
      </c>
      <c r="T942" s="263"/>
      <c r="U942" s="263"/>
      <c r="V942" s="263"/>
      <c r="W942" s="263"/>
      <c r="X942" s="263"/>
      <c r="Y942" s="575"/>
      <c r="Z942" s="575"/>
      <c r="AA942" s="576">
        <f t="shared" si="78"/>
        <v>0</v>
      </c>
      <c r="AB942" s="722"/>
    </row>
    <row r="943" spans="1:28" ht="15.75" customHeight="1" x14ac:dyDescent="0.35">
      <c r="A943" s="81" t="s">
        <v>3871</v>
      </c>
      <c r="C943" s="83">
        <v>43844</v>
      </c>
      <c r="D943" s="112">
        <v>43866</v>
      </c>
      <c r="E943" s="570"/>
      <c r="F943" s="88" t="s">
        <v>3872</v>
      </c>
      <c r="G943" s="88" t="s">
        <v>154</v>
      </c>
      <c r="H943" s="81" t="s">
        <v>220</v>
      </c>
      <c r="I943" s="98" t="s">
        <v>1293</v>
      </c>
      <c r="J943" s="75">
        <f t="shared" si="81"/>
        <v>1</v>
      </c>
      <c r="K943" s="76" t="s">
        <v>211</v>
      </c>
      <c r="N943" s="78" t="s">
        <v>19</v>
      </c>
      <c r="Q943" s="78" t="s">
        <v>2447</v>
      </c>
      <c r="R943" s="75">
        <f t="shared" si="82"/>
        <v>1</v>
      </c>
      <c r="S943" s="263" t="s">
        <v>1991</v>
      </c>
      <c r="T943" s="263"/>
      <c r="U943" s="263"/>
      <c r="V943" s="263"/>
      <c r="W943" s="263"/>
      <c r="X943" s="263"/>
      <c r="Y943" s="575"/>
      <c r="Z943" s="575"/>
      <c r="AA943" s="576">
        <f t="shared" si="78"/>
        <v>0</v>
      </c>
      <c r="AB943" s="722"/>
    </row>
    <row r="944" spans="1:28" ht="15.75" customHeight="1" x14ac:dyDescent="0.35">
      <c r="A944" s="81" t="s">
        <v>3873</v>
      </c>
      <c r="C944" s="83">
        <v>43844</v>
      </c>
      <c r="D944" s="112">
        <v>43866</v>
      </c>
      <c r="E944" s="570"/>
      <c r="F944" s="88" t="s">
        <v>3874</v>
      </c>
      <c r="G944" s="88" t="s">
        <v>154</v>
      </c>
      <c r="H944" s="81" t="s">
        <v>220</v>
      </c>
      <c r="I944" s="98" t="s">
        <v>2516</v>
      </c>
      <c r="J944" s="75">
        <f t="shared" si="81"/>
        <v>1</v>
      </c>
      <c r="K944" s="76" t="s">
        <v>211</v>
      </c>
      <c r="L944" s="99" t="s">
        <v>3945</v>
      </c>
      <c r="N944" s="78" t="s">
        <v>17</v>
      </c>
      <c r="Q944" s="78" t="s">
        <v>2447</v>
      </c>
      <c r="R944" s="75">
        <f t="shared" si="82"/>
        <v>1</v>
      </c>
      <c r="S944" s="263" t="s">
        <v>1991</v>
      </c>
      <c r="T944" s="263"/>
      <c r="U944" s="263"/>
      <c r="V944" s="263"/>
      <c r="W944" s="263"/>
      <c r="X944" s="263"/>
      <c r="Y944" s="575"/>
      <c r="Z944" s="575"/>
      <c r="AA944" s="576">
        <f t="shared" si="78"/>
        <v>0</v>
      </c>
      <c r="AB944" s="722"/>
    </row>
    <row r="945" spans="1:28" ht="15.75" customHeight="1" x14ac:dyDescent="0.35">
      <c r="A945" s="81" t="s">
        <v>3877</v>
      </c>
      <c r="C945" s="83">
        <v>43844</v>
      </c>
      <c r="D945" s="112">
        <v>43866</v>
      </c>
      <c r="E945" s="570"/>
      <c r="F945" s="88" t="s">
        <v>3878</v>
      </c>
      <c r="G945" s="88" t="s">
        <v>154</v>
      </c>
      <c r="H945" s="81" t="s">
        <v>220</v>
      </c>
      <c r="I945" s="98" t="s">
        <v>2516</v>
      </c>
      <c r="J945" s="75">
        <f t="shared" si="81"/>
        <v>1</v>
      </c>
      <c r="K945" s="76" t="s">
        <v>211</v>
      </c>
      <c r="N945" s="78" t="s">
        <v>17</v>
      </c>
      <c r="Q945" s="78" t="s">
        <v>2447</v>
      </c>
      <c r="R945" s="75">
        <f t="shared" si="82"/>
        <v>1</v>
      </c>
      <c r="S945" s="263" t="s">
        <v>1991</v>
      </c>
      <c r="T945" s="263"/>
      <c r="U945" s="263"/>
      <c r="V945" s="263"/>
      <c r="W945" s="263"/>
      <c r="X945" s="263"/>
      <c r="Y945" s="575"/>
      <c r="Z945" s="575"/>
      <c r="AA945" s="576">
        <f t="shared" si="78"/>
        <v>0</v>
      </c>
      <c r="AB945" s="722"/>
    </row>
    <row r="946" spans="1:28" ht="15.75" customHeight="1" x14ac:dyDescent="0.35">
      <c r="A946" s="81" t="s">
        <v>3885</v>
      </c>
      <c r="C946" s="83">
        <v>43845</v>
      </c>
      <c r="D946" s="112">
        <v>43867</v>
      </c>
      <c r="E946" s="570"/>
      <c r="F946" s="88" t="s">
        <v>3886</v>
      </c>
      <c r="G946" s="88" t="s">
        <v>152</v>
      </c>
      <c r="H946" s="81" t="s">
        <v>220</v>
      </c>
      <c r="I946" s="98" t="s">
        <v>656</v>
      </c>
      <c r="J946" s="75">
        <f t="shared" si="81"/>
        <v>1</v>
      </c>
      <c r="K946" s="76" t="s">
        <v>211</v>
      </c>
      <c r="L946" s="99" t="s">
        <v>3952</v>
      </c>
      <c r="N946" s="78" t="s">
        <v>18</v>
      </c>
      <c r="Q946" s="78" t="s">
        <v>2447</v>
      </c>
      <c r="R946" s="75">
        <f t="shared" si="82"/>
        <v>1</v>
      </c>
      <c r="S946" s="263" t="s">
        <v>1991</v>
      </c>
      <c r="T946" s="263"/>
      <c r="U946" s="263"/>
      <c r="V946" s="263"/>
      <c r="W946" s="263"/>
      <c r="X946" s="263"/>
      <c r="Y946" s="575"/>
      <c r="Z946" s="575"/>
      <c r="AA946" s="576">
        <f t="shared" si="78"/>
        <v>0</v>
      </c>
      <c r="AB946" s="722"/>
    </row>
    <row r="947" spans="1:28" ht="15.75" customHeight="1" x14ac:dyDescent="0.35">
      <c r="A947" s="81" t="s">
        <v>3312</v>
      </c>
      <c r="C947" s="83">
        <v>43818</v>
      </c>
      <c r="D947" s="112">
        <v>43864</v>
      </c>
      <c r="E947" s="570"/>
      <c r="F947" s="88" t="s">
        <v>3313</v>
      </c>
      <c r="G947" s="88" t="s">
        <v>158</v>
      </c>
      <c r="H947" s="81" t="s">
        <v>220</v>
      </c>
      <c r="I947" s="98" t="s">
        <v>649</v>
      </c>
      <c r="J947" s="75">
        <f t="shared" si="81"/>
        <v>1</v>
      </c>
      <c r="K947" s="76" t="s">
        <v>211</v>
      </c>
      <c r="N947" s="78" t="s">
        <v>18</v>
      </c>
      <c r="Q947" s="78" t="s">
        <v>2097</v>
      </c>
      <c r="R947" s="75">
        <f t="shared" si="82"/>
        <v>1</v>
      </c>
      <c r="S947" s="263" t="s">
        <v>1991</v>
      </c>
      <c r="T947" s="263"/>
      <c r="U947" s="263"/>
      <c r="V947" s="263"/>
      <c r="W947" s="263"/>
      <c r="X947" s="263"/>
      <c r="Y947" s="575"/>
      <c r="Z947" s="575"/>
      <c r="AA947" s="576">
        <f t="shared" si="78"/>
        <v>0</v>
      </c>
      <c r="AB947" s="722"/>
    </row>
    <row r="948" spans="1:28" ht="15.75" customHeight="1" x14ac:dyDescent="0.35">
      <c r="A948" s="81" t="s">
        <v>3320</v>
      </c>
      <c r="C948" s="83">
        <v>43819</v>
      </c>
      <c r="D948" s="112">
        <v>43865</v>
      </c>
      <c r="E948" s="570"/>
      <c r="F948" s="88" t="s">
        <v>3321</v>
      </c>
      <c r="G948" s="88" t="s">
        <v>177</v>
      </c>
      <c r="H948" s="81" t="s">
        <v>220</v>
      </c>
      <c r="I948" s="98" t="s">
        <v>1004</v>
      </c>
      <c r="J948" s="75">
        <f t="shared" si="81"/>
        <v>1</v>
      </c>
      <c r="K948" s="76" t="s">
        <v>211</v>
      </c>
      <c r="N948" s="78" t="s">
        <v>19</v>
      </c>
      <c r="Q948" s="78" t="s">
        <v>2097</v>
      </c>
      <c r="R948" s="75">
        <f t="shared" si="82"/>
        <v>1</v>
      </c>
      <c r="S948" s="263" t="s">
        <v>1991</v>
      </c>
      <c r="T948" s="263"/>
      <c r="U948" s="263"/>
      <c r="V948" s="263"/>
      <c r="W948" s="263"/>
      <c r="X948" s="263"/>
      <c r="Y948" s="575"/>
      <c r="Z948" s="575"/>
      <c r="AA948" s="576">
        <f t="shared" si="78"/>
        <v>0</v>
      </c>
      <c r="AB948" s="722"/>
    </row>
    <row r="949" spans="1:28" ht="15.75" customHeight="1" x14ac:dyDescent="0.35">
      <c r="A949" s="81" t="s">
        <v>3322</v>
      </c>
      <c r="C949" s="83">
        <v>43819</v>
      </c>
      <c r="D949" s="112">
        <v>43865</v>
      </c>
      <c r="E949" s="570"/>
      <c r="F949" s="88" t="s">
        <v>3323</v>
      </c>
      <c r="G949" s="88" t="s">
        <v>176</v>
      </c>
      <c r="H949" s="81" t="s">
        <v>220</v>
      </c>
      <c r="I949" s="98" t="s">
        <v>649</v>
      </c>
      <c r="J949" s="75">
        <f t="shared" si="81"/>
        <v>1</v>
      </c>
      <c r="K949" s="76" t="s">
        <v>211</v>
      </c>
      <c r="N949" s="78" t="s">
        <v>18</v>
      </c>
      <c r="Q949" s="78" t="s">
        <v>2097</v>
      </c>
      <c r="R949" s="75">
        <f t="shared" si="82"/>
        <v>1</v>
      </c>
      <c r="S949" s="263" t="s">
        <v>1991</v>
      </c>
      <c r="T949" s="263"/>
      <c r="U949" s="263"/>
      <c r="V949" s="263"/>
      <c r="W949" s="263"/>
      <c r="X949" s="263"/>
      <c r="Y949" s="575"/>
      <c r="Z949" s="575"/>
      <c r="AA949" s="576">
        <f t="shared" si="78"/>
        <v>0</v>
      </c>
      <c r="AB949" s="722"/>
    </row>
    <row r="950" spans="1:28" ht="15.75" customHeight="1" x14ac:dyDescent="0.35">
      <c r="A950" s="81" t="s">
        <v>3902</v>
      </c>
      <c r="C950" s="83">
        <v>43819</v>
      </c>
      <c r="D950" s="112">
        <v>43864</v>
      </c>
      <c r="E950" s="570"/>
      <c r="F950" s="88" t="s">
        <v>3903</v>
      </c>
      <c r="G950" s="88" t="s">
        <v>149</v>
      </c>
      <c r="H950" s="81" t="s">
        <v>220</v>
      </c>
      <c r="I950" s="98" t="s">
        <v>722</v>
      </c>
      <c r="J950" s="75">
        <f t="shared" si="81"/>
        <v>1</v>
      </c>
      <c r="K950" s="76" t="s">
        <v>211</v>
      </c>
      <c r="N950" s="78" t="s">
        <v>18</v>
      </c>
      <c r="Q950" s="78" t="s">
        <v>2097</v>
      </c>
      <c r="R950" s="75">
        <f t="shared" si="82"/>
        <v>1</v>
      </c>
      <c r="S950" s="263" t="s">
        <v>1991</v>
      </c>
      <c r="T950" s="263"/>
      <c r="U950" s="263"/>
      <c r="V950" s="263"/>
      <c r="W950" s="263"/>
      <c r="X950" s="263"/>
      <c r="Y950" s="575"/>
      <c r="Z950" s="575"/>
      <c r="AA950" s="576">
        <f t="shared" si="78"/>
        <v>0</v>
      </c>
      <c r="AB950" s="722"/>
    </row>
    <row r="951" spans="1:28" ht="15.75" customHeight="1" x14ac:dyDescent="0.35">
      <c r="A951" s="81" t="s">
        <v>3324</v>
      </c>
      <c r="C951" s="83">
        <v>43822</v>
      </c>
      <c r="D951" s="112">
        <v>43866</v>
      </c>
      <c r="E951" s="570"/>
      <c r="F951" s="88" t="s">
        <v>3325</v>
      </c>
      <c r="G951" s="88" t="s">
        <v>1393</v>
      </c>
      <c r="H951" s="81" t="s">
        <v>220</v>
      </c>
      <c r="I951" s="98" t="s">
        <v>649</v>
      </c>
      <c r="J951" s="75">
        <f t="shared" ref="J951:J968" si="83">IF(OR(K951="Документы готовы",K951="Запрос в ФО",K951="ЭЗ",K951="РЕШ",K951="РЕШ шаблон"),0.1,IF(OR(K951="ЭЗ согласование",K951="РЕШ согласование"),0.3,IF(OR(K951="ЭЗ согласовано",K951="РЕШ согласовано",K951="РЕШ подписано"),0.6,IF(OR(K951="ЭЗ ПР согласование",K951="РЕШ УВ согласование"),0.9,IF(OR(K951="ЭЗ ПР DONE",K951="РЕШ УВ DONE"),1,0)))))</f>
        <v>1</v>
      </c>
      <c r="K951" s="76" t="s">
        <v>211</v>
      </c>
      <c r="N951" s="78" t="s">
        <v>18</v>
      </c>
      <c r="Q951" s="78" t="s">
        <v>2097</v>
      </c>
      <c r="R951" s="75">
        <f t="shared" si="82"/>
        <v>1</v>
      </c>
      <c r="S951" s="263" t="s">
        <v>1991</v>
      </c>
      <c r="T951" s="263"/>
      <c r="U951" s="263"/>
      <c r="V951" s="263"/>
      <c r="W951" s="263"/>
      <c r="X951" s="263"/>
      <c r="Y951" s="575"/>
      <c r="Z951" s="575"/>
      <c r="AA951" s="576">
        <f t="shared" si="78"/>
        <v>0</v>
      </c>
      <c r="AB951" s="722"/>
    </row>
    <row r="952" spans="1:28" ht="15.75" customHeight="1" x14ac:dyDescent="0.35">
      <c r="A952" s="81" t="s">
        <v>3326</v>
      </c>
      <c r="C952" s="83">
        <v>43822</v>
      </c>
      <c r="D952" s="112">
        <v>43866</v>
      </c>
      <c r="E952" s="570"/>
      <c r="F952" s="88" t="s">
        <v>3327</v>
      </c>
      <c r="G952" s="88" t="s">
        <v>168</v>
      </c>
      <c r="H952" s="81" t="s">
        <v>220</v>
      </c>
      <c r="I952" s="98" t="s">
        <v>649</v>
      </c>
      <c r="J952" s="75">
        <f t="shared" si="83"/>
        <v>1</v>
      </c>
      <c r="K952" s="76" t="s">
        <v>211</v>
      </c>
      <c r="N952" s="78" t="s">
        <v>18</v>
      </c>
      <c r="Q952" s="78" t="s">
        <v>2097</v>
      </c>
      <c r="R952" s="75">
        <f t="shared" si="82"/>
        <v>1</v>
      </c>
      <c r="S952" s="263" t="s">
        <v>1991</v>
      </c>
      <c r="T952" s="263"/>
      <c r="U952" s="263"/>
      <c r="V952" s="263"/>
      <c r="W952" s="263"/>
      <c r="X952" s="263"/>
      <c r="Y952" s="575"/>
      <c r="Z952" s="575"/>
      <c r="AA952" s="576">
        <f t="shared" si="78"/>
        <v>0</v>
      </c>
      <c r="AB952" s="722"/>
    </row>
    <row r="953" spans="1:28" ht="15.75" customHeight="1" x14ac:dyDescent="0.35">
      <c r="A953" s="81" t="s">
        <v>3330</v>
      </c>
      <c r="C953" s="83">
        <v>43822</v>
      </c>
      <c r="D953" s="112">
        <v>43866</v>
      </c>
      <c r="E953" s="570"/>
      <c r="F953" s="88" t="s">
        <v>3331</v>
      </c>
      <c r="G953" s="88" t="s">
        <v>1051</v>
      </c>
      <c r="H953" s="81" t="s">
        <v>220</v>
      </c>
      <c r="I953" s="98" t="s">
        <v>649</v>
      </c>
      <c r="J953" s="75">
        <f t="shared" si="83"/>
        <v>1</v>
      </c>
      <c r="K953" s="76" t="s">
        <v>211</v>
      </c>
      <c r="N953" s="78" t="s">
        <v>18</v>
      </c>
      <c r="Q953" s="78" t="s">
        <v>2097</v>
      </c>
      <c r="R953" s="75">
        <f t="shared" ref="R953:R968" si="84">IF(S953="В работе",0.3,IF(S953="Отписано",0.6,IF(S953="На доработку",0.9,IF(S953="Согласовано",1,0))))</f>
        <v>1</v>
      </c>
      <c r="S953" s="263" t="s">
        <v>1991</v>
      </c>
      <c r="T953" s="263"/>
      <c r="U953" s="263"/>
      <c r="V953" s="263"/>
      <c r="W953" s="263"/>
      <c r="X953" s="263"/>
      <c r="Y953" s="575"/>
      <c r="Z953" s="575"/>
      <c r="AA953" s="576">
        <f t="shared" si="78"/>
        <v>0</v>
      </c>
      <c r="AB953" s="722"/>
    </row>
    <row r="954" spans="1:28" ht="15.75" customHeight="1" x14ac:dyDescent="0.35">
      <c r="A954" s="81" t="s">
        <v>3334</v>
      </c>
      <c r="C954" s="83">
        <v>43823</v>
      </c>
      <c r="D954" s="112">
        <v>43867</v>
      </c>
      <c r="E954" s="570"/>
      <c r="F954" s="88" t="s">
        <v>3335</v>
      </c>
      <c r="G954" s="88" t="s">
        <v>158</v>
      </c>
      <c r="H954" s="81" t="s">
        <v>220</v>
      </c>
      <c r="I954" s="98" t="s">
        <v>649</v>
      </c>
      <c r="J954" s="75">
        <f t="shared" si="83"/>
        <v>1</v>
      </c>
      <c r="K954" s="76" t="s">
        <v>211</v>
      </c>
      <c r="L954" s="99"/>
      <c r="N954" s="78" t="s">
        <v>18</v>
      </c>
      <c r="Q954" s="78" t="s">
        <v>2097</v>
      </c>
      <c r="R954" s="75">
        <f t="shared" si="84"/>
        <v>1</v>
      </c>
      <c r="S954" s="263" t="s">
        <v>1991</v>
      </c>
      <c r="T954" s="263"/>
      <c r="U954" s="263"/>
      <c r="V954" s="263"/>
      <c r="W954" s="263"/>
      <c r="X954" s="263"/>
      <c r="Y954" s="575"/>
      <c r="Z954" s="575"/>
      <c r="AA954" s="576">
        <f t="shared" si="78"/>
        <v>0</v>
      </c>
      <c r="AB954" s="722"/>
    </row>
    <row r="955" spans="1:28" ht="15.75" customHeight="1" x14ac:dyDescent="0.35">
      <c r="A955" s="81" t="s">
        <v>3559</v>
      </c>
      <c r="C955" s="83">
        <v>43823</v>
      </c>
      <c r="D955" s="112">
        <v>43867</v>
      </c>
      <c r="E955" s="570"/>
      <c r="F955" s="88" t="s">
        <v>3560</v>
      </c>
      <c r="G955" s="88" t="s">
        <v>149</v>
      </c>
      <c r="H955" s="81" t="s">
        <v>220</v>
      </c>
      <c r="I955" s="98" t="s">
        <v>656</v>
      </c>
      <c r="J955" s="75">
        <f t="shared" si="83"/>
        <v>1</v>
      </c>
      <c r="K955" s="76" t="s">
        <v>211</v>
      </c>
      <c r="N955" s="78" t="s">
        <v>17</v>
      </c>
      <c r="Q955" s="78" t="s">
        <v>2097</v>
      </c>
      <c r="R955" s="75">
        <f t="shared" si="84"/>
        <v>1</v>
      </c>
      <c r="S955" s="263" t="s">
        <v>1991</v>
      </c>
      <c r="T955" s="263"/>
      <c r="U955" s="263"/>
      <c r="V955" s="263"/>
      <c r="W955" s="263"/>
      <c r="X955" s="263"/>
      <c r="Y955" s="575"/>
      <c r="Z955" s="575"/>
      <c r="AA955" s="576">
        <f t="shared" si="78"/>
        <v>0</v>
      </c>
      <c r="AB955" s="722"/>
    </row>
    <row r="956" spans="1:28" ht="15.75" customHeight="1" x14ac:dyDescent="0.35">
      <c r="A956" s="81" t="s">
        <v>3336</v>
      </c>
      <c r="C956" s="83">
        <v>43824</v>
      </c>
      <c r="D956" s="112">
        <v>43868</v>
      </c>
      <c r="E956" s="570"/>
      <c r="F956" s="88" t="s">
        <v>3337</v>
      </c>
      <c r="G956" s="88" t="s">
        <v>176</v>
      </c>
      <c r="H956" s="81" t="s">
        <v>220</v>
      </c>
      <c r="I956" s="98" t="s">
        <v>649</v>
      </c>
      <c r="J956" s="75">
        <f t="shared" si="83"/>
        <v>1</v>
      </c>
      <c r="K956" s="76" t="s">
        <v>211</v>
      </c>
      <c r="N956" s="78" t="s">
        <v>17</v>
      </c>
      <c r="Q956" s="78" t="s">
        <v>2097</v>
      </c>
      <c r="R956" s="75">
        <f t="shared" si="84"/>
        <v>1</v>
      </c>
      <c r="S956" s="263" t="s">
        <v>1991</v>
      </c>
      <c r="T956" s="263"/>
      <c r="U956" s="263"/>
      <c r="V956" s="263"/>
      <c r="W956" s="263"/>
      <c r="X956" s="263"/>
      <c r="Y956" s="575"/>
      <c r="Z956" s="575"/>
      <c r="AA956" s="576">
        <f t="shared" si="78"/>
        <v>0</v>
      </c>
      <c r="AB956" s="722"/>
    </row>
    <row r="957" spans="1:28" ht="15.75" customHeight="1" x14ac:dyDescent="0.35">
      <c r="A957" s="81" t="s">
        <v>3338</v>
      </c>
      <c r="C957" s="83">
        <v>43824</v>
      </c>
      <c r="D957" s="112">
        <v>43868</v>
      </c>
      <c r="E957" s="570"/>
      <c r="F957" s="88" t="s">
        <v>3339</v>
      </c>
      <c r="G957" s="88" t="s">
        <v>158</v>
      </c>
      <c r="H957" s="81" t="s">
        <v>220</v>
      </c>
      <c r="J957" s="75">
        <f t="shared" si="83"/>
        <v>1</v>
      </c>
      <c r="K957" s="76" t="s">
        <v>211</v>
      </c>
      <c r="N957" s="78" t="s">
        <v>17</v>
      </c>
      <c r="Q957" s="78" t="s">
        <v>2097</v>
      </c>
      <c r="R957" s="75">
        <f t="shared" si="84"/>
        <v>1</v>
      </c>
      <c r="S957" s="263" t="s">
        <v>1991</v>
      </c>
      <c r="T957" s="263"/>
      <c r="U957" s="263"/>
      <c r="V957" s="263"/>
      <c r="W957" s="263"/>
      <c r="X957" s="263"/>
      <c r="Y957" s="575"/>
      <c r="Z957" s="575"/>
      <c r="AA957" s="576">
        <f t="shared" si="78"/>
        <v>0</v>
      </c>
      <c r="AB957" s="722"/>
    </row>
    <row r="958" spans="1:28" ht="15.75" customHeight="1" x14ac:dyDescent="0.35">
      <c r="A958" s="355" t="s">
        <v>3904</v>
      </c>
      <c r="C958" s="83">
        <v>43840</v>
      </c>
      <c r="D958" s="112">
        <v>43864</v>
      </c>
      <c r="E958" s="570"/>
      <c r="F958" s="88" t="s">
        <v>3905</v>
      </c>
      <c r="G958" s="88" t="s">
        <v>168</v>
      </c>
      <c r="H958" s="81" t="s">
        <v>220</v>
      </c>
      <c r="I958" s="98" t="s">
        <v>1877</v>
      </c>
      <c r="J958" s="75">
        <f t="shared" si="83"/>
        <v>1</v>
      </c>
      <c r="K958" s="76" t="s">
        <v>211</v>
      </c>
      <c r="N958" s="78" t="s">
        <v>17</v>
      </c>
      <c r="Q958" s="78" t="s">
        <v>2097</v>
      </c>
      <c r="R958" s="75">
        <f t="shared" si="84"/>
        <v>1</v>
      </c>
      <c r="S958" s="263" t="s">
        <v>1991</v>
      </c>
      <c r="T958" s="263"/>
      <c r="U958" s="263"/>
      <c r="V958" s="263"/>
      <c r="W958" s="263"/>
      <c r="X958" s="263"/>
      <c r="Y958" s="575"/>
      <c r="Z958" s="575"/>
      <c r="AA958" s="576">
        <f t="shared" si="78"/>
        <v>0</v>
      </c>
      <c r="AB958" s="722"/>
    </row>
    <row r="959" spans="1:28" ht="15.75" customHeight="1" x14ac:dyDescent="0.35">
      <c r="A959" s="355" t="s">
        <v>3906</v>
      </c>
      <c r="C959" s="83">
        <v>43840</v>
      </c>
      <c r="D959" s="112">
        <v>43864</v>
      </c>
      <c r="E959" s="570"/>
      <c r="F959" s="88" t="s">
        <v>3907</v>
      </c>
      <c r="G959" s="88" t="s">
        <v>1393</v>
      </c>
      <c r="H959" s="81" t="s">
        <v>220</v>
      </c>
      <c r="I959" s="98" t="s">
        <v>2516</v>
      </c>
      <c r="J959" s="75">
        <f t="shared" si="83"/>
        <v>1</v>
      </c>
      <c r="K959" s="76" t="s">
        <v>211</v>
      </c>
      <c r="L959" s="99" t="s">
        <v>3940</v>
      </c>
      <c r="N959" s="78" t="s">
        <v>19</v>
      </c>
      <c r="Q959" s="78" t="s">
        <v>2097</v>
      </c>
      <c r="R959" s="75">
        <f t="shared" si="84"/>
        <v>1</v>
      </c>
      <c r="S959" s="263" t="s">
        <v>1991</v>
      </c>
      <c r="T959" s="263"/>
      <c r="U959" s="263"/>
      <c r="V959" s="263"/>
      <c r="W959" s="263"/>
      <c r="X959" s="263"/>
      <c r="Y959" s="575"/>
      <c r="Z959" s="575"/>
      <c r="AA959" s="576">
        <f t="shared" si="78"/>
        <v>0</v>
      </c>
      <c r="AB959" s="722"/>
    </row>
    <row r="960" spans="1:28" ht="15.75" customHeight="1" x14ac:dyDescent="0.35">
      <c r="A960" s="81" t="s">
        <v>3908</v>
      </c>
      <c r="C960" s="83">
        <v>43843</v>
      </c>
      <c r="D960" s="112">
        <v>43865</v>
      </c>
      <c r="E960" s="570"/>
      <c r="F960" s="88" t="s">
        <v>3909</v>
      </c>
      <c r="G960" s="88" t="s">
        <v>170</v>
      </c>
      <c r="H960" s="81" t="s">
        <v>220</v>
      </c>
      <c r="I960" s="98" t="s">
        <v>730</v>
      </c>
      <c r="J960" s="75">
        <f t="shared" si="83"/>
        <v>1</v>
      </c>
      <c r="K960" s="76" t="s">
        <v>211</v>
      </c>
      <c r="L960" s="99" t="s">
        <v>3942</v>
      </c>
      <c r="N960" s="78" t="s">
        <v>18</v>
      </c>
      <c r="Q960" s="78" t="s">
        <v>2097</v>
      </c>
      <c r="R960" s="75">
        <f t="shared" si="84"/>
        <v>1</v>
      </c>
      <c r="S960" s="263" t="s">
        <v>1991</v>
      </c>
      <c r="T960" s="263"/>
      <c r="U960" s="263"/>
      <c r="V960" s="263"/>
      <c r="W960" s="263"/>
      <c r="X960" s="263"/>
      <c r="Y960" s="575"/>
      <c r="Z960" s="575"/>
      <c r="AA960" s="576">
        <f t="shared" si="78"/>
        <v>0</v>
      </c>
      <c r="AB960" s="722"/>
    </row>
    <row r="961" spans="1:28" ht="15.75" customHeight="1" x14ac:dyDescent="0.35">
      <c r="A961" s="81" t="s">
        <v>3912</v>
      </c>
      <c r="C961" s="83">
        <v>43843</v>
      </c>
      <c r="D961" s="112">
        <v>43865</v>
      </c>
      <c r="E961" s="570"/>
      <c r="F961" s="88" t="s">
        <v>3913</v>
      </c>
      <c r="G961" s="88" t="s">
        <v>160</v>
      </c>
      <c r="H961" s="81" t="s">
        <v>220</v>
      </c>
      <c r="I961" s="98" t="s">
        <v>665</v>
      </c>
      <c r="J961" s="75">
        <f t="shared" si="83"/>
        <v>1</v>
      </c>
      <c r="K961" s="76" t="s">
        <v>211</v>
      </c>
      <c r="N961" s="78" t="s">
        <v>18</v>
      </c>
      <c r="Q961" s="78" t="s">
        <v>2097</v>
      </c>
      <c r="R961" s="75">
        <f t="shared" si="84"/>
        <v>1</v>
      </c>
      <c r="S961" s="263" t="s">
        <v>1991</v>
      </c>
      <c r="T961" s="263"/>
      <c r="U961" s="263"/>
      <c r="V961" s="263"/>
      <c r="W961" s="263"/>
      <c r="X961" s="263"/>
      <c r="Y961" s="575"/>
      <c r="Z961" s="575"/>
      <c r="AA961" s="576">
        <f t="shared" ref="AA961:AA1007" si="85">Z961-Y961</f>
        <v>0</v>
      </c>
      <c r="AB961" s="722"/>
    </row>
    <row r="962" spans="1:28" ht="15.75" customHeight="1" x14ac:dyDescent="0.35">
      <c r="A962" s="81" t="s">
        <v>3914</v>
      </c>
      <c r="C962" s="83">
        <v>43844</v>
      </c>
      <c r="D962" s="112">
        <v>43866</v>
      </c>
      <c r="E962" s="570"/>
      <c r="F962" s="88" t="s">
        <v>3915</v>
      </c>
      <c r="G962" s="88" t="s">
        <v>152</v>
      </c>
      <c r="H962" s="81" t="s">
        <v>220</v>
      </c>
      <c r="I962" s="98" t="s">
        <v>656</v>
      </c>
      <c r="J962" s="75">
        <f t="shared" si="83"/>
        <v>1</v>
      </c>
      <c r="K962" s="76" t="s">
        <v>211</v>
      </c>
      <c r="N962" s="78" t="s">
        <v>17</v>
      </c>
      <c r="Q962" s="78" t="s">
        <v>2097</v>
      </c>
      <c r="R962" s="75">
        <f t="shared" si="84"/>
        <v>1</v>
      </c>
      <c r="S962" s="263" t="s">
        <v>1991</v>
      </c>
      <c r="T962" s="263"/>
      <c r="U962" s="263"/>
      <c r="V962" s="263"/>
      <c r="W962" s="263"/>
      <c r="X962" s="263"/>
      <c r="Y962" s="575"/>
      <c r="Z962" s="575"/>
      <c r="AA962" s="576">
        <f t="shared" si="85"/>
        <v>0</v>
      </c>
      <c r="AB962" s="722"/>
    </row>
    <row r="963" spans="1:28" ht="15.75" customHeight="1" x14ac:dyDescent="0.35">
      <c r="A963" s="81" t="s">
        <v>3916</v>
      </c>
      <c r="C963" s="83">
        <v>43844</v>
      </c>
      <c r="D963" s="112">
        <v>43866</v>
      </c>
      <c r="E963" s="570"/>
      <c r="F963" s="88" t="s">
        <v>3917</v>
      </c>
      <c r="G963" s="88" t="s">
        <v>162</v>
      </c>
      <c r="H963" s="81" t="s">
        <v>220</v>
      </c>
      <c r="I963" s="98" t="s">
        <v>2516</v>
      </c>
      <c r="J963" s="75">
        <f t="shared" si="83"/>
        <v>1</v>
      </c>
      <c r="K963" s="76" t="s">
        <v>211</v>
      </c>
      <c r="N963" s="78" t="s">
        <v>17</v>
      </c>
      <c r="Q963" s="78" t="s">
        <v>2097</v>
      </c>
      <c r="R963" s="75">
        <f t="shared" si="84"/>
        <v>1</v>
      </c>
      <c r="S963" s="263" t="s">
        <v>1991</v>
      </c>
      <c r="T963" s="263"/>
      <c r="U963" s="263"/>
      <c r="V963" s="263"/>
      <c r="W963" s="263"/>
      <c r="X963" s="263"/>
      <c r="Y963" s="575"/>
      <c r="Z963" s="575"/>
      <c r="AA963" s="576">
        <f t="shared" si="85"/>
        <v>0</v>
      </c>
      <c r="AB963" s="722"/>
    </row>
    <row r="964" spans="1:28" ht="15.75" customHeight="1" x14ac:dyDescent="0.35">
      <c r="A964" s="81" t="s">
        <v>3918</v>
      </c>
      <c r="C964" s="83">
        <v>43844</v>
      </c>
      <c r="D964" s="112">
        <v>43866</v>
      </c>
      <c r="E964" s="570"/>
      <c r="F964" s="88" t="s">
        <v>3919</v>
      </c>
      <c r="G964" s="88" t="s">
        <v>154</v>
      </c>
      <c r="H964" s="81" t="s">
        <v>220</v>
      </c>
      <c r="I964" s="98" t="s">
        <v>2516</v>
      </c>
      <c r="J964" s="75">
        <f t="shared" si="83"/>
        <v>1</v>
      </c>
      <c r="K964" s="76" t="s">
        <v>211</v>
      </c>
      <c r="N964" s="78" t="s">
        <v>17</v>
      </c>
      <c r="Q964" s="78" t="s">
        <v>2097</v>
      </c>
      <c r="R964" s="75">
        <f t="shared" si="84"/>
        <v>1</v>
      </c>
      <c r="S964" s="263" t="s">
        <v>1991</v>
      </c>
      <c r="T964" s="263"/>
      <c r="U964" s="263"/>
      <c r="V964" s="263"/>
      <c r="W964" s="263"/>
      <c r="X964" s="263"/>
      <c r="Y964" s="575"/>
      <c r="Z964" s="575"/>
      <c r="AA964" s="576">
        <f t="shared" si="85"/>
        <v>0</v>
      </c>
      <c r="AB964" s="722"/>
    </row>
    <row r="965" spans="1:28" ht="15.75" customHeight="1" x14ac:dyDescent="0.35">
      <c r="A965" s="81" t="s">
        <v>3920</v>
      </c>
      <c r="C965" s="83">
        <v>43844</v>
      </c>
      <c r="D965" s="112">
        <v>43866</v>
      </c>
      <c r="E965" s="570"/>
      <c r="F965" s="88" t="s">
        <v>3921</v>
      </c>
      <c r="G965" s="88" t="s">
        <v>154</v>
      </c>
      <c r="H965" s="81" t="s">
        <v>220</v>
      </c>
      <c r="I965" s="98" t="s">
        <v>2516</v>
      </c>
      <c r="J965" s="75">
        <f t="shared" si="83"/>
        <v>1</v>
      </c>
      <c r="K965" s="76" t="s">
        <v>211</v>
      </c>
      <c r="L965" s="88" t="s">
        <v>3945</v>
      </c>
      <c r="N965" s="78" t="s">
        <v>17</v>
      </c>
      <c r="Q965" s="78" t="s">
        <v>2097</v>
      </c>
      <c r="R965" s="75">
        <f t="shared" si="84"/>
        <v>1</v>
      </c>
      <c r="S965" s="263" t="s">
        <v>1991</v>
      </c>
      <c r="T965" s="263"/>
      <c r="U965" s="263"/>
      <c r="V965" s="263"/>
      <c r="W965" s="263"/>
      <c r="X965" s="263"/>
      <c r="Y965" s="575"/>
      <c r="Z965" s="575"/>
      <c r="AA965" s="576">
        <f t="shared" si="85"/>
        <v>0</v>
      </c>
      <c r="AB965" s="722"/>
    </row>
    <row r="966" spans="1:28" ht="15.75" customHeight="1" x14ac:dyDescent="0.35">
      <c r="A966" s="81" t="s">
        <v>3922</v>
      </c>
      <c r="C966" s="83">
        <v>43844</v>
      </c>
      <c r="D966" s="112">
        <v>43866</v>
      </c>
      <c r="E966" s="570"/>
      <c r="F966" s="88" t="s">
        <v>3923</v>
      </c>
      <c r="G966" s="88" t="s">
        <v>152</v>
      </c>
      <c r="H966" s="81" t="s">
        <v>220</v>
      </c>
      <c r="I966" s="98" t="s">
        <v>2215</v>
      </c>
      <c r="J966" s="75">
        <f t="shared" si="83"/>
        <v>1</v>
      </c>
      <c r="K966" s="76" t="s">
        <v>211</v>
      </c>
      <c r="L966" s="99" t="s">
        <v>3955</v>
      </c>
      <c r="N966" s="78" t="s">
        <v>17</v>
      </c>
      <c r="Q966" s="78" t="s">
        <v>2097</v>
      </c>
      <c r="R966" s="75">
        <f t="shared" si="84"/>
        <v>1</v>
      </c>
      <c r="S966" s="263" t="s">
        <v>1991</v>
      </c>
      <c r="T966" s="263"/>
      <c r="U966" s="263"/>
      <c r="V966" s="263"/>
      <c r="W966" s="263"/>
      <c r="X966" s="263"/>
      <c r="Y966" s="575"/>
      <c r="Z966" s="575"/>
      <c r="AA966" s="576">
        <f t="shared" si="85"/>
        <v>0</v>
      </c>
      <c r="AB966" s="722"/>
    </row>
    <row r="967" spans="1:28" ht="15.75" customHeight="1" x14ac:dyDescent="0.35">
      <c r="A967" s="81" t="s">
        <v>3924</v>
      </c>
      <c r="C967" s="83">
        <v>43845</v>
      </c>
      <c r="D967" s="112">
        <v>43867</v>
      </c>
      <c r="E967" s="570"/>
      <c r="F967" s="88" t="s">
        <v>3925</v>
      </c>
      <c r="G967" s="88" t="s">
        <v>162</v>
      </c>
      <c r="H967" s="81" t="s">
        <v>220</v>
      </c>
      <c r="I967" s="98" t="s">
        <v>3557</v>
      </c>
      <c r="J967" s="75">
        <f t="shared" si="83"/>
        <v>1</v>
      </c>
      <c r="K967" s="76" t="s">
        <v>211</v>
      </c>
      <c r="N967" s="78" t="s">
        <v>18</v>
      </c>
      <c r="Q967" s="78" t="s">
        <v>2097</v>
      </c>
      <c r="R967" s="75">
        <f t="shared" si="84"/>
        <v>1</v>
      </c>
      <c r="S967" s="263" t="s">
        <v>1991</v>
      </c>
      <c r="T967" s="263"/>
      <c r="U967" s="263"/>
      <c r="V967" s="263"/>
      <c r="W967" s="263"/>
      <c r="X967" s="263"/>
      <c r="Y967" s="575"/>
      <c r="Z967" s="575"/>
      <c r="AA967" s="576">
        <f t="shared" si="85"/>
        <v>0</v>
      </c>
      <c r="AB967" s="722"/>
    </row>
    <row r="968" spans="1:28" ht="15.75" customHeight="1" x14ac:dyDescent="0.35">
      <c r="A968" s="81" t="s">
        <v>3934</v>
      </c>
      <c r="C968" s="83">
        <v>43846</v>
      </c>
      <c r="D968" s="112">
        <v>43868</v>
      </c>
      <c r="E968" s="570"/>
      <c r="F968" s="255" t="s">
        <v>3935</v>
      </c>
      <c r="G968" s="88" t="s">
        <v>179</v>
      </c>
      <c r="H968" s="81" t="s">
        <v>220</v>
      </c>
      <c r="I968" s="98" t="s">
        <v>665</v>
      </c>
      <c r="J968" s="75">
        <f t="shared" si="83"/>
        <v>1</v>
      </c>
      <c r="K968" s="76" t="s">
        <v>211</v>
      </c>
      <c r="N968" s="78" t="s">
        <v>17</v>
      </c>
      <c r="Q968" s="78" t="s">
        <v>2097</v>
      </c>
      <c r="R968" s="75">
        <f t="shared" si="84"/>
        <v>1</v>
      </c>
      <c r="S968" s="263" t="s">
        <v>1991</v>
      </c>
      <c r="T968" s="263"/>
      <c r="U968" s="263"/>
      <c r="V968" s="263"/>
      <c r="W968" s="263"/>
      <c r="X968" s="263"/>
      <c r="Y968" s="575"/>
      <c r="Z968" s="575"/>
      <c r="AA968" s="576">
        <f t="shared" si="85"/>
        <v>0</v>
      </c>
      <c r="AB968" s="722"/>
    </row>
    <row r="969" spans="1:28" ht="15.75" customHeight="1" x14ac:dyDescent="0.35">
      <c r="A969" s="81" t="s">
        <v>3576</v>
      </c>
      <c r="C969" s="83">
        <v>43825</v>
      </c>
      <c r="D969" s="112">
        <v>43871</v>
      </c>
      <c r="E969" s="570"/>
      <c r="F969" s="88" t="s">
        <v>3577</v>
      </c>
      <c r="G969" s="88" t="s">
        <v>158</v>
      </c>
      <c r="H969" s="98" t="s">
        <v>220</v>
      </c>
      <c r="I969" s="98" t="s">
        <v>722</v>
      </c>
      <c r="J969" s="75">
        <f t="shared" ref="J969:J978" si="86">IF(OR(K969="Документы готовы",K969="Запрос в ФО",K969="ЭЗ",K969="РЕШ",K969="РЕШ шаблон"),0.1,IF(OR(K969="ЭЗ согласование",K969="РЕШ согласование"),0.3,IF(OR(K969="ЭЗ согласовано",K969="РЕШ согласовано",K969="РЕШ подписано"),0.6,IF(OR(K969="ЭЗ ПР согласование",K969="РЕШ УВ согласование"),0.9,IF(OR(K969="ЭЗ ПР DONE",K969="РЕШ УВ DONE"),1,0)))))</f>
        <v>1</v>
      </c>
      <c r="K969" s="76" t="s">
        <v>211</v>
      </c>
      <c r="N969" s="78" t="s">
        <v>18</v>
      </c>
      <c r="Q969" s="78" t="s">
        <v>2097</v>
      </c>
      <c r="R969" s="75">
        <f t="shared" ref="R969:R979" si="87">IF(S969="В работе",0.3,IF(S969="Отписано",0.6,IF(S969="На доработку",0.9,IF(S969="Согласовано",1,0))))</f>
        <v>1</v>
      </c>
      <c r="S969" s="263" t="s">
        <v>1991</v>
      </c>
      <c r="T969" s="263"/>
      <c r="U969" s="263"/>
      <c r="V969" s="263"/>
      <c r="W969" s="263"/>
      <c r="X969" s="263"/>
      <c r="Y969" s="575"/>
      <c r="Z969" s="575"/>
      <c r="AA969" s="576">
        <f t="shared" si="85"/>
        <v>0</v>
      </c>
      <c r="AB969" s="722"/>
    </row>
    <row r="970" spans="1:28" ht="15.75" customHeight="1" x14ac:dyDescent="0.35">
      <c r="A970" s="81" t="s">
        <v>3580</v>
      </c>
      <c r="C970" s="83">
        <v>43825</v>
      </c>
      <c r="D970" s="112">
        <v>43871</v>
      </c>
      <c r="E970" s="570"/>
      <c r="F970" s="88" t="s">
        <v>3581</v>
      </c>
      <c r="G970" s="88" t="s">
        <v>195</v>
      </c>
      <c r="H970" s="98" t="s">
        <v>220</v>
      </c>
      <c r="I970" s="98" t="s">
        <v>649</v>
      </c>
      <c r="J970" s="75">
        <f t="shared" si="86"/>
        <v>1</v>
      </c>
      <c r="K970" s="76" t="s">
        <v>211</v>
      </c>
      <c r="L970" s="99" t="s">
        <v>4186</v>
      </c>
      <c r="N970" s="78" t="s">
        <v>18</v>
      </c>
      <c r="Q970" s="78" t="s">
        <v>2097</v>
      </c>
      <c r="R970" s="75">
        <f t="shared" si="87"/>
        <v>1</v>
      </c>
      <c r="S970" s="263" t="s">
        <v>1991</v>
      </c>
      <c r="T970" s="263"/>
      <c r="U970" s="263"/>
      <c r="V970" s="263"/>
      <c r="W970" s="263"/>
      <c r="X970" s="263"/>
      <c r="Y970" s="575"/>
      <c r="Z970" s="575"/>
      <c r="AA970" s="576">
        <f t="shared" si="85"/>
        <v>0</v>
      </c>
      <c r="AB970" s="722"/>
    </row>
    <row r="971" spans="1:28" ht="15.75" customHeight="1" x14ac:dyDescent="0.35">
      <c r="A971" s="81" t="s">
        <v>3582</v>
      </c>
      <c r="C971" s="83">
        <v>43826</v>
      </c>
      <c r="D971" s="112">
        <v>43872</v>
      </c>
      <c r="E971" s="570"/>
      <c r="F971" s="88" t="s">
        <v>3583</v>
      </c>
      <c r="G971" s="88" t="s">
        <v>158</v>
      </c>
      <c r="H971" s="81" t="s">
        <v>220</v>
      </c>
      <c r="I971" s="98" t="s">
        <v>722</v>
      </c>
      <c r="J971" s="75">
        <f t="shared" si="86"/>
        <v>1</v>
      </c>
      <c r="K971" s="76" t="s">
        <v>211</v>
      </c>
      <c r="N971" s="78" t="s">
        <v>18</v>
      </c>
      <c r="Q971" s="78" t="s">
        <v>2097</v>
      </c>
      <c r="R971" s="75">
        <f t="shared" si="87"/>
        <v>1</v>
      </c>
      <c r="S971" s="263" t="s">
        <v>1991</v>
      </c>
      <c r="T971" s="263"/>
      <c r="U971" s="263"/>
      <c r="V971" s="263"/>
      <c r="W971" s="263"/>
      <c r="X971" s="263"/>
      <c r="Y971" s="575"/>
      <c r="Z971" s="575"/>
      <c r="AA971" s="576">
        <f t="shared" si="85"/>
        <v>0</v>
      </c>
      <c r="AB971" s="722"/>
    </row>
    <row r="972" spans="1:28" ht="15.75" customHeight="1" x14ac:dyDescent="0.35">
      <c r="A972" s="81" t="s">
        <v>3591</v>
      </c>
      <c r="C972" s="83">
        <v>43826</v>
      </c>
      <c r="D972" s="112">
        <v>43872</v>
      </c>
      <c r="E972" s="570"/>
      <c r="F972" s="88" t="s">
        <v>3592</v>
      </c>
      <c r="G972" s="88" t="s">
        <v>162</v>
      </c>
      <c r="H972" s="81" t="s">
        <v>220</v>
      </c>
      <c r="I972" s="98" t="s">
        <v>722</v>
      </c>
      <c r="J972" s="75">
        <f t="shared" si="86"/>
        <v>1</v>
      </c>
      <c r="K972" s="76" t="s">
        <v>211</v>
      </c>
      <c r="N972" s="78" t="s">
        <v>18</v>
      </c>
      <c r="Q972" s="78" t="s">
        <v>2097</v>
      </c>
      <c r="R972" s="75">
        <f t="shared" si="87"/>
        <v>1</v>
      </c>
      <c r="S972" s="263" t="s">
        <v>1991</v>
      </c>
      <c r="T972" s="263"/>
      <c r="U972" s="263"/>
      <c r="V972" s="263"/>
      <c r="W972" s="263"/>
      <c r="X972" s="263"/>
      <c r="Y972" s="575"/>
      <c r="Z972" s="575"/>
      <c r="AA972" s="576">
        <f t="shared" si="85"/>
        <v>0</v>
      </c>
      <c r="AB972" s="722"/>
    </row>
    <row r="973" spans="1:28" ht="15.75" customHeight="1" x14ac:dyDescent="0.35">
      <c r="A973" s="81" t="s">
        <v>3965</v>
      </c>
      <c r="C973" s="83">
        <v>43829</v>
      </c>
      <c r="D973" s="112">
        <v>43872</v>
      </c>
      <c r="E973" s="570"/>
      <c r="F973" s="88" t="s">
        <v>3966</v>
      </c>
      <c r="G973" s="88" t="s">
        <v>156</v>
      </c>
      <c r="H973" s="81" t="s">
        <v>220</v>
      </c>
      <c r="I973" s="98" t="s">
        <v>730</v>
      </c>
      <c r="J973" s="75">
        <f t="shared" si="86"/>
        <v>1</v>
      </c>
      <c r="K973" s="76" t="s">
        <v>211</v>
      </c>
      <c r="L973" s="99" t="s">
        <v>4188</v>
      </c>
      <c r="N973" s="78" t="s">
        <v>17</v>
      </c>
      <c r="Q973" s="78" t="s">
        <v>2097</v>
      </c>
      <c r="R973" s="75">
        <f t="shared" si="87"/>
        <v>1</v>
      </c>
      <c r="S973" s="263" t="s">
        <v>1991</v>
      </c>
      <c r="T973" s="263"/>
      <c r="U973" s="263"/>
      <c r="V973" s="263"/>
      <c r="W973" s="263"/>
      <c r="X973" s="263"/>
      <c r="Y973" s="575"/>
      <c r="Z973" s="575"/>
      <c r="AA973" s="576">
        <f t="shared" si="85"/>
        <v>0</v>
      </c>
      <c r="AB973" s="722"/>
    </row>
    <row r="974" spans="1:28" ht="15.75" customHeight="1" x14ac:dyDescent="0.35">
      <c r="A974" s="81" t="s">
        <v>3593</v>
      </c>
      <c r="C974" s="83">
        <v>43829</v>
      </c>
      <c r="D974" s="112">
        <v>43873</v>
      </c>
      <c r="E974" s="570"/>
      <c r="F974" s="88" t="s">
        <v>3594</v>
      </c>
      <c r="G974" s="88" t="s">
        <v>158</v>
      </c>
      <c r="H974" s="81" t="s">
        <v>220</v>
      </c>
      <c r="I974" s="98" t="s">
        <v>649</v>
      </c>
      <c r="J974" s="75">
        <f t="shared" si="86"/>
        <v>1</v>
      </c>
      <c r="K974" s="76" t="s">
        <v>211</v>
      </c>
      <c r="N974" s="78" t="s">
        <v>17</v>
      </c>
      <c r="Q974" s="78" t="s">
        <v>2097</v>
      </c>
      <c r="R974" s="75">
        <f t="shared" si="87"/>
        <v>1</v>
      </c>
      <c r="S974" s="263" t="s">
        <v>1991</v>
      </c>
      <c r="T974" s="263"/>
      <c r="U974" s="263"/>
      <c r="V974" s="263"/>
      <c r="W974" s="263"/>
      <c r="X974" s="263"/>
      <c r="Y974" s="575"/>
      <c r="Z974" s="575"/>
      <c r="AA974" s="576">
        <f t="shared" si="85"/>
        <v>0</v>
      </c>
      <c r="AB974" s="722"/>
    </row>
    <row r="975" spans="1:28" ht="15.75" customHeight="1" x14ac:dyDescent="0.35">
      <c r="A975" s="81" t="s">
        <v>3969</v>
      </c>
      <c r="C975" s="83">
        <v>43847</v>
      </c>
      <c r="D975" s="112">
        <v>43871</v>
      </c>
      <c r="E975" s="570"/>
      <c r="F975" s="88" t="s">
        <v>3970</v>
      </c>
      <c r="G975" s="88" t="s">
        <v>198</v>
      </c>
      <c r="H975" s="98" t="s">
        <v>220</v>
      </c>
      <c r="I975" s="98" t="s">
        <v>3554</v>
      </c>
      <c r="J975" s="75">
        <f t="shared" si="86"/>
        <v>1</v>
      </c>
      <c r="K975" s="76" t="s">
        <v>211</v>
      </c>
      <c r="N975" s="78" t="s">
        <v>18</v>
      </c>
      <c r="Q975" s="78" t="s">
        <v>2097</v>
      </c>
      <c r="R975" s="75">
        <f t="shared" si="87"/>
        <v>1</v>
      </c>
      <c r="S975" s="263" t="s">
        <v>1991</v>
      </c>
      <c r="T975" s="263"/>
      <c r="U975" s="263"/>
      <c r="V975" s="263"/>
      <c r="W975" s="263"/>
      <c r="X975" s="263"/>
      <c r="Y975" s="575"/>
      <c r="Z975" s="575"/>
      <c r="AA975" s="576">
        <f t="shared" si="85"/>
        <v>0</v>
      </c>
      <c r="AB975" s="722"/>
    </row>
    <row r="976" spans="1:28" ht="15.75" customHeight="1" x14ac:dyDescent="0.35">
      <c r="A976" s="81" t="s">
        <v>3977</v>
      </c>
      <c r="C976" s="83">
        <v>43850</v>
      </c>
      <c r="D976" s="112">
        <v>43872</v>
      </c>
      <c r="E976" s="570"/>
      <c r="F976" s="88" t="s">
        <v>3978</v>
      </c>
      <c r="G976" s="88" t="s">
        <v>154</v>
      </c>
      <c r="H976" s="81" t="s">
        <v>220</v>
      </c>
      <c r="I976" s="98" t="s">
        <v>656</v>
      </c>
      <c r="J976" s="75">
        <f t="shared" si="86"/>
        <v>1</v>
      </c>
      <c r="K976" s="76" t="s">
        <v>211</v>
      </c>
      <c r="L976" s="99" t="s">
        <v>4189</v>
      </c>
      <c r="N976" s="78" t="s">
        <v>18</v>
      </c>
      <c r="Q976" s="78" t="s">
        <v>2097</v>
      </c>
      <c r="R976" s="75">
        <f t="shared" si="87"/>
        <v>1</v>
      </c>
      <c r="S976" s="263" t="s">
        <v>1991</v>
      </c>
      <c r="T976" s="263"/>
      <c r="U976" s="263"/>
      <c r="V976" s="263"/>
      <c r="W976" s="263"/>
      <c r="X976" s="263"/>
      <c r="Y976" s="575"/>
      <c r="Z976" s="575"/>
      <c r="AA976" s="576">
        <f t="shared" si="85"/>
        <v>0</v>
      </c>
      <c r="AB976" s="722"/>
    </row>
    <row r="977" spans="1:28" ht="15.75" customHeight="1" x14ac:dyDescent="0.35">
      <c r="A977" s="81" t="s">
        <v>3979</v>
      </c>
      <c r="C977" s="83">
        <v>43850</v>
      </c>
      <c r="D977" s="112">
        <v>43872</v>
      </c>
      <c r="E977" s="570"/>
      <c r="F977" s="88" t="s">
        <v>3980</v>
      </c>
      <c r="G977" s="88" t="s">
        <v>154</v>
      </c>
      <c r="H977" s="81" t="s">
        <v>220</v>
      </c>
      <c r="I977" s="98" t="s">
        <v>2516</v>
      </c>
      <c r="J977" s="75">
        <f t="shared" si="86"/>
        <v>1</v>
      </c>
      <c r="K977" s="76" t="s">
        <v>211</v>
      </c>
      <c r="N977" s="78" t="s">
        <v>17</v>
      </c>
      <c r="Q977" s="78" t="s">
        <v>2097</v>
      </c>
      <c r="R977" s="75">
        <f t="shared" si="87"/>
        <v>1</v>
      </c>
      <c r="S977" s="263" t="s">
        <v>1991</v>
      </c>
      <c r="T977" s="263"/>
      <c r="U977" s="263"/>
      <c r="V977" s="263"/>
      <c r="W977" s="263"/>
      <c r="X977" s="263"/>
      <c r="Y977" s="575"/>
      <c r="Z977" s="575"/>
      <c r="AA977" s="576">
        <f t="shared" si="85"/>
        <v>0</v>
      </c>
      <c r="AB977" s="722"/>
    </row>
    <row r="978" spans="1:28" ht="15.75" customHeight="1" x14ac:dyDescent="0.35">
      <c r="A978" s="81" t="s">
        <v>3989</v>
      </c>
      <c r="C978" s="83">
        <v>43852</v>
      </c>
      <c r="D978" s="112">
        <v>43873</v>
      </c>
      <c r="E978" s="570"/>
      <c r="F978" s="88" t="s">
        <v>3990</v>
      </c>
      <c r="G978" s="88" t="s">
        <v>156</v>
      </c>
      <c r="H978" s="81" t="s">
        <v>220</v>
      </c>
      <c r="J978" s="75">
        <f t="shared" si="86"/>
        <v>1</v>
      </c>
      <c r="K978" s="76" t="s">
        <v>211</v>
      </c>
      <c r="N978" s="78" t="s">
        <v>19</v>
      </c>
      <c r="Q978" s="78" t="s">
        <v>2097</v>
      </c>
      <c r="R978" s="75">
        <f t="shared" si="87"/>
        <v>1</v>
      </c>
      <c r="S978" s="263" t="s">
        <v>1991</v>
      </c>
      <c r="T978" s="263"/>
      <c r="U978" s="263"/>
      <c r="V978" s="263"/>
      <c r="W978" s="263"/>
      <c r="X978" s="263"/>
      <c r="Y978" s="575"/>
      <c r="Z978" s="575"/>
      <c r="AA978" s="576">
        <f t="shared" si="85"/>
        <v>0</v>
      </c>
      <c r="AB978" s="722"/>
    </row>
    <row r="979" spans="1:28" ht="15.75" customHeight="1" x14ac:dyDescent="0.35">
      <c r="A979" s="81" t="s">
        <v>3993</v>
      </c>
      <c r="C979" s="83">
        <v>43852</v>
      </c>
      <c r="D979" s="112">
        <v>43873</v>
      </c>
      <c r="E979" s="570"/>
      <c r="F979" s="88" t="s">
        <v>3994</v>
      </c>
      <c r="G979" s="88" t="s">
        <v>158</v>
      </c>
      <c r="H979" s="81" t="s">
        <v>220</v>
      </c>
      <c r="I979" s="98" t="s">
        <v>656</v>
      </c>
      <c r="J979" s="75">
        <f t="shared" ref="J979:J994" si="88">IF(OR(K979="Документы готовы",K979="Запрос в ФО",K979="ЭЗ",K979="РЕШ",K979="РЕШ шаблон"),0.1,IF(OR(K979="ЭЗ согласование",K979="РЕШ согласование"),0.3,IF(OR(K979="ЭЗ согласовано",K979="РЕШ согласовано",K979="РЕШ подписано"),0.6,IF(OR(K979="ЭЗ ПР согласование",K979="РЕШ УВ согласование"),0.9,IF(OR(K979="ЭЗ ПР DONE",K979="РЕШ УВ DONE"),1,0)))))</f>
        <v>1</v>
      </c>
      <c r="K979" s="76" t="s">
        <v>211</v>
      </c>
      <c r="N979" s="78" t="s">
        <v>17</v>
      </c>
      <c r="Q979" s="78" t="s">
        <v>2097</v>
      </c>
      <c r="R979" s="75">
        <f t="shared" si="87"/>
        <v>1</v>
      </c>
      <c r="S979" s="263" t="s">
        <v>1991</v>
      </c>
      <c r="T979" s="263"/>
      <c r="U979" s="263"/>
      <c r="V979" s="263"/>
      <c r="W979" s="263"/>
      <c r="X979" s="263"/>
      <c r="Y979" s="575"/>
      <c r="Z979" s="575"/>
      <c r="AA979" s="576">
        <f t="shared" si="85"/>
        <v>0</v>
      </c>
      <c r="AB979" s="722"/>
    </row>
    <row r="980" spans="1:28" ht="15.75" customHeight="1" x14ac:dyDescent="0.35">
      <c r="A980" s="81" t="s">
        <v>3074</v>
      </c>
      <c r="C980" s="83">
        <v>43815</v>
      </c>
      <c r="D980" s="112">
        <v>43872</v>
      </c>
      <c r="E980" s="570"/>
      <c r="F980" s="88" t="s">
        <v>3075</v>
      </c>
      <c r="G980" s="88" t="s">
        <v>160</v>
      </c>
      <c r="H980" s="81" t="s">
        <v>220</v>
      </c>
      <c r="J980" s="75">
        <f t="shared" si="88"/>
        <v>1</v>
      </c>
      <c r="K980" s="76" t="s">
        <v>211</v>
      </c>
      <c r="L980" s="88" t="s">
        <v>4179</v>
      </c>
      <c r="N980" s="78" t="s">
        <v>17</v>
      </c>
      <c r="Q980" s="78" t="s">
        <v>2056</v>
      </c>
      <c r="R980" s="75">
        <f t="shared" ref="R980:R995" si="89">IF(S980="В работе",0.3,IF(S980="Отписано",0.6,IF(S980="На доработку",0.9,IF(S980="Согласовано",1,0))))</f>
        <v>1</v>
      </c>
      <c r="S980" s="263" t="s">
        <v>1991</v>
      </c>
      <c r="T980" s="263"/>
      <c r="U980" s="263"/>
      <c r="V980" s="263"/>
      <c r="W980" s="263"/>
      <c r="X980" s="263"/>
      <c r="Y980" s="575"/>
      <c r="Z980" s="575"/>
      <c r="AA980" s="576">
        <f t="shared" si="85"/>
        <v>0</v>
      </c>
      <c r="AB980" s="722"/>
    </row>
    <row r="981" spans="1:28" ht="15.75" customHeight="1" x14ac:dyDescent="0.35">
      <c r="A981" s="81" t="s">
        <v>3999</v>
      </c>
      <c r="C981" s="83">
        <v>43822</v>
      </c>
      <c r="D981" s="112">
        <v>43872</v>
      </c>
      <c r="E981" s="570"/>
      <c r="F981" s="88" t="s">
        <v>3341</v>
      </c>
      <c r="G981" s="88" t="s">
        <v>162</v>
      </c>
      <c r="H981" s="81" t="s">
        <v>220</v>
      </c>
      <c r="J981" s="75">
        <f t="shared" si="88"/>
        <v>1</v>
      </c>
      <c r="K981" s="76" t="s">
        <v>211</v>
      </c>
      <c r="L981" s="99" t="s">
        <v>4180</v>
      </c>
      <c r="N981" s="78" t="s">
        <v>18</v>
      </c>
      <c r="Q981" s="78" t="s">
        <v>2056</v>
      </c>
      <c r="R981" s="75">
        <f t="shared" si="89"/>
        <v>1</v>
      </c>
      <c r="S981" s="263" t="s">
        <v>1991</v>
      </c>
      <c r="T981" s="263"/>
      <c r="U981" s="263"/>
      <c r="V981" s="263"/>
      <c r="W981" s="263"/>
      <c r="X981" s="263"/>
      <c r="Y981" s="575"/>
      <c r="Z981" s="575"/>
      <c r="AA981" s="576">
        <f t="shared" si="85"/>
        <v>0</v>
      </c>
      <c r="AB981" s="722"/>
    </row>
    <row r="982" spans="1:28" ht="15.75" customHeight="1" x14ac:dyDescent="0.35">
      <c r="A982" s="81" t="s">
        <v>3612</v>
      </c>
      <c r="C982" s="83">
        <v>43826</v>
      </c>
      <c r="D982" s="112">
        <v>43872</v>
      </c>
      <c r="E982" s="570"/>
      <c r="F982" s="88" t="s">
        <v>3613</v>
      </c>
      <c r="G982" s="88" t="s">
        <v>162</v>
      </c>
      <c r="H982" s="81" t="s">
        <v>220</v>
      </c>
      <c r="I982" s="98" t="s">
        <v>722</v>
      </c>
      <c r="J982" s="75">
        <f t="shared" si="88"/>
        <v>1</v>
      </c>
      <c r="K982" s="76" t="s">
        <v>211</v>
      </c>
      <c r="L982" s="99"/>
      <c r="N982" s="78" t="s">
        <v>17</v>
      </c>
      <c r="Q982" s="78" t="s">
        <v>2056</v>
      </c>
      <c r="R982" s="75">
        <f t="shared" si="89"/>
        <v>1</v>
      </c>
      <c r="S982" s="263" t="s">
        <v>1991</v>
      </c>
      <c r="T982" s="263"/>
      <c r="U982" s="263"/>
      <c r="V982" s="263"/>
      <c r="W982" s="263"/>
      <c r="X982" s="263"/>
      <c r="Y982" s="575"/>
      <c r="Z982" s="575"/>
      <c r="AA982" s="576">
        <f t="shared" si="85"/>
        <v>0</v>
      </c>
      <c r="AB982" s="722"/>
    </row>
    <row r="983" spans="1:28" ht="15.75" customHeight="1" x14ac:dyDescent="0.35">
      <c r="A983" s="81" t="s">
        <v>3616</v>
      </c>
      <c r="C983" s="83">
        <v>43826</v>
      </c>
      <c r="D983" s="112">
        <v>43872</v>
      </c>
      <c r="E983" s="570"/>
      <c r="F983" s="88" t="s">
        <v>3617</v>
      </c>
      <c r="G983" s="88" t="s">
        <v>176</v>
      </c>
      <c r="H983" s="81" t="s">
        <v>220</v>
      </c>
      <c r="I983" s="98" t="s">
        <v>722</v>
      </c>
      <c r="J983" s="75">
        <f t="shared" si="88"/>
        <v>1</v>
      </c>
      <c r="K983" s="76" t="s">
        <v>211</v>
      </c>
      <c r="N983" s="78" t="s">
        <v>18</v>
      </c>
      <c r="Q983" s="78" t="s">
        <v>2056</v>
      </c>
      <c r="R983" s="75">
        <f t="shared" si="89"/>
        <v>1</v>
      </c>
      <c r="S983" s="263" t="s">
        <v>1991</v>
      </c>
      <c r="T983" s="263"/>
      <c r="U983" s="263"/>
      <c r="V983" s="263"/>
      <c r="W983" s="263"/>
      <c r="X983" s="263"/>
      <c r="Y983" s="575"/>
      <c r="Z983" s="575"/>
      <c r="AA983" s="576">
        <f t="shared" si="85"/>
        <v>0</v>
      </c>
      <c r="AB983" s="722"/>
    </row>
    <row r="984" spans="1:28" ht="15.75" customHeight="1" x14ac:dyDescent="0.35">
      <c r="A984" s="81" t="s">
        <v>3618</v>
      </c>
      <c r="C984" s="83">
        <v>43826</v>
      </c>
      <c r="D984" s="112">
        <v>43871</v>
      </c>
      <c r="E984" s="570"/>
      <c r="F984" s="88" t="s">
        <v>3619</v>
      </c>
      <c r="G984" s="88" t="s">
        <v>152</v>
      </c>
      <c r="H984" s="98" t="s">
        <v>220</v>
      </c>
      <c r="I984" s="98" t="s">
        <v>722</v>
      </c>
      <c r="J984" s="75">
        <f t="shared" si="88"/>
        <v>1</v>
      </c>
      <c r="K984" s="76" t="s">
        <v>211</v>
      </c>
      <c r="N984" s="78" t="s">
        <v>17</v>
      </c>
      <c r="Q984" s="78" t="s">
        <v>2056</v>
      </c>
      <c r="R984" s="75">
        <f t="shared" si="89"/>
        <v>1</v>
      </c>
      <c r="S984" s="263" t="s">
        <v>1991</v>
      </c>
      <c r="T984" s="263"/>
      <c r="U984" s="263"/>
      <c r="V984" s="263"/>
      <c r="W984" s="263"/>
      <c r="X984" s="263"/>
      <c r="Y984" s="575"/>
      <c r="Z984" s="575"/>
      <c r="AA984" s="576">
        <f t="shared" si="85"/>
        <v>0</v>
      </c>
      <c r="AB984" s="722"/>
    </row>
    <row r="985" spans="1:28" ht="15.75" customHeight="1" x14ac:dyDescent="0.35">
      <c r="A985" s="81" t="s">
        <v>3620</v>
      </c>
      <c r="C985" s="83">
        <v>43826</v>
      </c>
      <c r="D985" s="112">
        <v>43871</v>
      </c>
      <c r="E985" s="570"/>
      <c r="F985" s="88" t="s">
        <v>3621</v>
      </c>
      <c r="G985" s="88" t="s">
        <v>156</v>
      </c>
      <c r="H985" s="98" t="s">
        <v>220</v>
      </c>
      <c r="I985" s="98" t="s">
        <v>4140</v>
      </c>
      <c r="J985" s="75">
        <f t="shared" si="88"/>
        <v>1</v>
      </c>
      <c r="K985" s="76" t="s">
        <v>211</v>
      </c>
      <c r="L985" s="99" t="s">
        <v>4141</v>
      </c>
      <c r="N985" s="78" t="s">
        <v>17</v>
      </c>
      <c r="Q985" s="78" t="s">
        <v>2056</v>
      </c>
      <c r="R985" s="75">
        <f t="shared" si="89"/>
        <v>1</v>
      </c>
      <c r="S985" s="263" t="s">
        <v>1991</v>
      </c>
      <c r="T985" s="263"/>
      <c r="U985" s="263"/>
      <c r="V985" s="263"/>
      <c r="W985" s="263"/>
      <c r="X985" s="263"/>
      <c r="Y985" s="575"/>
      <c r="Z985" s="575"/>
      <c r="AA985" s="576">
        <f t="shared" si="85"/>
        <v>0</v>
      </c>
      <c r="AB985" s="722"/>
    </row>
    <row r="986" spans="1:28" ht="15.75" customHeight="1" x14ac:dyDescent="0.35">
      <c r="A986" s="81" t="s">
        <v>3624</v>
      </c>
      <c r="C986" s="83">
        <v>43830</v>
      </c>
      <c r="D986" s="112">
        <v>43873</v>
      </c>
      <c r="E986" s="570"/>
      <c r="F986" s="88" t="s">
        <v>3625</v>
      </c>
      <c r="G986" s="88" t="s">
        <v>156</v>
      </c>
      <c r="H986" s="81" t="s">
        <v>220</v>
      </c>
      <c r="I986" s="98" t="s">
        <v>3260</v>
      </c>
      <c r="J986" s="75">
        <f t="shared" si="88"/>
        <v>1</v>
      </c>
      <c r="K986" s="76" t="s">
        <v>211</v>
      </c>
      <c r="N986" s="78" t="s">
        <v>19</v>
      </c>
      <c r="Q986" s="78" t="s">
        <v>2056</v>
      </c>
      <c r="R986" s="75">
        <f t="shared" si="89"/>
        <v>1</v>
      </c>
      <c r="S986" s="263" t="s">
        <v>1991</v>
      </c>
      <c r="T986" s="263"/>
      <c r="U986" s="263"/>
      <c r="V986" s="263"/>
      <c r="W986" s="263"/>
      <c r="X986" s="263"/>
      <c r="Y986" s="575"/>
      <c r="Z986" s="575"/>
      <c r="AA986" s="576">
        <f t="shared" si="85"/>
        <v>0</v>
      </c>
      <c r="AB986" s="722"/>
    </row>
    <row r="987" spans="1:28" ht="15.75" customHeight="1" x14ac:dyDescent="0.35">
      <c r="A987" s="81" t="s">
        <v>3844</v>
      </c>
      <c r="C987" s="83">
        <v>43845</v>
      </c>
      <c r="D987" s="83">
        <v>43867</v>
      </c>
      <c r="E987" s="570"/>
      <c r="F987" s="88" t="s">
        <v>3845</v>
      </c>
      <c r="G987" s="88" t="s">
        <v>152</v>
      </c>
      <c r="H987" s="81" t="s">
        <v>220</v>
      </c>
      <c r="J987" s="75">
        <f t="shared" si="88"/>
        <v>1</v>
      </c>
      <c r="K987" s="76" t="s">
        <v>221</v>
      </c>
      <c r="Q987" s="78" t="s">
        <v>2056</v>
      </c>
      <c r="R987" s="75">
        <f t="shared" si="89"/>
        <v>1</v>
      </c>
      <c r="S987" s="263" t="s">
        <v>1991</v>
      </c>
      <c r="T987" s="263"/>
      <c r="U987" s="263"/>
      <c r="V987" s="263"/>
      <c r="W987" s="263"/>
      <c r="X987" s="263"/>
      <c r="Y987" s="575"/>
      <c r="Z987" s="575"/>
      <c r="AA987" s="576">
        <f t="shared" si="85"/>
        <v>0</v>
      </c>
      <c r="AB987" s="722"/>
    </row>
    <row r="988" spans="1:28" ht="15.75" customHeight="1" x14ac:dyDescent="0.35">
      <c r="A988" s="81" t="s">
        <v>3850</v>
      </c>
      <c r="C988" s="83">
        <v>43845</v>
      </c>
      <c r="D988" s="83">
        <v>43867</v>
      </c>
      <c r="E988" s="570"/>
      <c r="F988" s="88" t="s">
        <v>3851</v>
      </c>
      <c r="G988" s="88" t="s">
        <v>162</v>
      </c>
      <c r="H988" s="81" t="s">
        <v>275</v>
      </c>
      <c r="J988" s="75">
        <f t="shared" si="88"/>
        <v>1</v>
      </c>
      <c r="K988" s="76" t="s">
        <v>221</v>
      </c>
      <c r="Q988" s="78" t="s">
        <v>2056</v>
      </c>
      <c r="R988" s="75">
        <f t="shared" si="89"/>
        <v>1</v>
      </c>
      <c r="S988" s="263" t="s">
        <v>1991</v>
      </c>
      <c r="T988" s="263"/>
      <c r="U988" s="263"/>
      <c r="V988" s="263"/>
      <c r="W988" s="263"/>
      <c r="X988" s="263"/>
      <c r="Y988" s="575"/>
      <c r="Z988" s="575"/>
      <c r="AA988" s="576">
        <f t="shared" si="85"/>
        <v>0</v>
      </c>
      <c r="AB988" s="722"/>
    </row>
    <row r="989" spans="1:28" ht="15.75" customHeight="1" x14ac:dyDescent="0.35">
      <c r="A989" s="81" t="s">
        <v>3852</v>
      </c>
      <c r="C989" s="83">
        <v>43847</v>
      </c>
      <c r="D989" s="83">
        <v>43868</v>
      </c>
      <c r="E989" s="570"/>
      <c r="F989" s="88" t="s">
        <v>3853</v>
      </c>
      <c r="G989" s="88" t="s">
        <v>162</v>
      </c>
      <c r="H989" s="81" t="s">
        <v>220</v>
      </c>
      <c r="J989" s="75">
        <f t="shared" si="88"/>
        <v>1</v>
      </c>
      <c r="K989" s="76" t="s">
        <v>221</v>
      </c>
      <c r="Q989" s="78" t="s">
        <v>2056</v>
      </c>
      <c r="R989" s="75">
        <f t="shared" si="89"/>
        <v>1</v>
      </c>
      <c r="S989" s="263" t="s">
        <v>1991</v>
      </c>
      <c r="T989" s="263"/>
      <c r="U989" s="263"/>
      <c r="V989" s="263"/>
      <c r="W989" s="263"/>
      <c r="X989" s="263"/>
      <c r="Y989" s="575"/>
      <c r="Z989" s="575"/>
      <c r="AA989" s="576">
        <f t="shared" si="85"/>
        <v>0</v>
      </c>
      <c r="AB989" s="722"/>
    </row>
    <row r="990" spans="1:28" ht="15.75" customHeight="1" x14ac:dyDescent="0.35">
      <c r="A990" s="81" t="s">
        <v>3858</v>
      </c>
      <c r="C990" s="83">
        <v>43847</v>
      </c>
      <c r="D990" s="83">
        <v>43868</v>
      </c>
      <c r="E990" s="570"/>
      <c r="F990" s="88" t="s">
        <v>3859</v>
      </c>
      <c r="G990" s="88" t="s">
        <v>168</v>
      </c>
      <c r="H990" s="81" t="s">
        <v>220</v>
      </c>
      <c r="J990" s="75">
        <f t="shared" si="88"/>
        <v>1</v>
      </c>
      <c r="K990" s="76" t="s">
        <v>221</v>
      </c>
      <c r="Q990" s="78" t="s">
        <v>2056</v>
      </c>
      <c r="R990" s="75">
        <f t="shared" si="89"/>
        <v>1</v>
      </c>
      <c r="S990" s="263" t="s">
        <v>1991</v>
      </c>
      <c r="T990" s="263"/>
      <c r="U990" s="263"/>
      <c r="V990" s="263"/>
      <c r="W990" s="263"/>
      <c r="X990" s="263"/>
      <c r="Y990" s="575"/>
      <c r="Z990" s="575"/>
      <c r="AA990" s="576">
        <f t="shared" si="85"/>
        <v>0</v>
      </c>
      <c r="AB990" s="722"/>
    </row>
    <row r="991" spans="1:28" ht="15.75" customHeight="1" x14ac:dyDescent="0.35">
      <c r="A991" s="81" t="s">
        <v>4002</v>
      </c>
      <c r="C991" s="83">
        <v>43847</v>
      </c>
      <c r="D991" s="112">
        <v>43871</v>
      </c>
      <c r="E991" s="570"/>
      <c r="F991" s="88" t="s">
        <v>4003</v>
      </c>
      <c r="G991" s="88" t="s">
        <v>162</v>
      </c>
      <c r="H991" s="81" t="s">
        <v>275</v>
      </c>
      <c r="I991" s="98" t="s">
        <v>656</v>
      </c>
      <c r="J991" s="75">
        <f t="shared" si="88"/>
        <v>1</v>
      </c>
      <c r="K991" s="76" t="s">
        <v>211</v>
      </c>
      <c r="L991" s="99" t="s">
        <v>4183</v>
      </c>
      <c r="N991" s="78" t="s">
        <v>17</v>
      </c>
      <c r="Q991" s="78" t="s">
        <v>2056</v>
      </c>
      <c r="R991" s="75">
        <f t="shared" si="89"/>
        <v>1</v>
      </c>
      <c r="S991" s="263" t="s">
        <v>1991</v>
      </c>
      <c r="T991" s="263"/>
      <c r="U991" s="263"/>
      <c r="V991" s="263"/>
      <c r="W991" s="263"/>
      <c r="X991" s="263"/>
      <c r="Y991" s="575"/>
      <c r="Z991" s="575"/>
      <c r="AA991" s="576">
        <f t="shared" si="85"/>
        <v>0</v>
      </c>
      <c r="AB991" s="722"/>
    </row>
    <row r="992" spans="1:28" ht="15.75" customHeight="1" x14ac:dyDescent="0.35">
      <c r="A992" s="81" t="s">
        <v>4010</v>
      </c>
      <c r="C992" s="83">
        <v>43850</v>
      </c>
      <c r="D992" s="112">
        <v>43872</v>
      </c>
      <c r="E992" s="570"/>
      <c r="F992" s="88" t="s">
        <v>4011</v>
      </c>
      <c r="G992" s="88" t="s">
        <v>160</v>
      </c>
      <c r="H992" s="81" t="s">
        <v>220</v>
      </c>
      <c r="I992" s="98" t="s">
        <v>656</v>
      </c>
      <c r="J992" s="75">
        <f t="shared" si="88"/>
        <v>1</v>
      </c>
      <c r="K992" s="76" t="s">
        <v>211</v>
      </c>
      <c r="N992" s="78" t="s">
        <v>17</v>
      </c>
      <c r="Q992" s="78" t="s">
        <v>2056</v>
      </c>
      <c r="R992" s="75">
        <f t="shared" si="89"/>
        <v>1</v>
      </c>
      <c r="S992" s="263" t="s">
        <v>1991</v>
      </c>
      <c r="T992" s="263"/>
      <c r="U992" s="263"/>
      <c r="V992" s="263"/>
      <c r="W992" s="263"/>
      <c r="X992" s="263"/>
      <c r="Y992" s="575"/>
      <c r="Z992" s="575"/>
      <c r="AA992" s="576">
        <f t="shared" si="85"/>
        <v>0</v>
      </c>
      <c r="AB992" s="722"/>
    </row>
    <row r="993" spans="1:28" ht="15.75" customHeight="1" x14ac:dyDescent="0.35">
      <c r="A993" s="81" t="s">
        <v>4016</v>
      </c>
      <c r="C993" s="83">
        <v>43851</v>
      </c>
      <c r="D993" s="112">
        <v>43873</v>
      </c>
      <c r="E993" s="570"/>
      <c r="F993" s="88" t="s">
        <v>4017</v>
      </c>
      <c r="G993" s="88" t="s">
        <v>154</v>
      </c>
      <c r="H993" s="81" t="s">
        <v>220</v>
      </c>
      <c r="I993" s="98" t="s">
        <v>4192</v>
      </c>
      <c r="J993" s="75">
        <f t="shared" si="88"/>
        <v>1</v>
      </c>
      <c r="K993" s="76" t="s">
        <v>211</v>
      </c>
      <c r="N993" s="78" t="s">
        <v>18</v>
      </c>
      <c r="Q993" s="78" t="s">
        <v>2056</v>
      </c>
      <c r="R993" s="75">
        <f t="shared" si="89"/>
        <v>1</v>
      </c>
      <c r="S993" s="263" t="s">
        <v>1991</v>
      </c>
      <c r="T993" s="263"/>
      <c r="U993" s="263"/>
      <c r="V993" s="263"/>
      <c r="W993" s="263"/>
      <c r="X993" s="263"/>
      <c r="Y993" s="575"/>
      <c r="Z993" s="575"/>
      <c r="AA993" s="576">
        <f t="shared" si="85"/>
        <v>0</v>
      </c>
      <c r="AB993" s="722"/>
    </row>
    <row r="994" spans="1:28" ht="15.75" customHeight="1" x14ac:dyDescent="0.35">
      <c r="A994" s="81" t="s">
        <v>4022</v>
      </c>
      <c r="C994" s="83">
        <v>43851</v>
      </c>
      <c r="D994" s="112">
        <v>43873</v>
      </c>
      <c r="E994" s="570"/>
      <c r="F994" s="88" t="s">
        <v>4023</v>
      </c>
      <c r="G994" s="88" t="s">
        <v>154</v>
      </c>
      <c r="H994" s="81" t="s">
        <v>220</v>
      </c>
      <c r="I994" s="98" t="s">
        <v>629</v>
      </c>
      <c r="J994" s="75">
        <f t="shared" si="88"/>
        <v>1</v>
      </c>
      <c r="K994" s="76" t="s">
        <v>211</v>
      </c>
      <c r="N994" s="78" t="s">
        <v>19</v>
      </c>
      <c r="Q994" s="78" t="s">
        <v>2056</v>
      </c>
      <c r="R994" s="75">
        <f t="shared" si="89"/>
        <v>1</v>
      </c>
      <c r="S994" s="263" t="s">
        <v>1991</v>
      </c>
      <c r="T994" s="263"/>
      <c r="U994" s="263"/>
      <c r="V994" s="263"/>
      <c r="W994" s="263"/>
      <c r="X994" s="263"/>
      <c r="Y994" s="575"/>
      <c r="Z994" s="575"/>
      <c r="AA994" s="576">
        <f t="shared" si="85"/>
        <v>0</v>
      </c>
      <c r="AB994" s="722"/>
    </row>
    <row r="995" spans="1:28" ht="15.75" customHeight="1" x14ac:dyDescent="0.35">
      <c r="A995" s="81" t="s">
        <v>3425</v>
      </c>
      <c r="C995" s="83">
        <v>43824</v>
      </c>
      <c r="D995" s="112">
        <v>43868</v>
      </c>
      <c r="E995" s="570"/>
      <c r="F995" s="88" t="s">
        <v>3426</v>
      </c>
      <c r="G995" s="88" t="s">
        <v>1337</v>
      </c>
      <c r="H995" s="81" t="s">
        <v>220</v>
      </c>
      <c r="I995" s="98" t="s">
        <v>1004</v>
      </c>
      <c r="J995" s="75">
        <f t="shared" ref="J995:J1019" si="90">IF(OR(K995="Документы готовы",K995="Запрос в ФО",K995="ЭЗ",K995="РЕШ",K995="РЕШ шаблон"),0.1,IF(OR(K995="ЭЗ согласование",K995="РЕШ согласование"),0.3,IF(OR(K995="ЭЗ согласовано",K995="РЕШ согласовано",K995="РЕШ подписано"),0.6,IF(OR(K995="ЭЗ ПР согласование",K995="РЕШ УВ согласование"),0.9,IF(OR(K995="ЭЗ ПР DONE",K995="РЕШ УВ DONE"),1,0)))))</f>
        <v>1</v>
      </c>
      <c r="K995" s="76" t="s">
        <v>211</v>
      </c>
      <c r="N995" s="78" t="s">
        <v>19</v>
      </c>
      <c r="Q995" s="78" t="s">
        <v>2130</v>
      </c>
      <c r="R995" s="75">
        <f t="shared" si="89"/>
        <v>1</v>
      </c>
      <c r="S995" s="263" t="s">
        <v>1991</v>
      </c>
      <c r="T995" s="263"/>
      <c r="U995" s="263"/>
      <c r="V995" s="263"/>
      <c r="W995" s="263"/>
      <c r="X995" s="263"/>
      <c r="Y995" s="575"/>
      <c r="Z995" s="575"/>
      <c r="AA995" s="576">
        <f t="shared" si="85"/>
        <v>0</v>
      </c>
      <c r="AB995" s="722"/>
    </row>
    <row r="996" spans="1:28" ht="15.75" customHeight="1" x14ac:dyDescent="0.35">
      <c r="A996" s="81" t="s">
        <v>3638</v>
      </c>
      <c r="C996" s="83">
        <v>43825</v>
      </c>
      <c r="D996" s="112">
        <v>43871</v>
      </c>
      <c r="E996" s="570"/>
      <c r="F996" s="88" t="s">
        <v>3639</v>
      </c>
      <c r="G996" s="88" t="s">
        <v>195</v>
      </c>
      <c r="H996" s="98" t="s">
        <v>220</v>
      </c>
      <c r="I996" s="98" t="s">
        <v>649</v>
      </c>
      <c r="J996" s="75">
        <f t="shared" si="90"/>
        <v>1</v>
      </c>
      <c r="K996" s="76" t="s">
        <v>211</v>
      </c>
      <c r="N996" s="78" t="s">
        <v>18</v>
      </c>
      <c r="Q996" s="78" t="s">
        <v>2130</v>
      </c>
      <c r="R996" s="75">
        <f t="shared" ref="R996:R1019" si="91">IF(S996="В работе",0.3,IF(S996="Отписано",0.6,IF(S996="На доработку",0.9,IF(S996="Согласовано",1,0))))</f>
        <v>1</v>
      </c>
      <c r="S996" s="263" t="s">
        <v>1991</v>
      </c>
      <c r="T996" s="263"/>
      <c r="U996" s="263"/>
      <c r="V996" s="263"/>
      <c r="W996" s="263"/>
      <c r="X996" s="263"/>
      <c r="Y996" s="575"/>
      <c r="Z996" s="575"/>
      <c r="AA996" s="576">
        <f t="shared" si="85"/>
        <v>0</v>
      </c>
      <c r="AB996" s="722"/>
    </row>
    <row r="997" spans="1:28" ht="15.75" customHeight="1" x14ac:dyDescent="0.35">
      <c r="A997" s="81" t="s">
        <v>3640</v>
      </c>
      <c r="C997" s="83">
        <v>43825</v>
      </c>
      <c r="D997" s="112">
        <v>43871</v>
      </c>
      <c r="E997" s="570"/>
      <c r="F997" s="88" t="s">
        <v>3641</v>
      </c>
      <c r="G997" s="88" t="s">
        <v>1051</v>
      </c>
      <c r="H997" s="98" t="s">
        <v>220</v>
      </c>
      <c r="I997" s="98" t="s">
        <v>3260</v>
      </c>
      <c r="J997" s="75">
        <f t="shared" si="90"/>
        <v>1</v>
      </c>
      <c r="K997" s="76" t="s">
        <v>211</v>
      </c>
      <c r="L997" s="99"/>
      <c r="N997" s="78" t="s">
        <v>19</v>
      </c>
      <c r="Q997" s="78" t="s">
        <v>2130</v>
      </c>
      <c r="R997" s="75">
        <f t="shared" si="91"/>
        <v>1</v>
      </c>
      <c r="S997" s="263" t="s">
        <v>1991</v>
      </c>
      <c r="T997" s="263"/>
      <c r="U997" s="263"/>
      <c r="V997" s="263"/>
      <c r="W997" s="263"/>
      <c r="X997" s="263"/>
      <c r="Y997" s="575"/>
      <c r="Z997" s="575"/>
      <c r="AA997" s="576">
        <f t="shared" si="85"/>
        <v>0</v>
      </c>
      <c r="AB997" s="722"/>
    </row>
    <row r="998" spans="1:28" ht="15.75" customHeight="1" x14ac:dyDescent="0.35">
      <c r="A998" s="81" t="s">
        <v>3642</v>
      </c>
      <c r="C998" s="83">
        <v>43829</v>
      </c>
      <c r="D998" s="112">
        <v>43872</v>
      </c>
      <c r="E998" s="570"/>
      <c r="F998" s="88" t="s">
        <v>3643</v>
      </c>
      <c r="G998" s="88" t="s">
        <v>417</v>
      </c>
      <c r="H998" s="81" t="s">
        <v>220</v>
      </c>
      <c r="I998" s="98" t="s">
        <v>649</v>
      </c>
      <c r="J998" s="75">
        <f t="shared" si="90"/>
        <v>1</v>
      </c>
      <c r="K998" s="76" t="s">
        <v>211</v>
      </c>
      <c r="N998" s="78" t="s">
        <v>18</v>
      </c>
      <c r="Q998" s="78" t="s">
        <v>2130</v>
      </c>
      <c r="R998" s="75">
        <f t="shared" si="91"/>
        <v>1</v>
      </c>
      <c r="S998" s="263" t="s">
        <v>1991</v>
      </c>
      <c r="T998" s="263"/>
      <c r="U998" s="263"/>
      <c r="V998" s="263"/>
      <c r="W998" s="263"/>
      <c r="X998" s="263"/>
      <c r="Y998" s="575"/>
      <c r="Z998" s="575"/>
      <c r="AA998" s="576">
        <f t="shared" si="85"/>
        <v>0</v>
      </c>
      <c r="AB998" s="722"/>
    </row>
    <row r="999" spans="1:28" ht="15.75" customHeight="1" x14ac:dyDescent="0.35">
      <c r="A999" s="81" t="s">
        <v>3644</v>
      </c>
      <c r="C999" s="83">
        <v>43829</v>
      </c>
      <c r="D999" s="112">
        <v>43872</v>
      </c>
      <c r="E999" s="570"/>
      <c r="F999" s="88" t="s">
        <v>3645</v>
      </c>
      <c r="G999" s="88" t="s">
        <v>154</v>
      </c>
      <c r="H999" s="81" t="s">
        <v>220</v>
      </c>
      <c r="I999" s="98" t="s">
        <v>664</v>
      </c>
      <c r="J999" s="75">
        <f t="shared" si="90"/>
        <v>1</v>
      </c>
      <c r="K999" s="76" t="s">
        <v>211</v>
      </c>
      <c r="L999" s="99"/>
      <c r="N999" s="78" t="s">
        <v>17</v>
      </c>
      <c r="Q999" s="78" t="s">
        <v>2130</v>
      </c>
      <c r="R999" s="75">
        <f t="shared" si="91"/>
        <v>1</v>
      </c>
      <c r="S999" s="263" t="s">
        <v>1991</v>
      </c>
      <c r="T999" s="263"/>
      <c r="U999" s="263"/>
      <c r="V999" s="263"/>
      <c r="W999" s="263"/>
      <c r="X999" s="263"/>
      <c r="Y999" s="575"/>
      <c r="Z999" s="575"/>
      <c r="AA999" s="576">
        <f t="shared" si="85"/>
        <v>0</v>
      </c>
      <c r="AB999" s="722"/>
    </row>
    <row r="1000" spans="1:28" ht="15.75" customHeight="1" x14ac:dyDescent="0.35">
      <c r="A1000" s="81" t="s">
        <v>3646</v>
      </c>
      <c r="C1000" s="83">
        <v>43829</v>
      </c>
      <c r="D1000" s="112">
        <v>43872</v>
      </c>
      <c r="E1000" s="570"/>
      <c r="F1000" s="88" t="s">
        <v>3647</v>
      </c>
      <c r="G1000" s="88" t="s">
        <v>160</v>
      </c>
      <c r="H1000" s="81" t="s">
        <v>220</v>
      </c>
      <c r="I1000" s="98" t="s">
        <v>649</v>
      </c>
      <c r="J1000" s="75">
        <f t="shared" si="90"/>
        <v>1</v>
      </c>
      <c r="K1000" s="76" t="s">
        <v>211</v>
      </c>
      <c r="N1000" s="78" t="s">
        <v>17</v>
      </c>
      <c r="Q1000" s="78" t="s">
        <v>2130</v>
      </c>
      <c r="R1000" s="75">
        <f t="shared" si="91"/>
        <v>1</v>
      </c>
      <c r="S1000" s="263" t="s">
        <v>1991</v>
      </c>
      <c r="T1000" s="263"/>
      <c r="U1000" s="263"/>
      <c r="V1000" s="263"/>
      <c r="W1000" s="263"/>
      <c r="X1000" s="263"/>
      <c r="Y1000" s="575"/>
      <c r="Z1000" s="575"/>
      <c r="AA1000" s="576">
        <f t="shared" si="85"/>
        <v>0</v>
      </c>
      <c r="AB1000" s="722"/>
    </row>
    <row r="1001" spans="1:28" ht="15.75" customHeight="1" x14ac:dyDescent="0.35">
      <c r="A1001" s="98" t="s">
        <v>3652</v>
      </c>
      <c r="C1001" s="83">
        <v>43830</v>
      </c>
      <c r="D1001" s="112">
        <v>43873</v>
      </c>
      <c r="E1001" s="570"/>
      <c r="F1001" s="88" t="s">
        <v>3653</v>
      </c>
      <c r="G1001" s="88" t="s">
        <v>154</v>
      </c>
      <c r="H1001" s="81" t="s">
        <v>220</v>
      </c>
      <c r="I1001" s="98" t="s">
        <v>649</v>
      </c>
      <c r="J1001" s="75">
        <f t="shared" si="90"/>
        <v>1</v>
      </c>
      <c r="K1001" s="76" t="s">
        <v>211</v>
      </c>
      <c r="N1001" s="78" t="s">
        <v>18</v>
      </c>
      <c r="Q1001" s="78" t="s">
        <v>2130</v>
      </c>
      <c r="R1001" s="75">
        <f t="shared" si="91"/>
        <v>1</v>
      </c>
      <c r="S1001" s="263" t="s">
        <v>1991</v>
      </c>
      <c r="T1001" s="263"/>
      <c r="U1001" s="263"/>
      <c r="V1001" s="263"/>
      <c r="W1001" s="263"/>
      <c r="X1001" s="263"/>
      <c r="Y1001" s="575"/>
      <c r="Z1001" s="575"/>
      <c r="AA1001" s="576">
        <f t="shared" si="85"/>
        <v>0</v>
      </c>
      <c r="AB1001" s="722"/>
    </row>
    <row r="1002" spans="1:28" ht="15.75" customHeight="1" x14ac:dyDescent="0.35">
      <c r="A1002" s="81" t="s">
        <v>3654</v>
      </c>
      <c r="C1002" s="83">
        <v>43830</v>
      </c>
      <c r="D1002" s="112">
        <v>43873</v>
      </c>
      <c r="E1002" s="570"/>
      <c r="F1002" s="88" t="s">
        <v>3655</v>
      </c>
      <c r="G1002" s="88" t="s">
        <v>152</v>
      </c>
      <c r="H1002" s="81" t="s">
        <v>220</v>
      </c>
      <c r="I1002" s="98" t="s">
        <v>648</v>
      </c>
      <c r="J1002" s="75">
        <f t="shared" si="90"/>
        <v>1</v>
      </c>
      <c r="K1002" s="76" t="s">
        <v>211</v>
      </c>
      <c r="N1002" s="78" t="s">
        <v>17</v>
      </c>
      <c r="Q1002" s="78" t="s">
        <v>2130</v>
      </c>
      <c r="R1002" s="75">
        <f t="shared" si="91"/>
        <v>1</v>
      </c>
      <c r="S1002" s="263" t="s">
        <v>1991</v>
      </c>
      <c r="T1002" s="263"/>
      <c r="U1002" s="263"/>
      <c r="V1002" s="263"/>
      <c r="W1002" s="263"/>
      <c r="X1002" s="263"/>
      <c r="Y1002" s="575"/>
      <c r="Z1002" s="575"/>
      <c r="AA1002" s="576">
        <f t="shared" si="85"/>
        <v>0</v>
      </c>
      <c r="AB1002" s="722"/>
    </row>
    <row r="1003" spans="1:28" ht="15.75" customHeight="1" x14ac:dyDescent="0.35">
      <c r="A1003" s="81" t="s">
        <v>3783</v>
      </c>
      <c r="C1003" s="83">
        <v>43846</v>
      </c>
      <c r="D1003" s="112">
        <v>43868</v>
      </c>
      <c r="E1003" s="570"/>
      <c r="F1003" s="88" t="s">
        <v>3784</v>
      </c>
      <c r="G1003" s="88" t="s">
        <v>158</v>
      </c>
      <c r="H1003" s="81" t="s">
        <v>220</v>
      </c>
      <c r="I1003" s="98" t="s">
        <v>981</v>
      </c>
      <c r="J1003" s="75">
        <f t="shared" si="90"/>
        <v>1</v>
      </c>
      <c r="K1003" s="76" t="s">
        <v>211</v>
      </c>
      <c r="N1003" s="78" t="s">
        <v>17</v>
      </c>
      <c r="Q1003" s="78" t="s">
        <v>2130</v>
      </c>
      <c r="R1003" s="75">
        <f t="shared" si="91"/>
        <v>1</v>
      </c>
      <c r="S1003" s="263" t="s">
        <v>1991</v>
      </c>
      <c r="T1003" s="263"/>
      <c r="U1003" s="263"/>
      <c r="V1003" s="263"/>
      <c r="W1003" s="263"/>
      <c r="X1003" s="263"/>
      <c r="Y1003" s="575"/>
      <c r="Z1003" s="575"/>
      <c r="AA1003" s="576">
        <f t="shared" si="85"/>
        <v>0</v>
      </c>
      <c r="AB1003" s="722"/>
    </row>
    <row r="1004" spans="1:28" ht="15.75" customHeight="1" x14ac:dyDescent="0.35">
      <c r="A1004" s="81" t="s">
        <v>4032</v>
      </c>
      <c r="C1004" s="83">
        <v>43850</v>
      </c>
      <c r="D1004" s="112">
        <v>43871</v>
      </c>
      <c r="E1004" s="570"/>
      <c r="F1004" s="88" t="s">
        <v>4033</v>
      </c>
      <c r="G1004" s="88" t="s">
        <v>170</v>
      </c>
      <c r="H1004" s="98" t="s">
        <v>220</v>
      </c>
      <c r="I1004" s="98" t="s">
        <v>2215</v>
      </c>
      <c r="J1004" s="75">
        <f t="shared" si="90"/>
        <v>1</v>
      </c>
      <c r="K1004" s="76" t="s">
        <v>211</v>
      </c>
      <c r="L1004" s="99" t="s">
        <v>4185</v>
      </c>
      <c r="N1004" s="78" t="s">
        <v>17</v>
      </c>
      <c r="Q1004" s="78" t="s">
        <v>2130</v>
      </c>
      <c r="R1004" s="75">
        <f t="shared" si="91"/>
        <v>1</v>
      </c>
      <c r="S1004" s="263" t="s">
        <v>1991</v>
      </c>
      <c r="T1004" s="263"/>
      <c r="U1004" s="263"/>
      <c r="V1004" s="263"/>
      <c r="W1004" s="263"/>
      <c r="X1004" s="263"/>
      <c r="Y1004" s="575"/>
      <c r="Z1004" s="575"/>
      <c r="AA1004" s="576">
        <f t="shared" si="85"/>
        <v>0</v>
      </c>
      <c r="AB1004" s="722"/>
    </row>
    <row r="1005" spans="1:28" ht="15.75" customHeight="1" x14ac:dyDescent="0.35">
      <c r="A1005" s="81" t="s">
        <v>4034</v>
      </c>
      <c r="C1005" s="83">
        <v>43850</v>
      </c>
      <c r="D1005" s="112">
        <v>43871</v>
      </c>
      <c r="E1005" s="570"/>
      <c r="F1005" s="88" t="s">
        <v>4035</v>
      </c>
      <c r="G1005" s="88" t="s">
        <v>158</v>
      </c>
      <c r="H1005" s="98" t="s">
        <v>220</v>
      </c>
      <c r="I1005" s="98" t="s">
        <v>1004</v>
      </c>
      <c r="J1005" s="75">
        <f t="shared" si="90"/>
        <v>1</v>
      </c>
      <c r="K1005" s="76" t="s">
        <v>211</v>
      </c>
      <c r="N1005" s="78" t="s">
        <v>19</v>
      </c>
      <c r="Q1005" s="78" t="s">
        <v>2130</v>
      </c>
      <c r="R1005" s="75">
        <f t="shared" si="91"/>
        <v>1</v>
      </c>
      <c r="S1005" s="263" t="s">
        <v>1991</v>
      </c>
      <c r="T1005" s="263"/>
      <c r="U1005" s="263"/>
      <c r="V1005" s="263"/>
      <c r="W1005" s="263"/>
      <c r="X1005" s="263"/>
      <c r="Y1005" s="575"/>
      <c r="Z1005" s="575"/>
      <c r="AA1005" s="576">
        <f t="shared" si="85"/>
        <v>0</v>
      </c>
      <c r="AB1005" s="722"/>
    </row>
    <row r="1006" spans="1:28" ht="15.75" customHeight="1" x14ac:dyDescent="0.35">
      <c r="A1006" s="81" t="s">
        <v>4036</v>
      </c>
      <c r="C1006" s="83">
        <v>43850</v>
      </c>
      <c r="D1006" s="112">
        <v>43871</v>
      </c>
      <c r="E1006" s="570"/>
      <c r="F1006" s="88" t="s">
        <v>4037</v>
      </c>
      <c r="G1006" s="88" t="s">
        <v>158</v>
      </c>
      <c r="H1006" s="98" t="s">
        <v>220</v>
      </c>
      <c r="I1006" s="98" t="s">
        <v>1004</v>
      </c>
      <c r="J1006" s="75">
        <f t="shared" si="90"/>
        <v>1</v>
      </c>
      <c r="K1006" s="76" t="s">
        <v>211</v>
      </c>
      <c r="N1006" s="78" t="s">
        <v>19</v>
      </c>
      <c r="Q1006" s="78" t="s">
        <v>2130</v>
      </c>
      <c r="R1006" s="75">
        <f t="shared" si="91"/>
        <v>1</v>
      </c>
      <c r="S1006" s="263" t="s">
        <v>1991</v>
      </c>
      <c r="T1006" s="263"/>
      <c r="U1006" s="263"/>
      <c r="V1006" s="263"/>
      <c r="W1006" s="263"/>
      <c r="X1006" s="263"/>
      <c r="Y1006" s="575"/>
      <c r="Z1006" s="575"/>
      <c r="AA1006" s="576">
        <f t="shared" si="85"/>
        <v>0</v>
      </c>
      <c r="AB1006" s="722"/>
    </row>
    <row r="1007" spans="1:28" ht="15.75" customHeight="1" x14ac:dyDescent="0.35">
      <c r="A1007" s="98" t="s">
        <v>4042</v>
      </c>
      <c r="C1007" s="83">
        <v>43851</v>
      </c>
      <c r="D1007" s="112">
        <v>43872</v>
      </c>
      <c r="E1007" s="570"/>
      <c r="F1007" s="88" t="s">
        <v>4043</v>
      </c>
      <c r="G1007" s="88" t="s">
        <v>154</v>
      </c>
      <c r="H1007" s="81" t="s">
        <v>220</v>
      </c>
      <c r="I1007" s="98" t="s">
        <v>2516</v>
      </c>
      <c r="J1007" s="75">
        <f t="shared" si="90"/>
        <v>1</v>
      </c>
      <c r="K1007" s="76" t="s">
        <v>211</v>
      </c>
      <c r="N1007" s="78" t="s">
        <v>18</v>
      </c>
      <c r="Q1007" s="78" t="s">
        <v>2130</v>
      </c>
      <c r="R1007" s="75">
        <f t="shared" si="91"/>
        <v>1</v>
      </c>
      <c r="S1007" s="263" t="s">
        <v>1991</v>
      </c>
      <c r="T1007" s="263"/>
      <c r="U1007" s="263"/>
      <c r="V1007" s="263"/>
      <c r="W1007" s="263"/>
      <c r="X1007" s="263"/>
      <c r="Y1007" s="575"/>
      <c r="Z1007" s="575"/>
      <c r="AA1007" s="576">
        <f t="shared" si="85"/>
        <v>0</v>
      </c>
      <c r="AB1007" s="722"/>
    </row>
    <row r="1008" spans="1:28" ht="15.75" customHeight="1" x14ac:dyDescent="0.35">
      <c r="A1008" s="98" t="s">
        <v>4046</v>
      </c>
      <c r="C1008" s="83">
        <v>43851</v>
      </c>
      <c r="D1008" s="112">
        <v>43872</v>
      </c>
      <c r="E1008" s="570"/>
      <c r="F1008" s="88" t="s">
        <v>4047</v>
      </c>
      <c r="G1008" s="88" t="s">
        <v>158</v>
      </c>
      <c r="H1008" s="81" t="s">
        <v>220</v>
      </c>
      <c r="I1008" s="81" t="s">
        <v>3741</v>
      </c>
      <c r="J1008" s="75">
        <f t="shared" si="90"/>
        <v>1</v>
      </c>
      <c r="K1008" s="76" t="s">
        <v>211</v>
      </c>
      <c r="L1008" s="99" t="s">
        <v>3742</v>
      </c>
      <c r="Q1008" s="78" t="s">
        <v>2130</v>
      </c>
      <c r="R1008" s="75">
        <f t="shared" si="91"/>
        <v>1</v>
      </c>
      <c r="S1008" s="263" t="s">
        <v>1991</v>
      </c>
      <c r="T1008" s="263"/>
      <c r="U1008" s="263"/>
      <c r="V1008" s="263"/>
      <c r="W1008" s="263"/>
      <c r="X1008" s="263"/>
      <c r="Y1008" s="575"/>
      <c r="Z1008" s="575"/>
      <c r="AA1008" s="576">
        <f t="shared" ref="AA1008:AA1055" si="92">Z1008-Y1008</f>
        <v>0</v>
      </c>
      <c r="AB1008" s="722"/>
    </row>
    <row r="1009" spans="1:28" ht="15.75" customHeight="1" x14ac:dyDescent="0.35">
      <c r="A1009" s="98" t="s">
        <v>4050</v>
      </c>
      <c r="C1009" s="83">
        <v>43852</v>
      </c>
      <c r="D1009" s="112">
        <v>43873</v>
      </c>
      <c r="E1009" s="570"/>
      <c r="F1009" s="88" t="s">
        <v>4051</v>
      </c>
      <c r="G1009" s="88" t="s">
        <v>160</v>
      </c>
      <c r="H1009" s="81" t="s">
        <v>220</v>
      </c>
      <c r="I1009" s="98" t="s">
        <v>2516</v>
      </c>
      <c r="J1009" s="75">
        <f t="shared" si="90"/>
        <v>1</v>
      </c>
      <c r="K1009" s="76" t="s">
        <v>211</v>
      </c>
      <c r="N1009" s="78" t="s">
        <v>17</v>
      </c>
      <c r="Q1009" s="78" t="s">
        <v>2130</v>
      </c>
      <c r="R1009" s="75">
        <f t="shared" si="91"/>
        <v>1</v>
      </c>
      <c r="S1009" s="263" t="s">
        <v>1991</v>
      </c>
      <c r="T1009" s="263"/>
      <c r="U1009" s="263"/>
      <c r="V1009" s="263"/>
      <c r="W1009" s="263"/>
      <c r="X1009" s="263"/>
      <c r="Y1009" s="575"/>
      <c r="Z1009" s="575"/>
      <c r="AA1009" s="576">
        <f t="shared" si="92"/>
        <v>0</v>
      </c>
      <c r="AB1009" s="722"/>
    </row>
    <row r="1010" spans="1:28" ht="15.75" customHeight="1" x14ac:dyDescent="0.35">
      <c r="A1010" s="81" t="s">
        <v>4054</v>
      </c>
      <c r="C1010" s="83">
        <v>43852</v>
      </c>
      <c r="D1010" s="112">
        <v>43873</v>
      </c>
      <c r="E1010" s="570"/>
      <c r="F1010" s="88" t="s">
        <v>4055</v>
      </c>
      <c r="G1010" s="88" t="s">
        <v>177</v>
      </c>
      <c r="H1010" s="81" t="s">
        <v>220</v>
      </c>
      <c r="I1010" s="98" t="s">
        <v>656</v>
      </c>
      <c r="J1010" s="75">
        <f t="shared" si="90"/>
        <v>1</v>
      </c>
      <c r="K1010" s="76" t="s">
        <v>211</v>
      </c>
      <c r="L1010" s="99" t="s">
        <v>4195</v>
      </c>
      <c r="N1010" s="78" t="s">
        <v>17</v>
      </c>
      <c r="Q1010" s="78" t="s">
        <v>2130</v>
      </c>
      <c r="R1010" s="75">
        <f t="shared" si="91"/>
        <v>1</v>
      </c>
      <c r="S1010" s="263" t="s">
        <v>1991</v>
      </c>
      <c r="T1010" s="263"/>
      <c r="U1010" s="263"/>
      <c r="V1010" s="263"/>
      <c r="W1010" s="263"/>
      <c r="X1010" s="263"/>
      <c r="Y1010" s="575"/>
      <c r="Z1010" s="575"/>
      <c r="AA1010" s="576">
        <f t="shared" si="92"/>
        <v>0</v>
      </c>
      <c r="AB1010" s="722"/>
    </row>
    <row r="1011" spans="1:28" ht="15.75" customHeight="1" x14ac:dyDescent="0.35">
      <c r="A1011" s="81" t="s">
        <v>4056</v>
      </c>
      <c r="C1011" s="83">
        <v>43852</v>
      </c>
      <c r="D1011" s="112">
        <v>43873</v>
      </c>
      <c r="E1011" s="570"/>
      <c r="F1011" s="88" t="s">
        <v>4057</v>
      </c>
      <c r="G1011" s="88" t="s">
        <v>3866</v>
      </c>
      <c r="H1011" s="81" t="s">
        <v>220</v>
      </c>
      <c r="I1011" s="98" t="s">
        <v>3553</v>
      </c>
      <c r="J1011" s="75">
        <f t="shared" si="90"/>
        <v>1</v>
      </c>
      <c r="K1011" s="76" t="s">
        <v>211</v>
      </c>
      <c r="N1011" s="78" t="s">
        <v>19</v>
      </c>
      <c r="Q1011" s="78" t="s">
        <v>2130</v>
      </c>
      <c r="R1011" s="75">
        <f t="shared" si="91"/>
        <v>1</v>
      </c>
      <c r="S1011" s="263" t="s">
        <v>1991</v>
      </c>
      <c r="T1011" s="263"/>
      <c r="U1011" s="263"/>
      <c r="V1011" s="263"/>
      <c r="W1011" s="263"/>
      <c r="X1011" s="263"/>
      <c r="Y1011" s="575"/>
      <c r="Z1011" s="575"/>
      <c r="AA1011" s="576">
        <f t="shared" si="92"/>
        <v>0</v>
      </c>
      <c r="AB1011" s="722"/>
    </row>
    <row r="1012" spans="1:28" ht="15.75" customHeight="1" x14ac:dyDescent="0.35">
      <c r="A1012" s="81" t="s">
        <v>4058</v>
      </c>
      <c r="C1012" s="83">
        <v>43852</v>
      </c>
      <c r="D1012" s="112">
        <v>43873</v>
      </c>
      <c r="E1012" s="570"/>
      <c r="F1012" s="88" t="s">
        <v>4059</v>
      </c>
      <c r="G1012" s="88" t="s">
        <v>152</v>
      </c>
      <c r="H1012" s="81" t="s">
        <v>220</v>
      </c>
      <c r="I1012" s="98" t="s">
        <v>1122</v>
      </c>
      <c r="J1012" s="75">
        <f t="shared" si="90"/>
        <v>1</v>
      </c>
      <c r="K1012" s="76" t="s">
        <v>211</v>
      </c>
      <c r="L1012" s="99" t="s">
        <v>4194</v>
      </c>
      <c r="N1012" s="78" t="s">
        <v>18</v>
      </c>
      <c r="Q1012" s="78" t="s">
        <v>2130</v>
      </c>
      <c r="R1012" s="75">
        <f t="shared" si="91"/>
        <v>1</v>
      </c>
      <c r="S1012" s="263" t="s">
        <v>1991</v>
      </c>
      <c r="T1012" s="263"/>
      <c r="U1012" s="263"/>
      <c r="V1012" s="263"/>
      <c r="W1012" s="263"/>
      <c r="X1012" s="263"/>
      <c r="Y1012" s="575"/>
      <c r="Z1012" s="575"/>
      <c r="AA1012" s="576">
        <f t="shared" si="92"/>
        <v>0</v>
      </c>
      <c r="AB1012" s="722"/>
    </row>
    <row r="1013" spans="1:28" ht="15.75" customHeight="1" x14ac:dyDescent="0.35">
      <c r="A1013" s="81" t="s">
        <v>3668</v>
      </c>
      <c r="C1013" s="83">
        <v>43825</v>
      </c>
      <c r="D1013" s="112">
        <v>43871</v>
      </c>
      <c r="E1013" s="570"/>
      <c r="F1013" s="88" t="s">
        <v>3669</v>
      </c>
      <c r="G1013" s="88" t="s">
        <v>149</v>
      </c>
      <c r="H1013" s="98" t="s">
        <v>220</v>
      </c>
      <c r="I1013" s="98" t="s">
        <v>722</v>
      </c>
      <c r="J1013" s="75">
        <f t="shared" si="90"/>
        <v>1</v>
      </c>
      <c r="K1013" s="76" t="s">
        <v>211</v>
      </c>
      <c r="N1013" s="78" t="s">
        <v>18</v>
      </c>
      <c r="Q1013" s="78" t="s">
        <v>2163</v>
      </c>
      <c r="R1013" s="75">
        <f t="shared" si="91"/>
        <v>1</v>
      </c>
      <c r="S1013" s="263" t="s">
        <v>1991</v>
      </c>
      <c r="T1013" s="263"/>
      <c r="U1013" s="263"/>
      <c r="V1013" s="263"/>
      <c r="W1013" s="263"/>
      <c r="X1013" s="263"/>
      <c r="Y1013" s="575"/>
      <c r="Z1013" s="575"/>
      <c r="AA1013" s="576">
        <f t="shared" si="92"/>
        <v>0</v>
      </c>
      <c r="AB1013" s="722"/>
    </row>
    <row r="1014" spans="1:28" ht="15.75" customHeight="1" x14ac:dyDescent="0.35">
      <c r="A1014" s="81" t="s">
        <v>3636</v>
      </c>
      <c r="C1014" s="83">
        <v>43825</v>
      </c>
      <c r="D1014" s="112">
        <v>43871</v>
      </c>
      <c r="E1014" s="570"/>
      <c r="F1014" s="88" t="s">
        <v>3637</v>
      </c>
      <c r="G1014" s="88" t="s">
        <v>158</v>
      </c>
      <c r="H1014" s="98" t="s">
        <v>220</v>
      </c>
      <c r="I1014" s="98" t="s">
        <v>722</v>
      </c>
      <c r="J1014" s="75">
        <f t="shared" si="90"/>
        <v>1</v>
      </c>
      <c r="K1014" s="76" t="s">
        <v>211</v>
      </c>
      <c r="N1014" s="78" t="s">
        <v>18</v>
      </c>
      <c r="Q1014" s="78" t="s">
        <v>2163</v>
      </c>
      <c r="R1014" s="75">
        <f t="shared" si="91"/>
        <v>1</v>
      </c>
      <c r="S1014" s="263" t="s">
        <v>1991</v>
      </c>
      <c r="T1014" s="263"/>
      <c r="U1014" s="263"/>
      <c r="V1014" s="263"/>
      <c r="W1014" s="263"/>
      <c r="X1014" s="263"/>
      <c r="Y1014" s="575"/>
      <c r="Z1014" s="575"/>
      <c r="AA1014" s="576">
        <f t="shared" si="92"/>
        <v>0</v>
      </c>
      <c r="AB1014" s="722"/>
    </row>
    <row r="1015" spans="1:28" ht="15.75" customHeight="1" x14ac:dyDescent="0.35">
      <c r="A1015" s="81" t="s">
        <v>3674</v>
      </c>
      <c r="C1015" s="83">
        <v>43826</v>
      </c>
      <c r="D1015" s="112">
        <v>43872</v>
      </c>
      <c r="E1015" s="570"/>
      <c r="F1015" s="88" t="s">
        <v>3675</v>
      </c>
      <c r="G1015" s="88" t="s">
        <v>1393</v>
      </c>
      <c r="H1015" s="81" t="s">
        <v>220</v>
      </c>
      <c r="I1015" s="98" t="s">
        <v>649</v>
      </c>
      <c r="J1015" s="75">
        <f t="shared" si="90"/>
        <v>1</v>
      </c>
      <c r="K1015" s="76" t="s">
        <v>211</v>
      </c>
      <c r="N1015" s="78" t="s">
        <v>17</v>
      </c>
      <c r="Q1015" s="78" t="s">
        <v>2163</v>
      </c>
      <c r="R1015" s="75">
        <f t="shared" si="91"/>
        <v>1</v>
      </c>
      <c r="S1015" s="263" t="s">
        <v>1991</v>
      </c>
      <c r="T1015" s="263"/>
      <c r="U1015" s="263"/>
      <c r="V1015" s="263"/>
      <c r="W1015" s="263"/>
      <c r="X1015" s="263"/>
      <c r="Y1015" s="575"/>
      <c r="Z1015" s="575"/>
      <c r="AA1015" s="576">
        <f t="shared" si="92"/>
        <v>0</v>
      </c>
      <c r="AB1015" s="722"/>
    </row>
    <row r="1016" spans="1:28" ht="15.75" customHeight="1" x14ac:dyDescent="0.35">
      <c r="A1016" s="81" t="s">
        <v>3676</v>
      </c>
      <c r="C1016" s="83">
        <v>43826</v>
      </c>
      <c r="D1016" s="112">
        <v>43872</v>
      </c>
      <c r="E1016" s="570"/>
      <c r="F1016" s="88" t="s">
        <v>3677</v>
      </c>
      <c r="G1016" s="88" t="s">
        <v>154</v>
      </c>
      <c r="H1016" s="81" t="s">
        <v>220</v>
      </c>
      <c r="I1016" s="98" t="s">
        <v>722</v>
      </c>
      <c r="J1016" s="75">
        <f t="shared" si="90"/>
        <v>1</v>
      </c>
      <c r="K1016" s="76" t="s">
        <v>211</v>
      </c>
      <c r="L1016" s="99" t="s">
        <v>3474</v>
      </c>
      <c r="N1016" s="78" t="s">
        <v>17</v>
      </c>
      <c r="Q1016" s="78" t="s">
        <v>2163</v>
      </c>
      <c r="R1016" s="75">
        <f t="shared" si="91"/>
        <v>1</v>
      </c>
      <c r="S1016" s="263" t="s">
        <v>1991</v>
      </c>
      <c r="T1016" s="263"/>
      <c r="U1016" s="263"/>
      <c r="V1016" s="263"/>
      <c r="W1016" s="263"/>
      <c r="X1016" s="263"/>
      <c r="Y1016" s="575"/>
      <c r="Z1016" s="575"/>
      <c r="AA1016" s="576">
        <f t="shared" si="92"/>
        <v>0</v>
      </c>
      <c r="AB1016" s="722"/>
    </row>
    <row r="1017" spans="1:28" ht="15.75" customHeight="1" x14ac:dyDescent="0.35">
      <c r="A1017" s="81" t="s">
        <v>3682</v>
      </c>
      <c r="C1017" s="83">
        <v>43826</v>
      </c>
      <c r="D1017" s="112">
        <v>43872</v>
      </c>
      <c r="E1017" s="570"/>
      <c r="F1017" s="88" t="s">
        <v>3683</v>
      </c>
      <c r="G1017" s="88" t="s">
        <v>3684</v>
      </c>
      <c r="H1017" s="81" t="s">
        <v>220</v>
      </c>
      <c r="I1017" s="98" t="s">
        <v>648</v>
      </c>
      <c r="J1017" s="75">
        <f t="shared" si="90"/>
        <v>1</v>
      </c>
      <c r="K1017" s="76" t="s">
        <v>211</v>
      </c>
      <c r="L1017" s="99" t="s">
        <v>4178</v>
      </c>
      <c r="N1017" s="78" t="s">
        <v>17</v>
      </c>
      <c r="Q1017" s="78" t="s">
        <v>2163</v>
      </c>
      <c r="R1017" s="75">
        <f t="shared" si="91"/>
        <v>1</v>
      </c>
      <c r="S1017" s="263" t="s">
        <v>1991</v>
      </c>
      <c r="T1017" s="263"/>
      <c r="U1017" s="263"/>
      <c r="V1017" s="263"/>
      <c r="W1017" s="263"/>
      <c r="X1017" s="263"/>
      <c r="Y1017" s="575"/>
      <c r="Z1017" s="575"/>
      <c r="AA1017" s="576">
        <f t="shared" si="92"/>
        <v>0</v>
      </c>
      <c r="AB1017" s="722"/>
    </row>
    <row r="1018" spans="1:28" ht="15.75" customHeight="1" x14ac:dyDescent="0.35">
      <c r="A1018" s="98" t="s">
        <v>3685</v>
      </c>
      <c r="C1018" s="83">
        <v>43830</v>
      </c>
      <c r="D1018" s="112">
        <v>43873</v>
      </c>
      <c r="E1018" s="570"/>
      <c r="F1018" s="88" t="s">
        <v>3686</v>
      </c>
      <c r="G1018" s="88" t="s">
        <v>154</v>
      </c>
      <c r="H1018" s="81" t="s">
        <v>220</v>
      </c>
      <c r="I1018" s="98" t="s">
        <v>649</v>
      </c>
      <c r="J1018" s="75">
        <f t="shared" si="90"/>
        <v>1</v>
      </c>
      <c r="K1018" s="76" t="s">
        <v>211</v>
      </c>
      <c r="N1018" s="78" t="s">
        <v>18</v>
      </c>
      <c r="Q1018" s="78" t="s">
        <v>2163</v>
      </c>
      <c r="R1018" s="75">
        <f t="shared" si="91"/>
        <v>1</v>
      </c>
      <c r="S1018" s="263" t="s">
        <v>1991</v>
      </c>
      <c r="T1018" s="263"/>
      <c r="U1018" s="263"/>
      <c r="V1018" s="263"/>
      <c r="W1018" s="263"/>
      <c r="X1018" s="263"/>
      <c r="Y1018" s="575"/>
      <c r="Z1018" s="575"/>
      <c r="AA1018" s="576">
        <f t="shared" si="92"/>
        <v>0</v>
      </c>
      <c r="AB1018" s="722"/>
    </row>
    <row r="1019" spans="1:28" ht="15.75" customHeight="1" x14ac:dyDescent="0.35">
      <c r="A1019" s="98" t="s">
        <v>3687</v>
      </c>
      <c r="C1019" s="83">
        <v>43830</v>
      </c>
      <c r="D1019" s="112">
        <v>43873</v>
      </c>
      <c r="E1019" s="570"/>
      <c r="F1019" s="88" t="s">
        <v>3688</v>
      </c>
      <c r="G1019" s="88" t="s">
        <v>149</v>
      </c>
      <c r="H1019" s="81" t="s">
        <v>220</v>
      </c>
      <c r="I1019" s="98" t="s">
        <v>722</v>
      </c>
      <c r="J1019" s="75">
        <f t="shared" si="90"/>
        <v>1</v>
      </c>
      <c r="K1019" s="76" t="s">
        <v>211</v>
      </c>
      <c r="N1019" s="78" t="s">
        <v>18</v>
      </c>
      <c r="Q1019" s="78" t="s">
        <v>2163</v>
      </c>
      <c r="R1019" s="75">
        <f t="shared" si="91"/>
        <v>1</v>
      </c>
      <c r="S1019" s="263" t="s">
        <v>1991</v>
      </c>
      <c r="T1019" s="263"/>
      <c r="U1019" s="263"/>
      <c r="V1019" s="263"/>
      <c r="W1019" s="263"/>
      <c r="X1019" s="263"/>
      <c r="Y1019" s="575"/>
      <c r="Z1019" s="575"/>
      <c r="AA1019" s="576">
        <f t="shared" si="92"/>
        <v>0</v>
      </c>
      <c r="AB1019" s="722"/>
    </row>
    <row r="1020" spans="1:28" ht="15.75" customHeight="1" x14ac:dyDescent="0.35">
      <c r="A1020" s="81" t="s">
        <v>4074</v>
      </c>
      <c r="C1020" s="83">
        <v>43851</v>
      </c>
      <c r="D1020" s="112">
        <v>43872</v>
      </c>
      <c r="E1020" s="570"/>
      <c r="F1020" s="88" t="s">
        <v>4075</v>
      </c>
      <c r="G1020" s="88" t="s">
        <v>158</v>
      </c>
      <c r="H1020" s="81" t="s">
        <v>220</v>
      </c>
      <c r="I1020" s="98" t="s">
        <v>1004</v>
      </c>
      <c r="J1020" s="75">
        <f t="shared" ref="J1020:J1032" si="93">IF(OR(K1020="Документы готовы",K1020="Запрос в ФО",K1020="ЭЗ",K1020="РЕШ",K1020="РЕШ шаблон"),0.1,IF(OR(K1020="ЭЗ согласование",K1020="РЕШ согласование"),0.3,IF(OR(K1020="ЭЗ согласовано",K1020="РЕШ согласовано",K1020="РЕШ подписано"),0.6,IF(OR(K1020="ЭЗ ПР согласование",K1020="РЕШ УВ согласование"),0.9,IF(OR(K1020="ЭЗ ПР DONE",K1020="РЕШ УВ DONE"),1,0)))))</f>
        <v>1</v>
      </c>
      <c r="K1020" s="76" t="s">
        <v>211</v>
      </c>
      <c r="N1020" s="78" t="s">
        <v>19</v>
      </c>
      <c r="Q1020" s="78" t="s">
        <v>2163</v>
      </c>
      <c r="R1020" s="75">
        <f t="shared" ref="R1020:R1033" si="94">IF(S1020="В работе",0.3,IF(S1020="Отписано",0.6,IF(S1020="На доработку",0.9,IF(S1020="Согласовано",1,0))))</f>
        <v>1</v>
      </c>
      <c r="S1020" s="263" t="s">
        <v>1991</v>
      </c>
      <c r="T1020" s="263"/>
      <c r="U1020" s="263"/>
      <c r="V1020" s="263"/>
      <c r="W1020" s="263"/>
      <c r="X1020" s="263"/>
      <c r="Y1020" s="575"/>
      <c r="Z1020" s="575"/>
      <c r="AA1020" s="576">
        <f t="shared" si="92"/>
        <v>0</v>
      </c>
      <c r="AB1020" s="722"/>
    </row>
    <row r="1021" spans="1:28" ht="15.75" customHeight="1" x14ac:dyDescent="0.35">
      <c r="A1021" s="98" t="s">
        <v>4078</v>
      </c>
      <c r="C1021" s="83">
        <v>43851</v>
      </c>
      <c r="D1021" s="112">
        <v>43872</v>
      </c>
      <c r="E1021" s="570"/>
      <c r="F1021" s="88" t="s">
        <v>4079</v>
      </c>
      <c r="G1021" s="88" t="s">
        <v>176</v>
      </c>
      <c r="H1021" s="81" t="s">
        <v>220</v>
      </c>
      <c r="I1021" s="98" t="s">
        <v>3553</v>
      </c>
      <c r="J1021" s="75">
        <f t="shared" si="93"/>
        <v>1</v>
      </c>
      <c r="K1021" s="76" t="s">
        <v>211</v>
      </c>
      <c r="N1021" s="78" t="s">
        <v>19</v>
      </c>
      <c r="Q1021" s="78" t="s">
        <v>2163</v>
      </c>
      <c r="R1021" s="75">
        <f t="shared" si="94"/>
        <v>1</v>
      </c>
      <c r="S1021" s="263" t="s">
        <v>1991</v>
      </c>
      <c r="T1021" s="263"/>
      <c r="U1021" s="263"/>
      <c r="V1021" s="263"/>
      <c r="W1021" s="263"/>
      <c r="X1021" s="263"/>
      <c r="Y1021" s="575"/>
      <c r="Z1021" s="575"/>
      <c r="AA1021" s="576">
        <f t="shared" si="92"/>
        <v>0</v>
      </c>
      <c r="AB1021" s="722"/>
    </row>
    <row r="1022" spans="1:28" ht="15.75" customHeight="1" x14ac:dyDescent="0.35">
      <c r="A1022" s="98" t="s">
        <v>4088</v>
      </c>
      <c r="C1022" s="83">
        <v>43852</v>
      </c>
      <c r="D1022" s="112">
        <v>43873</v>
      </c>
      <c r="E1022" s="570"/>
      <c r="F1022" s="88" t="s">
        <v>4089</v>
      </c>
      <c r="G1022" s="88" t="s">
        <v>168</v>
      </c>
      <c r="H1022" s="81" t="s">
        <v>220</v>
      </c>
      <c r="I1022" s="98" t="s">
        <v>3554</v>
      </c>
      <c r="J1022" s="75">
        <f t="shared" si="93"/>
        <v>1</v>
      </c>
      <c r="K1022" s="76" t="s">
        <v>211</v>
      </c>
      <c r="N1022" s="78" t="s">
        <v>18</v>
      </c>
      <c r="Q1022" s="78" t="s">
        <v>2163</v>
      </c>
      <c r="R1022" s="75">
        <f t="shared" si="94"/>
        <v>1</v>
      </c>
      <c r="S1022" s="263" t="s">
        <v>1991</v>
      </c>
      <c r="T1022" s="263"/>
      <c r="U1022" s="263"/>
      <c r="V1022" s="263"/>
      <c r="W1022" s="263"/>
      <c r="X1022" s="263"/>
      <c r="Y1022" s="575"/>
      <c r="Z1022" s="575"/>
      <c r="AA1022" s="576">
        <f t="shared" si="92"/>
        <v>0</v>
      </c>
      <c r="AB1022" s="722"/>
    </row>
    <row r="1023" spans="1:28" ht="15.75" customHeight="1" x14ac:dyDescent="0.35">
      <c r="A1023" s="98" t="s">
        <v>4090</v>
      </c>
      <c r="C1023" s="83">
        <v>43852</v>
      </c>
      <c r="D1023" s="112">
        <v>43873</v>
      </c>
      <c r="E1023" s="570"/>
      <c r="F1023" s="88" t="s">
        <v>4091</v>
      </c>
      <c r="G1023" s="88" t="s">
        <v>154</v>
      </c>
      <c r="H1023" s="81" t="s">
        <v>220</v>
      </c>
      <c r="I1023" s="98" t="s">
        <v>1122</v>
      </c>
      <c r="J1023" s="75">
        <f t="shared" si="93"/>
        <v>1</v>
      </c>
      <c r="K1023" s="76" t="s">
        <v>211</v>
      </c>
      <c r="N1023" s="78" t="s">
        <v>18</v>
      </c>
      <c r="Q1023" s="78" t="s">
        <v>2163</v>
      </c>
      <c r="R1023" s="75">
        <f t="shared" si="94"/>
        <v>1</v>
      </c>
      <c r="S1023" s="263" t="s">
        <v>1991</v>
      </c>
      <c r="T1023" s="263"/>
      <c r="U1023" s="263"/>
      <c r="V1023" s="263"/>
      <c r="W1023" s="263"/>
      <c r="X1023" s="263"/>
      <c r="Y1023" s="575"/>
      <c r="Z1023" s="575"/>
      <c r="AA1023" s="576">
        <f t="shared" si="92"/>
        <v>0</v>
      </c>
      <c r="AB1023" s="722"/>
    </row>
    <row r="1024" spans="1:28" ht="15.75" customHeight="1" x14ac:dyDescent="0.35">
      <c r="A1024" s="81" t="s">
        <v>3697</v>
      </c>
      <c r="C1024" s="83">
        <v>43826</v>
      </c>
      <c r="D1024" s="112">
        <v>43871</v>
      </c>
      <c r="E1024" s="570"/>
      <c r="F1024" s="88" t="s">
        <v>3698</v>
      </c>
      <c r="G1024" s="88" t="s">
        <v>152</v>
      </c>
      <c r="H1024" s="98" t="s">
        <v>220</v>
      </c>
      <c r="I1024" s="98" t="s">
        <v>649</v>
      </c>
      <c r="J1024" s="75">
        <f t="shared" si="93"/>
        <v>1</v>
      </c>
      <c r="K1024" s="76" t="s">
        <v>211</v>
      </c>
      <c r="N1024" s="78" t="s">
        <v>18</v>
      </c>
      <c r="Q1024" s="78" t="s">
        <v>2447</v>
      </c>
      <c r="R1024" s="75">
        <f t="shared" si="94"/>
        <v>1</v>
      </c>
      <c r="S1024" s="263" t="s">
        <v>1991</v>
      </c>
      <c r="T1024" s="263"/>
      <c r="U1024" s="263"/>
      <c r="V1024" s="263"/>
      <c r="W1024" s="263"/>
      <c r="X1024" s="263"/>
      <c r="Y1024" s="575"/>
      <c r="Z1024" s="575"/>
      <c r="AA1024" s="576">
        <f t="shared" si="92"/>
        <v>0</v>
      </c>
      <c r="AB1024" s="722"/>
    </row>
    <row r="1025" spans="1:28" ht="15.75" customHeight="1" x14ac:dyDescent="0.35">
      <c r="A1025" s="81" t="s">
        <v>3699</v>
      </c>
      <c r="C1025" s="83">
        <v>43826</v>
      </c>
      <c r="D1025" s="112">
        <v>43871</v>
      </c>
      <c r="E1025" s="570"/>
      <c r="F1025" s="88" t="s">
        <v>3700</v>
      </c>
      <c r="G1025" s="88" t="s">
        <v>149</v>
      </c>
      <c r="H1025" s="98" t="s">
        <v>220</v>
      </c>
      <c r="I1025" s="98" t="s">
        <v>649</v>
      </c>
      <c r="J1025" s="75">
        <f t="shared" si="93"/>
        <v>1</v>
      </c>
      <c r="K1025" s="76" t="s">
        <v>211</v>
      </c>
      <c r="N1025" s="78" t="s">
        <v>17</v>
      </c>
      <c r="Q1025" s="78" t="s">
        <v>2447</v>
      </c>
      <c r="R1025" s="75">
        <f t="shared" si="94"/>
        <v>1</v>
      </c>
      <c r="S1025" s="263" t="s">
        <v>1991</v>
      </c>
      <c r="T1025" s="263"/>
      <c r="U1025" s="263"/>
      <c r="V1025" s="263"/>
      <c r="W1025" s="263"/>
      <c r="X1025" s="263"/>
      <c r="Y1025" s="575"/>
      <c r="Z1025" s="575"/>
      <c r="AA1025" s="576">
        <f t="shared" si="92"/>
        <v>0</v>
      </c>
      <c r="AB1025" s="722"/>
    </row>
    <row r="1026" spans="1:28" ht="15.75" customHeight="1" x14ac:dyDescent="0.35">
      <c r="A1026" s="81" t="s">
        <v>4100</v>
      </c>
      <c r="C1026" s="83">
        <v>43826</v>
      </c>
      <c r="D1026" s="112">
        <v>43872</v>
      </c>
      <c r="E1026" s="570"/>
      <c r="F1026" s="88" t="s">
        <v>4101</v>
      </c>
      <c r="G1026" s="88" t="s">
        <v>417</v>
      </c>
      <c r="H1026" s="81" t="s">
        <v>220</v>
      </c>
      <c r="I1026" s="98" t="s">
        <v>3557</v>
      </c>
      <c r="J1026" s="75">
        <f t="shared" si="93"/>
        <v>1</v>
      </c>
      <c r="K1026" s="76" t="s">
        <v>211</v>
      </c>
      <c r="N1026" s="78" t="s">
        <v>18</v>
      </c>
      <c r="Q1026" s="78" t="s">
        <v>2447</v>
      </c>
      <c r="R1026" s="75">
        <f t="shared" si="94"/>
        <v>1</v>
      </c>
      <c r="S1026" s="263" t="s">
        <v>1991</v>
      </c>
      <c r="T1026" s="263"/>
      <c r="U1026" s="263"/>
      <c r="V1026" s="263"/>
      <c r="W1026" s="263"/>
      <c r="X1026" s="263"/>
      <c r="Y1026" s="575"/>
      <c r="Z1026" s="575"/>
      <c r="AA1026" s="576">
        <f t="shared" si="92"/>
        <v>0</v>
      </c>
      <c r="AB1026" s="722"/>
    </row>
    <row r="1027" spans="1:28" ht="15.75" customHeight="1" x14ac:dyDescent="0.35">
      <c r="A1027" s="81" t="s">
        <v>3701</v>
      </c>
      <c r="C1027" s="83">
        <v>43826</v>
      </c>
      <c r="D1027" s="112">
        <v>43872</v>
      </c>
      <c r="E1027" s="570"/>
      <c r="F1027" s="88" t="s">
        <v>3702</v>
      </c>
      <c r="G1027" s="88" t="s">
        <v>170</v>
      </c>
      <c r="H1027" s="81" t="s">
        <v>220</v>
      </c>
      <c r="I1027" s="98" t="s">
        <v>722</v>
      </c>
      <c r="J1027" s="75">
        <f t="shared" si="93"/>
        <v>1</v>
      </c>
      <c r="K1027" s="76" t="s">
        <v>211</v>
      </c>
      <c r="L1027" s="99" t="s">
        <v>4187</v>
      </c>
      <c r="N1027" s="78" t="s">
        <v>17</v>
      </c>
      <c r="Q1027" s="78" t="s">
        <v>2447</v>
      </c>
      <c r="R1027" s="75">
        <f t="shared" si="94"/>
        <v>1</v>
      </c>
      <c r="S1027" s="263" t="s">
        <v>1991</v>
      </c>
      <c r="T1027" s="263"/>
      <c r="U1027" s="263"/>
      <c r="V1027" s="263"/>
      <c r="W1027" s="263"/>
      <c r="X1027" s="263"/>
      <c r="Y1027" s="575"/>
      <c r="Z1027" s="575"/>
      <c r="AA1027" s="576">
        <f t="shared" si="92"/>
        <v>0</v>
      </c>
      <c r="AB1027" s="722"/>
    </row>
    <row r="1028" spans="1:28" ht="15.75" customHeight="1" x14ac:dyDescent="0.35">
      <c r="A1028" s="81" t="s">
        <v>3705</v>
      </c>
      <c r="C1028" s="83">
        <v>43826</v>
      </c>
      <c r="D1028" s="112">
        <v>43872</v>
      </c>
      <c r="E1028" s="570"/>
      <c r="F1028" s="88" t="s">
        <v>3706</v>
      </c>
      <c r="G1028" s="88" t="s">
        <v>158</v>
      </c>
      <c r="H1028" s="81" t="s">
        <v>220</v>
      </c>
      <c r="I1028" s="98" t="s">
        <v>722</v>
      </c>
      <c r="J1028" s="75">
        <f t="shared" si="93"/>
        <v>1</v>
      </c>
      <c r="K1028" s="76" t="s">
        <v>211</v>
      </c>
      <c r="N1028" s="78" t="s">
        <v>18</v>
      </c>
      <c r="Q1028" s="78" t="s">
        <v>2447</v>
      </c>
      <c r="R1028" s="75">
        <f t="shared" si="94"/>
        <v>1</v>
      </c>
      <c r="S1028" s="263" t="s">
        <v>1991</v>
      </c>
      <c r="T1028" s="263"/>
      <c r="U1028" s="263"/>
      <c r="V1028" s="263"/>
      <c r="W1028" s="263"/>
      <c r="X1028" s="263"/>
      <c r="Y1028" s="575"/>
      <c r="Z1028" s="575"/>
      <c r="AA1028" s="576">
        <f t="shared" si="92"/>
        <v>0</v>
      </c>
      <c r="AB1028" s="722"/>
    </row>
    <row r="1029" spans="1:28" ht="15.75" customHeight="1" x14ac:dyDescent="0.35">
      <c r="A1029" s="81" t="s">
        <v>3709</v>
      </c>
      <c r="C1029" s="83">
        <v>43829</v>
      </c>
      <c r="D1029" s="112">
        <v>43873</v>
      </c>
      <c r="E1029" s="570"/>
      <c r="F1029" s="88" t="s">
        <v>3710</v>
      </c>
      <c r="G1029" s="88" t="s">
        <v>149</v>
      </c>
      <c r="H1029" s="81" t="s">
        <v>220</v>
      </c>
      <c r="I1029" s="98" t="s">
        <v>652</v>
      </c>
      <c r="J1029" s="75">
        <f t="shared" si="93"/>
        <v>1</v>
      </c>
      <c r="K1029" s="76" t="s">
        <v>211</v>
      </c>
      <c r="L1029" s="99" t="s">
        <v>4190</v>
      </c>
      <c r="N1029" s="78" t="s">
        <v>18</v>
      </c>
      <c r="Q1029" s="78" t="s">
        <v>2447</v>
      </c>
      <c r="R1029" s="75">
        <f t="shared" si="94"/>
        <v>1</v>
      </c>
      <c r="S1029" s="263" t="s">
        <v>1991</v>
      </c>
      <c r="T1029" s="263"/>
      <c r="U1029" s="263"/>
      <c r="V1029" s="263"/>
      <c r="W1029" s="263"/>
      <c r="X1029" s="263"/>
      <c r="Y1029" s="575"/>
      <c r="Z1029" s="575"/>
      <c r="AA1029" s="576">
        <f t="shared" si="92"/>
        <v>0</v>
      </c>
      <c r="AB1029" s="722"/>
    </row>
    <row r="1030" spans="1:28" ht="15.75" customHeight="1" x14ac:dyDescent="0.35">
      <c r="A1030" s="81" t="s">
        <v>3711</v>
      </c>
      <c r="C1030" s="83">
        <v>43830</v>
      </c>
      <c r="D1030" s="112">
        <v>43873</v>
      </c>
      <c r="E1030" s="570"/>
      <c r="F1030" s="88" t="s">
        <v>3712</v>
      </c>
      <c r="G1030" s="88" t="s">
        <v>158</v>
      </c>
      <c r="H1030" s="81" t="s">
        <v>220</v>
      </c>
      <c r="I1030" s="98" t="s">
        <v>722</v>
      </c>
      <c r="J1030" s="75">
        <f t="shared" si="93"/>
        <v>1</v>
      </c>
      <c r="K1030" s="76" t="s">
        <v>211</v>
      </c>
      <c r="N1030" s="78" t="s">
        <v>17</v>
      </c>
      <c r="Q1030" s="78" t="s">
        <v>2447</v>
      </c>
      <c r="R1030" s="75">
        <f t="shared" si="94"/>
        <v>1</v>
      </c>
      <c r="S1030" s="263" t="s">
        <v>1991</v>
      </c>
      <c r="T1030" s="263"/>
      <c r="U1030" s="263"/>
      <c r="V1030" s="263"/>
      <c r="W1030" s="263"/>
      <c r="X1030" s="263"/>
      <c r="Y1030" s="575"/>
      <c r="Z1030" s="575"/>
      <c r="AA1030" s="576">
        <f t="shared" si="92"/>
        <v>0</v>
      </c>
      <c r="AB1030" s="722"/>
    </row>
    <row r="1031" spans="1:28" ht="15.75" customHeight="1" x14ac:dyDescent="0.35">
      <c r="A1031" s="81" t="s">
        <v>3889</v>
      </c>
      <c r="C1031" s="83">
        <v>43846</v>
      </c>
      <c r="D1031" s="83">
        <v>43868</v>
      </c>
      <c r="E1031" s="570"/>
      <c r="F1031" s="88" t="s">
        <v>3890</v>
      </c>
      <c r="G1031" s="88" t="s">
        <v>162</v>
      </c>
      <c r="H1031" s="81" t="s">
        <v>220</v>
      </c>
      <c r="J1031" s="75">
        <f t="shared" si="93"/>
        <v>1</v>
      </c>
      <c r="K1031" s="76" t="s">
        <v>221</v>
      </c>
      <c r="Q1031" s="78" t="s">
        <v>2447</v>
      </c>
      <c r="R1031" s="75">
        <f t="shared" si="94"/>
        <v>1</v>
      </c>
      <c r="S1031" s="263" t="s">
        <v>1991</v>
      </c>
      <c r="T1031" s="263"/>
      <c r="U1031" s="263"/>
      <c r="V1031" s="263"/>
      <c r="W1031" s="263"/>
      <c r="X1031" s="263"/>
      <c r="Y1031" s="575"/>
      <c r="Z1031" s="575"/>
      <c r="AA1031" s="576">
        <f t="shared" si="92"/>
        <v>0</v>
      </c>
      <c r="AB1031" s="722"/>
    </row>
    <row r="1032" spans="1:28" ht="15.75" customHeight="1" x14ac:dyDescent="0.35">
      <c r="A1032" s="81" t="s">
        <v>4102</v>
      </c>
      <c r="C1032" s="83">
        <v>43850</v>
      </c>
      <c r="D1032" s="112">
        <v>43871</v>
      </c>
      <c r="E1032" s="570"/>
      <c r="F1032" s="88" t="s">
        <v>4103</v>
      </c>
      <c r="G1032" s="88" t="s">
        <v>183</v>
      </c>
      <c r="H1032" s="98" t="s">
        <v>220</v>
      </c>
      <c r="I1032" s="98" t="s">
        <v>3260</v>
      </c>
      <c r="J1032" s="75">
        <f t="shared" si="93"/>
        <v>1</v>
      </c>
      <c r="K1032" s="76" t="s">
        <v>211</v>
      </c>
      <c r="N1032" s="78" t="s">
        <v>19</v>
      </c>
      <c r="Q1032" s="78" t="s">
        <v>2447</v>
      </c>
      <c r="R1032" s="75">
        <f t="shared" si="94"/>
        <v>1</v>
      </c>
      <c r="S1032" s="263" t="s">
        <v>1991</v>
      </c>
      <c r="T1032" s="263"/>
      <c r="U1032" s="263"/>
      <c r="V1032" s="263"/>
      <c r="W1032" s="263"/>
      <c r="X1032" s="263"/>
      <c r="Y1032" s="575"/>
      <c r="Z1032" s="575"/>
      <c r="AA1032" s="576">
        <f t="shared" si="92"/>
        <v>0</v>
      </c>
      <c r="AB1032" s="722"/>
    </row>
    <row r="1033" spans="1:28" ht="15.75" customHeight="1" x14ac:dyDescent="0.35">
      <c r="A1033" s="81" t="s">
        <v>4104</v>
      </c>
      <c r="C1033" s="83">
        <v>43850</v>
      </c>
      <c r="D1033" s="112">
        <v>43871</v>
      </c>
      <c r="E1033" s="570"/>
      <c r="F1033" s="88" t="s">
        <v>4105</v>
      </c>
      <c r="G1033" s="88" t="s">
        <v>154</v>
      </c>
      <c r="H1033" s="98" t="s">
        <v>220</v>
      </c>
      <c r="I1033" s="98" t="s">
        <v>656</v>
      </c>
      <c r="J1033" s="75">
        <f t="shared" ref="J1033:J1060" si="95">IF(OR(K1033="Документы готовы",K1033="Запрос в ФО",K1033="ЭЗ",K1033="РЕШ",K1033="РЕШ шаблон"),0.1,IF(OR(K1033="ЭЗ согласование",K1033="РЕШ согласование"),0.3,IF(OR(K1033="ЭЗ согласовано",K1033="РЕШ согласовано",K1033="РЕШ подписано"),0.6,IF(OR(K1033="ЭЗ ПР согласование",K1033="РЕШ УВ согласование"),0.9,IF(OR(K1033="ЭЗ ПР DONE",K1033="РЕШ УВ DONE"),1,0)))))</f>
        <v>1</v>
      </c>
      <c r="K1033" s="76" t="s">
        <v>211</v>
      </c>
      <c r="L1033" s="99" t="s">
        <v>4184</v>
      </c>
      <c r="N1033" s="78" t="s">
        <v>18</v>
      </c>
      <c r="Q1033" s="78" t="s">
        <v>2447</v>
      </c>
      <c r="R1033" s="75">
        <f t="shared" si="94"/>
        <v>1</v>
      </c>
      <c r="S1033" s="263" t="s">
        <v>1991</v>
      </c>
      <c r="T1033" s="263"/>
      <c r="U1033" s="263"/>
      <c r="V1033" s="263"/>
      <c r="W1033" s="263"/>
      <c r="X1033" s="263"/>
      <c r="Y1033" s="575"/>
      <c r="Z1033" s="575"/>
      <c r="AA1033" s="576">
        <f t="shared" si="92"/>
        <v>0</v>
      </c>
      <c r="AB1033" s="722"/>
    </row>
    <row r="1034" spans="1:28" ht="15.75" customHeight="1" x14ac:dyDescent="0.35">
      <c r="A1034" s="81" t="s">
        <v>4110</v>
      </c>
      <c r="C1034" s="83">
        <v>43851</v>
      </c>
      <c r="D1034" s="112">
        <v>43872</v>
      </c>
      <c r="E1034" s="570"/>
      <c r="F1034" s="88" t="s">
        <v>4111</v>
      </c>
      <c r="G1034" s="88" t="s">
        <v>152</v>
      </c>
      <c r="H1034" s="81" t="s">
        <v>220</v>
      </c>
      <c r="I1034" s="98" t="s">
        <v>1213</v>
      </c>
      <c r="J1034" s="75">
        <f t="shared" si="95"/>
        <v>1</v>
      </c>
      <c r="K1034" s="76" t="s">
        <v>211</v>
      </c>
      <c r="N1034" s="78" t="s">
        <v>18</v>
      </c>
      <c r="Q1034" s="78" t="s">
        <v>2447</v>
      </c>
      <c r="R1034" s="75">
        <f t="shared" ref="R1034:R1062" si="96">IF(S1034="В работе",0.3,IF(S1034="Отписано",0.6,IF(S1034="На доработку",0.9,IF(S1034="Согласовано",1,0))))</f>
        <v>1</v>
      </c>
      <c r="S1034" s="263" t="s">
        <v>1991</v>
      </c>
      <c r="T1034" s="263"/>
      <c r="U1034" s="263"/>
      <c r="V1034" s="263"/>
      <c r="W1034" s="263"/>
      <c r="X1034" s="263"/>
      <c r="Y1034" s="575"/>
      <c r="Z1034" s="575"/>
      <c r="AA1034" s="576">
        <f t="shared" si="92"/>
        <v>0</v>
      </c>
      <c r="AB1034" s="722"/>
    </row>
    <row r="1035" spans="1:28" ht="15.75" customHeight="1" x14ac:dyDescent="0.35">
      <c r="A1035" s="81" t="s">
        <v>4112</v>
      </c>
      <c r="C1035" s="83">
        <v>43851</v>
      </c>
      <c r="D1035" s="112">
        <v>43872</v>
      </c>
      <c r="E1035" s="570"/>
      <c r="F1035" s="88" t="s">
        <v>4113</v>
      </c>
      <c r="G1035" s="88" t="s">
        <v>154</v>
      </c>
      <c r="H1035" s="81" t="s">
        <v>220</v>
      </c>
      <c r="I1035" s="98" t="s">
        <v>730</v>
      </c>
      <c r="J1035" s="75">
        <f t="shared" si="95"/>
        <v>1</v>
      </c>
      <c r="K1035" s="76" t="s">
        <v>211</v>
      </c>
      <c r="N1035" s="78" t="s">
        <v>18</v>
      </c>
      <c r="Q1035" s="78" t="s">
        <v>2447</v>
      </c>
      <c r="R1035" s="75">
        <f t="shared" si="96"/>
        <v>1</v>
      </c>
      <c r="S1035" s="263" t="s">
        <v>1991</v>
      </c>
      <c r="T1035" s="263"/>
      <c r="U1035" s="263"/>
      <c r="V1035" s="263"/>
      <c r="W1035" s="263"/>
      <c r="X1035" s="263"/>
      <c r="Y1035" s="575"/>
      <c r="Z1035" s="575"/>
      <c r="AA1035" s="576">
        <f t="shared" si="92"/>
        <v>0</v>
      </c>
      <c r="AB1035" s="722"/>
    </row>
    <row r="1036" spans="1:28" ht="15.75" customHeight="1" x14ac:dyDescent="0.35">
      <c r="A1036" s="81" t="s">
        <v>4116</v>
      </c>
      <c r="C1036" s="83">
        <v>43851</v>
      </c>
      <c r="D1036" s="112">
        <v>43872</v>
      </c>
      <c r="E1036" s="570"/>
      <c r="F1036" s="88" t="s">
        <v>4117</v>
      </c>
      <c r="G1036" s="88" t="s">
        <v>154</v>
      </c>
      <c r="H1036" s="81" t="s">
        <v>220</v>
      </c>
      <c r="I1036" s="98" t="s">
        <v>2516</v>
      </c>
      <c r="J1036" s="75">
        <f t="shared" si="95"/>
        <v>1</v>
      </c>
      <c r="K1036" s="76" t="s">
        <v>211</v>
      </c>
      <c r="N1036" s="78" t="s">
        <v>17</v>
      </c>
      <c r="Q1036" s="78" t="s">
        <v>2447</v>
      </c>
      <c r="R1036" s="75">
        <f t="shared" si="96"/>
        <v>1</v>
      </c>
      <c r="S1036" s="263" t="s">
        <v>1991</v>
      </c>
      <c r="T1036" s="263"/>
      <c r="U1036" s="263"/>
      <c r="V1036" s="263"/>
      <c r="W1036" s="263"/>
      <c r="X1036" s="263"/>
      <c r="Y1036" s="575"/>
      <c r="Z1036" s="575"/>
      <c r="AA1036" s="576">
        <f t="shared" si="92"/>
        <v>0</v>
      </c>
      <c r="AB1036" s="722"/>
    </row>
    <row r="1037" spans="1:28" ht="15.75" customHeight="1" x14ac:dyDescent="0.35">
      <c r="A1037" s="81" t="s">
        <v>4118</v>
      </c>
      <c r="C1037" s="83">
        <v>43851</v>
      </c>
      <c r="D1037" s="112">
        <v>43872</v>
      </c>
      <c r="E1037" s="570"/>
      <c r="F1037" s="88" t="s">
        <v>4119</v>
      </c>
      <c r="G1037" s="88" t="s">
        <v>158</v>
      </c>
      <c r="H1037" s="81" t="s">
        <v>220</v>
      </c>
      <c r="I1037" s="98" t="s">
        <v>981</v>
      </c>
      <c r="J1037" s="75">
        <f t="shared" si="95"/>
        <v>1</v>
      </c>
      <c r="K1037" s="76" t="s">
        <v>211</v>
      </c>
      <c r="N1037" s="78" t="s">
        <v>17</v>
      </c>
      <c r="Q1037" s="78" t="s">
        <v>2447</v>
      </c>
      <c r="R1037" s="75">
        <f t="shared" si="96"/>
        <v>1</v>
      </c>
      <c r="S1037" s="263" t="s">
        <v>1991</v>
      </c>
      <c r="T1037" s="263"/>
      <c r="U1037" s="263"/>
      <c r="V1037" s="263"/>
      <c r="W1037" s="263"/>
      <c r="X1037" s="263"/>
      <c r="Y1037" s="575"/>
      <c r="Z1037" s="575"/>
      <c r="AA1037" s="576">
        <f t="shared" si="92"/>
        <v>0</v>
      </c>
      <c r="AB1037" s="722"/>
    </row>
    <row r="1038" spans="1:28" ht="15.75" customHeight="1" x14ac:dyDescent="0.35">
      <c r="A1038" s="81" t="s">
        <v>4120</v>
      </c>
      <c r="C1038" s="83">
        <v>43851</v>
      </c>
      <c r="D1038" s="112">
        <v>43873</v>
      </c>
      <c r="E1038" s="570"/>
      <c r="F1038" s="88" t="s">
        <v>4121</v>
      </c>
      <c r="G1038" s="88" t="s">
        <v>160</v>
      </c>
      <c r="H1038" s="81" t="s">
        <v>220</v>
      </c>
      <c r="I1038" s="98" t="s">
        <v>2516</v>
      </c>
      <c r="J1038" s="75">
        <f t="shared" si="95"/>
        <v>1</v>
      </c>
      <c r="K1038" s="76" t="s">
        <v>211</v>
      </c>
      <c r="L1038" s="99" t="s">
        <v>4191</v>
      </c>
      <c r="N1038" s="78" t="s">
        <v>17</v>
      </c>
      <c r="Q1038" s="78" t="s">
        <v>2447</v>
      </c>
      <c r="R1038" s="75">
        <f t="shared" si="96"/>
        <v>1</v>
      </c>
      <c r="S1038" s="263" t="s">
        <v>1991</v>
      </c>
      <c r="T1038" s="263"/>
      <c r="U1038" s="263"/>
      <c r="V1038" s="263"/>
      <c r="W1038" s="263"/>
      <c r="X1038" s="263"/>
      <c r="Y1038" s="575"/>
      <c r="Z1038" s="575"/>
      <c r="AA1038" s="576">
        <f t="shared" si="92"/>
        <v>0</v>
      </c>
      <c r="AB1038" s="722"/>
    </row>
    <row r="1039" spans="1:28" ht="15.75" customHeight="1" x14ac:dyDescent="0.35">
      <c r="A1039" s="81" t="s">
        <v>4143</v>
      </c>
      <c r="C1039" s="83">
        <v>43847</v>
      </c>
      <c r="D1039" s="112">
        <v>43871</v>
      </c>
      <c r="E1039" s="570"/>
      <c r="F1039" s="88" t="s">
        <v>4144</v>
      </c>
      <c r="G1039" s="88" t="s">
        <v>156</v>
      </c>
      <c r="H1039" s="81" t="s">
        <v>220</v>
      </c>
      <c r="J1039" s="75">
        <f t="shared" si="95"/>
        <v>1</v>
      </c>
      <c r="K1039" s="76" t="s">
        <v>211</v>
      </c>
      <c r="N1039" s="78" t="s">
        <v>19</v>
      </c>
      <c r="Q1039" s="78" t="s">
        <v>4142</v>
      </c>
      <c r="R1039" s="75">
        <f t="shared" si="96"/>
        <v>1</v>
      </c>
      <c r="S1039" s="263" t="s">
        <v>1991</v>
      </c>
      <c r="T1039" s="263"/>
      <c r="U1039" s="263"/>
      <c r="V1039" s="263"/>
      <c r="W1039" s="263"/>
      <c r="X1039" s="263"/>
      <c r="Y1039" s="575"/>
      <c r="Z1039" s="575"/>
      <c r="AA1039" s="576">
        <f t="shared" si="92"/>
        <v>0</v>
      </c>
      <c r="AB1039" s="722"/>
    </row>
    <row r="1040" spans="1:28" ht="15.75" customHeight="1" x14ac:dyDescent="0.35">
      <c r="A1040" s="81" t="s">
        <v>4145</v>
      </c>
      <c r="C1040" s="83">
        <v>43847</v>
      </c>
      <c r="D1040" s="83">
        <v>43871</v>
      </c>
      <c r="E1040" s="570"/>
      <c r="F1040" s="88" t="s">
        <v>4146</v>
      </c>
      <c r="G1040" s="88" t="s">
        <v>152</v>
      </c>
      <c r="H1040" s="81" t="s">
        <v>220</v>
      </c>
      <c r="J1040" s="75">
        <f t="shared" si="95"/>
        <v>1</v>
      </c>
      <c r="K1040" s="76" t="s">
        <v>221</v>
      </c>
      <c r="Q1040" s="78" t="s">
        <v>4142</v>
      </c>
      <c r="R1040" s="75">
        <f t="shared" si="96"/>
        <v>1</v>
      </c>
      <c r="S1040" s="263" t="s">
        <v>1991</v>
      </c>
      <c r="T1040" s="263"/>
      <c r="U1040" s="263"/>
      <c r="V1040" s="263"/>
      <c r="W1040" s="263"/>
      <c r="X1040" s="263"/>
      <c r="Y1040" s="575"/>
      <c r="Z1040" s="575"/>
      <c r="AA1040" s="576">
        <f t="shared" si="92"/>
        <v>0</v>
      </c>
      <c r="AB1040" s="722"/>
    </row>
    <row r="1041" spans="1:28" ht="15.75" customHeight="1" x14ac:dyDescent="0.35">
      <c r="A1041" s="81" t="s">
        <v>4147</v>
      </c>
      <c r="C1041" s="83">
        <v>43850</v>
      </c>
      <c r="D1041" s="112">
        <v>43871</v>
      </c>
      <c r="E1041" s="570"/>
      <c r="F1041" s="88" t="s">
        <v>4148</v>
      </c>
      <c r="G1041" s="88" t="s">
        <v>156</v>
      </c>
      <c r="H1041" s="81" t="s">
        <v>220</v>
      </c>
      <c r="J1041" s="75">
        <f t="shared" si="95"/>
        <v>1</v>
      </c>
      <c r="K1041" s="76" t="s">
        <v>221</v>
      </c>
      <c r="Q1041" s="78" t="s">
        <v>4142</v>
      </c>
      <c r="R1041" s="75">
        <f t="shared" si="96"/>
        <v>1</v>
      </c>
      <c r="S1041" s="263" t="s">
        <v>1991</v>
      </c>
      <c r="T1041" s="263"/>
      <c r="U1041" s="263"/>
      <c r="V1041" s="263"/>
      <c r="W1041" s="263"/>
      <c r="X1041" s="263"/>
      <c r="Y1041" s="575"/>
      <c r="Z1041" s="575"/>
      <c r="AA1041" s="576">
        <f t="shared" si="92"/>
        <v>0</v>
      </c>
      <c r="AB1041" s="722"/>
    </row>
    <row r="1042" spans="1:28" ht="15.75" customHeight="1" x14ac:dyDescent="0.35">
      <c r="A1042" s="81" t="s">
        <v>4149</v>
      </c>
      <c r="C1042" s="83">
        <v>43826</v>
      </c>
      <c r="D1042" s="83">
        <v>43872</v>
      </c>
      <c r="E1042" s="570"/>
      <c r="F1042" s="88" t="s">
        <v>4150</v>
      </c>
      <c r="G1042" s="88" t="s">
        <v>168</v>
      </c>
      <c r="H1042" s="81" t="s">
        <v>220</v>
      </c>
      <c r="J1042" s="75">
        <f t="shared" si="95"/>
        <v>1</v>
      </c>
      <c r="K1042" s="76" t="s">
        <v>221</v>
      </c>
      <c r="Q1042" s="304" t="s">
        <v>4142</v>
      </c>
      <c r="R1042" s="75">
        <f t="shared" si="96"/>
        <v>1</v>
      </c>
      <c r="S1042" s="263" t="s">
        <v>1991</v>
      </c>
      <c r="T1042" s="263"/>
      <c r="U1042" s="263"/>
      <c r="V1042" s="263"/>
      <c r="W1042" s="263"/>
      <c r="X1042" s="263"/>
      <c r="Y1042" s="575"/>
      <c r="Z1042" s="575"/>
      <c r="AA1042" s="576">
        <f t="shared" si="92"/>
        <v>0</v>
      </c>
      <c r="AB1042" s="722"/>
    </row>
    <row r="1043" spans="1:28" ht="15.75" customHeight="1" x14ac:dyDescent="0.35">
      <c r="A1043" s="81" t="s">
        <v>4151</v>
      </c>
      <c r="C1043" s="83">
        <v>43826</v>
      </c>
      <c r="D1043" s="112">
        <v>43872</v>
      </c>
      <c r="E1043" s="570"/>
      <c r="F1043" s="88" t="s">
        <v>4152</v>
      </c>
      <c r="G1043" s="88" t="s">
        <v>149</v>
      </c>
      <c r="H1043" s="81" t="s">
        <v>220</v>
      </c>
      <c r="I1043" s="98" t="s">
        <v>722</v>
      </c>
      <c r="J1043" s="75">
        <f t="shared" si="95"/>
        <v>1</v>
      </c>
      <c r="K1043" s="76" t="s">
        <v>211</v>
      </c>
      <c r="N1043" s="78" t="s">
        <v>18</v>
      </c>
      <c r="Q1043" s="78" t="s">
        <v>4142</v>
      </c>
      <c r="R1043" s="75">
        <f t="shared" si="96"/>
        <v>1</v>
      </c>
      <c r="S1043" s="263" t="s">
        <v>1991</v>
      </c>
      <c r="T1043" s="263"/>
      <c r="U1043" s="263"/>
      <c r="V1043" s="263"/>
      <c r="W1043" s="263"/>
      <c r="X1043" s="263"/>
      <c r="Y1043" s="575"/>
      <c r="Z1043" s="575"/>
      <c r="AA1043" s="576">
        <f t="shared" si="92"/>
        <v>0</v>
      </c>
      <c r="AB1043" s="722"/>
    </row>
    <row r="1044" spans="1:28" ht="15.75" customHeight="1" x14ac:dyDescent="0.35">
      <c r="A1044" s="81" t="s">
        <v>4153</v>
      </c>
      <c r="C1044" s="83">
        <v>43829</v>
      </c>
      <c r="D1044" s="112">
        <v>43872</v>
      </c>
      <c r="E1044" s="570"/>
      <c r="F1044" s="88" t="s">
        <v>4154</v>
      </c>
      <c r="G1044" s="88" t="s">
        <v>154</v>
      </c>
      <c r="H1044" s="81" t="s">
        <v>220</v>
      </c>
      <c r="I1044" s="98" t="s">
        <v>722</v>
      </c>
      <c r="J1044" s="75">
        <f t="shared" si="95"/>
        <v>1</v>
      </c>
      <c r="K1044" s="76" t="s">
        <v>211</v>
      </c>
      <c r="N1044" s="78" t="s">
        <v>17</v>
      </c>
      <c r="Q1044" s="78" t="s">
        <v>4142</v>
      </c>
      <c r="R1044" s="75">
        <f t="shared" si="96"/>
        <v>1</v>
      </c>
      <c r="S1044" s="263" t="s">
        <v>1991</v>
      </c>
      <c r="T1044" s="263"/>
      <c r="U1044" s="263"/>
      <c r="V1044" s="263"/>
      <c r="W1044" s="263"/>
      <c r="X1044" s="263"/>
      <c r="Y1044" s="575"/>
      <c r="Z1044" s="575"/>
      <c r="AA1044" s="576">
        <f t="shared" si="92"/>
        <v>0</v>
      </c>
      <c r="AB1044" s="722"/>
    </row>
    <row r="1045" spans="1:28" ht="15.75" customHeight="1" x14ac:dyDescent="0.35">
      <c r="A1045" s="81" t="s">
        <v>4155</v>
      </c>
      <c r="C1045" s="83">
        <v>43850</v>
      </c>
      <c r="D1045" s="112">
        <v>43872</v>
      </c>
      <c r="E1045" s="570"/>
      <c r="F1045" s="88" t="s">
        <v>4156</v>
      </c>
      <c r="G1045" s="88" t="s">
        <v>181</v>
      </c>
      <c r="H1045" s="81" t="s">
        <v>220</v>
      </c>
      <c r="I1045" s="98" t="s">
        <v>3549</v>
      </c>
      <c r="J1045" s="75">
        <f t="shared" si="95"/>
        <v>1</v>
      </c>
      <c r="K1045" s="76" t="s">
        <v>211</v>
      </c>
      <c r="N1045" s="78" t="s">
        <v>17</v>
      </c>
      <c r="Q1045" s="78" t="s">
        <v>4142</v>
      </c>
      <c r="R1045" s="75">
        <f t="shared" si="96"/>
        <v>1</v>
      </c>
      <c r="S1045" s="263" t="s">
        <v>1991</v>
      </c>
      <c r="T1045" s="263"/>
      <c r="U1045" s="263"/>
      <c r="V1045" s="263"/>
      <c r="W1045" s="263"/>
      <c r="X1045" s="263"/>
      <c r="Y1045" s="575"/>
      <c r="Z1045" s="575"/>
      <c r="AA1045" s="576">
        <f t="shared" si="92"/>
        <v>0</v>
      </c>
      <c r="AB1045" s="722"/>
    </row>
    <row r="1046" spans="1:28" ht="15.75" customHeight="1" x14ac:dyDescent="0.35">
      <c r="A1046" s="81" t="s">
        <v>4157</v>
      </c>
      <c r="C1046" s="83">
        <v>43850</v>
      </c>
      <c r="D1046" s="83">
        <v>43872</v>
      </c>
      <c r="E1046" s="570"/>
      <c r="F1046" s="88" t="s">
        <v>4158</v>
      </c>
      <c r="G1046" s="88" t="s">
        <v>149</v>
      </c>
      <c r="H1046" s="81" t="s">
        <v>220</v>
      </c>
      <c r="J1046" s="75">
        <f t="shared" si="95"/>
        <v>1</v>
      </c>
      <c r="K1046" s="76" t="s">
        <v>221</v>
      </c>
      <c r="Q1046" s="304" t="s">
        <v>4142</v>
      </c>
      <c r="R1046" s="75">
        <f t="shared" si="96"/>
        <v>1</v>
      </c>
      <c r="S1046" s="263" t="s">
        <v>1991</v>
      </c>
      <c r="T1046" s="263"/>
      <c r="U1046" s="263"/>
      <c r="V1046" s="263"/>
      <c r="W1046" s="263"/>
      <c r="X1046" s="263"/>
      <c r="Y1046" s="575"/>
      <c r="Z1046" s="575"/>
      <c r="AA1046" s="576">
        <f t="shared" si="92"/>
        <v>0</v>
      </c>
      <c r="AB1046" s="722"/>
    </row>
    <row r="1047" spans="1:28" ht="15.75" customHeight="1" x14ac:dyDescent="0.35">
      <c r="A1047" s="81" t="s">
        <v>4159</v>
      </c>
      <c r="C1047" s="83">
        <v>43850</v>
      </c>
      <c r="D1047" s="112">
        <v>43872</v>
      </c>
      <c r="E1047" s="570"/>
      <c r="F1047" s="88" t="s">
        <v>4160</v>
      </c>
      <c r="G1047" s="88" t="s">
        <v>158</v>
      </c>
      <c r="H1047" s="81" t="s">
        <v>220</v>
      </c>
      <c r="I1047" s="98" t="s">
        <v>656</v>
      </c>
      <c r="J1047" s="75">
        <f t="shared" si="95"/>
        <v>1</v>
      </c>
      <c r="K1047" s="76" t="s">
        <v>211</v>
      </c>
      <c r="N1047" s="78" t="s">
        <v>17</v>
      </c>
      <c r="Q1047" s="78" t="s">
        <v>4142</v>
      </c>
      <c r="R1047" s="75">
        <f t="shared" si="96"/>
        <v>1</v>
      </c>
      <c r="S1047" s="263" t="s">
        <v>1991</v>
      </c>
      <c r="T1047" s="263"/>
      <c r="U1047" s="263"/>
      <c r="V1047" s="263"/>
      <c r="W1047" s="263"/>
      <c r="X1047" s="263"/>
      <c r="Y1047" s="575"/>
      <c r="Z1047" s="575"/>
      <c r="AA1047" s="576">
        <f t="shared" si="92"/>
        <v>0</v>
      </c>
      <c r="AB1047" s="722"/>
    </row>
    <row r="1048" spans="1:28" ht="15.75" customHeight="1" x14ac:dyDescent="0.35">
      <c r="A1048" s="81" t="s">
        <v>4161</v>
      </c>
      <c r="C1048" s="83">
        <v>43850</v>
      </c>
      <c r="D1048" s="112">
        <v>43872</v>
      </c>
      <c r="E1048" s="570"/>
      <c r="F1048" s="88" t="s">
        <v>4162</v>
      </c>
      <c r="G1048" s="88" t="s">
        <v>158</v>
      </c>
      <c r="H1048" s="81" t="s">
        <v>220</v>
      </c>
      <c r="I1048" s="98" t="s">
        <v>2516</v>
      </c>
      <c r="J1048" s="75">
        <f t="shared" si="95"/>
        <v>1</v>
      </c>
      <c r="K1048" s="76" t="s">
        <v>211</v>
      </c>
      <c r="N1048" s="78" t="s">
        <v>17</v>
      </c>
      <c r="Q1048" s="78" t="s">
        <v>4142</v>
      </c>
      <c r="R1048" s="75">
        <f t="shared" si="96"/>
        <v>1</v>
      </c>
      <c r="S1048" s="263" t="s">
        <v>1991</v>
      </c>
      <c r="T1048" s="263"/>
      <c r="U1048" s="263"/>
      <c r="V1048" s="263"/>
      <c r="W1048" s="263"/>
      <c r="X1048" s="263"/>
      <c r="Y1048" s="575"/>
      <c r="Z1048" s="575"/>
      <c r="AA1048" s="576">
        <f t="shared" si="92"/>
        <v>0</v>
      </c>
      <c r="AB1048" s="722"/>
    </row>
    <row r="1049" spans="1:28" ht="15.75" customHeight="1" x14ac:dyDescent="0.35">
      <c r="A1049" s="81" t="s">
        <v>4163</v>
      </c>
      <c r="C1049" s="83">
        <v>43851</v>
      </c>
      <c r="D1049" s="83">
        <v>43872</v>
      </c>
      <c r="E1049" s="570"/>
      <c r="F1049" s="88" t="s">
        <v>4164</v>
      </c>
      <c r="G1049" s="88" t="s">
        <v>168</v>
      </c>
      <c r="H1049" s="81" t="s">
        <v>220</v>
      </c>
      <c r="J1049" s="75">
        <f t="shared" si="95"/>
        <v>1</v>
      </c>
      <c r="K1049" s="76" t="s">
        <v>221</v>
      </c>
      <c r="Q1049" s="78" t="s">
        <v>4142</v>
      </c>
      <c r="R1049" s="75">
        <f t="shared" si="96"/>
        <v>1</v>
      </c>
      <c r="S1049" s="263" t="s">
        <v>1991</v>
      </c>
      <c r="T1049" s="263"/>
      <c r="U1049" s="263"/>
      <c r="V1049" s="263"/>
      <c r="W1049" s="263"/>
      <c r="X1049" s="263"/>
      <c r="Y1049" s="575"/>
      <c r="Z1049" s="575"/>
      <c r="AA1049" s="576">
        <f t="shared" si="92"/>
        <v>0</v>
      </c>
      <c r="AB1049" s="722"/>
    </row>
    <row r="1050" spans="1:28" ht="15.75" customHeight="1" x14ac:dyDescent="0.35">
      <c r="A1050" s="81" t="s">
        <v>4165</v>
      </c>
      <c r="C1050" s="83">
        <v>43829</v>
      </c>
      <c r="D1050" s="112">
        <v>43873</v>
      </c>
      <c r="E1050" s="570"/>
      <c r="F1050" s="88" t="s">
        <v>4166</v>
      </c>
      <c r="G1050" s="88" t="s">
        <v>160</v>
      </c>
      <c r="H1050" s="81" t="s">
        <v>220</v>
      </c>
      <c r="I1050" s="98" t="s">
        <v>649</v>
      </c>
      <c r="J1050" s="75">
        <f t="shared" si="95"/>
        <v>1</v>
      </c>
      <c r="K1050" s="76" t="s">
        <v>211</v>
      </c>
      <c r="N1050" s="78" t="s">
        <v>18</v>
      </c>
      <c r="Q1050" s="78" t="s">
        <v>4142</v>
      </c>
      <c r="R1050" s="75">
        <f t="shared" si="96"/>
        <v>1</v>
      </c>
      <c r="S1050" s="263" t="s">
        <v>1991</v>
      </c>
      <c r="T1050" s="263"/>
      <c r="U1050" s="263"/>
      <c r="V1050" s="263"/>
      <c r="W1050" s="263"/>
      <c r="X1050" s="263"/>
      <c r="Y1050" s="575"/>
      <c r="Z1050" s="575"/>
      <c r="AA1050" s="576">
        <f t="shared" si="92"/>
        <v>0</v>
      </c>
      <c r="AB1050" s="722"/>
    </row>
    <row r="1051" spans="1:28" ht="15.75" customHeight="1" x14ac:dyDescent="0.35">
      <c r="A1051" s="81" t="s">
        <v>4167</v>
      </c>
      <c r="C1051" s="83">
        <v>43829</v>
      </c>
      <c r="D1051" s="112">
        <v>43873</v>
      </c>
      <c r="E1051" s="570"/>
      <c r="F1051" s="88" t="s">
        <v>4168</v>
      </c>
      <c r="G1051" s="88" t="s">
        <v>154</v>
      </c>
      <c r="H1051" s="81" t="s">
        <v>275</v>
      </c>
      <c r="I1051" s="98" t="s">
        <v>664</v>
      </c>
      <c r="J1051" s="75">
        <f t="shared" si="95"/>
        <v>1</v>
      </c>
      <c r="K1051" s="76" t="s">
        <v>211</v>
      </c>
      <c r="L1051" s="99" t="s">
        <v>4193</v>
      </c>
      <c r="N1051" s="78" t="s">
        <v>17</v>
      </c>
      <c r="Q1051" s="78" t="s">
        <v>4142</v>
      </c>
      <c r="R1051" s="75">
        <f t="shared" si="96"/>
        <v>1</v>
      </c>
      <c r="S1051" s="263" t="s">
        <v>1991</v>
      </c>
      <c r="T1051" s="263"/>
      <c r="U1051" s="263"/>
      <c r="V1051" s="263"/>
      <c r="W1051" s="263"/>
      <c r="X1051" s="263"/>
      <c r="Y1051" s="575"/>
      <c r="Z1051" s="575"/>
      <c r="AA1051" s="576">
        <f t="shared" si="92"/>
        <v>0</v>
      </c>
      <c r="AB1051" s="722"/>
    </row>
    <row r="1052" spans="1:28" ht="15.75" customHeight="1" x14ac:dyDescent="0.35">
      <c r="A1052" s="81" t="s">
        <v>4169</v>
      </c>
      <c r="C1052" s="83">
        <v>43852</v>
      </c>
      <c r="D1052" s="112">
        <v>43873</v>
      </c>
      <c r="E1052" s="570"/>
      <c r="F1052" s="88" t="s">
        <v>4170</v>
      </c>
      <c r="G1052" s="88" t="s">
        <v>158</v>
      </c>
      <c r="H1052" s="81" t="s">
        <v>220</v>
      </c>
      <c r="I1052" s="98" t="s">
        <v>1004</v>
      </c>
      <c r="J1052" s="75">
        <f t="shared" si="95"/>
        <v>1</v>
      </c>
      <c r="K1052" s="76" t="s">
        <v>211</v>
      </c>
      <c r="N1052" s="78" t="s">
        <v>19</v>
      </c>
      <c r="Q1052" s="78" t="s">
        <v>4142</v>
      </c>
      <c r="R1052" s="75">
        <f t="shared" si="96"/>
        <v>1</v>
      </c>
      <c r="S1052" s="263" t="s">
        <v>1991</v>
      </c>
      <c r="T1052" s="263"/>
      <c r="U1052" s="263"/>
      <c r="V1052" s="263"/>
      <c r="W1052" s="263"/>
      <c r="X1052" s="263"/>
      <c r="Y1052" s="575"/>
      <c r="Z1052" s="575"/>
      <c r="AA1052" s="576">
        <f t="shared" si="92"/>
        <v>0</v>
      </c>
      <c r="AB1052" s="722"/>
    </row>
    <row r="1053" spans="1:28" ht="15.75" customHeight="1" x14ac:dyDescent="0.35">
      <c r="A1053" s="81" t="s">
        <v>4171</v>
      </c>
      <c r="C1053" s="83">
        <v>43851</v>
      </c>
      <c r="D1053" s="83">
        <v>43873</v>
      </c>
      <c r="E1053" s="570"/>
      <c r="F1053" s="88" t="s">
        <v>4172</v>
      </c>
      <c r="G1053" s="88" t="s">
        <v>195</v>
      </c>
      <c r="H1053" s="81" t="s">
        <v>220</v>
      </c>
      <c r="J1053" s="75">
        <f t="shared" si="95"/>
        <v>1</v>
      </c>
      <c r="K1053" s="76" t="s">
        <v>221</v>
      </c>
      <c r="Q1053" s="78" t="s">
        <v>4142</v>
      </c>
      <c r="R1053" s="75">
        <f t="shared" si="96"/>
        <v>1</v>
      </c>
      <c r="S1053" s="263" t="s">
        <v>1991</v>
      </c>
      <c r="T1053" s="263"/>
      <c r="U1053" s="263"/>
      <c r="V1053" s="263"/>
      <c r="W1053" s="263"/>
      <c r="X1053" s="263"/>
      <c r="Y1053" s="575"/>
      <c r="Z1053" s="575"/>
      <c r="AA1053" s="576">
        <f t="shared" si="92"/>
        <v>0</v>
      </c>
      <c r="AB1053" s="722"/>
    </row>
    <row r="1054" spans="1:28" ht="15.75" customHeight="1" x14ac:dyDescent="0.35">
      <c r="A1054" s="81" t="s">
        <v>4173</v>
      </c>
      <c r="C1054" s="83">
        <v>43852</v>
      </c>
      <c r="D1054" s="83">
        <v>43873</v>
      </c>
      <c r="E1054" s="570"/>
      <c r="F1054" s="88" t="s">
        <v>4174</v>
      </c>
      <c r="G1054" s="88" t="s">
        <v>176</v>
      </c>
      <c r="H1054" s="81" t="s">
        <v>220</v>
      </c>
      <c r="J1054" s="75">
        <f t="shared" si="95"/>
        <v>1</v>
      </c>
      <c r="K1054" s="76" t="s">
        <v>221</v>
      </c>
      <c r="Q1054" s="78" t="s">
        <v>4142</v>
      </c>
      <c r="R1054" s="75">
        <f t="shared" si="96"/>
        <v>1</v>
      </c>
      <c r="S1054" s="263" t="s">
        <v>1991</v>
      </c>
      <c r="T1054" s="263"/>
      <c r="U1054" s="263"/>
      <c r="V1054" s="263"/>
      <c r="W1054" s="263"/>
      <c r="X1054" s="263"/>
      <c r="Y1054" s="575"/>
      <c r="Z1054" s="575"/>
      <c r="AA1054" s="576">
        <f t="shared" si="92"/>
        <v>0</v>
      </c>
      <c r="AB1054" s="722"/>
    </row>
    <row r="1055" spans="1:28" ht="15.75" customHeight="1" x14ac:dyDescent="0.35">
      <c r="A1055" s="81" t="s">
        <v>4175</v>
      </c>
      <c r="C1055" s="83">
        <v>43852</v>
      </c>
      <c r="D1055" s="112">
        <v>43873</v>
      </c>
      <c r="E1055" s="570"/>
      <c r="F1055" s="88" t="s">
        <v>4176</v>
      </c>
      <c r="G1055" s="88" t="s">
        <v>186</v>
      </c>
      <c r="H1055" s="81" t="s">
        <v>220</v>
      </c>
      <c r="I1055" s="98" t="s">
        <v>656</v>
      </c>
      <c r="J1055" s="75">
        <f t="shared" si="95"/>
        <v>1</v>
      </c>
      <c r="K1055" s="76" t="s">
        <v>211</v>
      </c>
      <c r="N1055" s="78" t="s">
        <v>17</v>
      </c>
      <c r="Q1055" s="78" t="s">
        <v>4142</v>
      </c>
      <c r="R1055" s="75">
        <f t="shared" si="96"/>
        <v>1</v>
      </c>
      <c r="S1055" s="263" t="s">
        <v>1991</v>
      </c>
      <c r="T1055" s="263"/>
      <c r="U1055" s="263"/>
      <c r="V1055" s="263"/>
      <c r="W1055" s="263"/>
      <c r="X1055" s="263"/>
      <c r="Y1055" s="575"/>
      <c r="Z1055" s="575"/>
      <c r="AA1055" s="576">
        <f t="shared" si="92"/>
        <v>0</v>
      </c>
      <c r="AB1055" s="722"/>
    </row>
    <row r="1056" spans="1:28" ht="15.75" customHeight="1" x14ac:dyDescent="0.35">
      <c r="A1056" s="98" t="s">
        <v>3830</v>
      </c>
      <c r="C1056" s="83">
        <v>43844</v>
      </c>
      <c r="D1056" s="112">
        <v>43880</v>
      </c>
      <c r="E1056" s="570"/>
      <c r="F1056" s="255" t="s">
        <v>3831</v>
      </c>
      <c r="G1056" s="88" t="s">
        <v>181</v>
      </c>
      <c r="H1056" s="98" t="s">
        <v>220</v>
      </c>
      <c r="I1056" s="98" t="s">
        <v>722</v>
      </c>
      <c r="J1056" s="75">
        <f t="shared" si="95"/>
        <v>1</v>
      </c>
      <c r="K1056" s="76" t="s">
        <v>211</v>
      </c>
      <c r="N1056" s="78" t="s">
        <v>18</v>
      </c>
      <c r="Q1056" s="78" t="s">
        <v>2056</v>
      </c>
      <c r="R1056" s="75">
        <f t="shared" si="96"/>
        <v>1</v>
      </c>
      <c r="S1056" s="263" t="s">
        <v>1991</v>
      </c>
      <c r="T1056" s="263"/>
      <c r="U1056" s="263"/>
      <c r="V1056" s="263"/>
      <c r="W1056" s="263"/>
      <c r="X1056" s="263"/>
      <c r="Y1056" s="575"/>
      <c r="Z1056" s="575"/>
      <c r="AA1056" s="576">
        <f t="shared" ref="AA1056:AA1094" si="97">Z1056-Y1056</f>
        <v>0</v>
      </c>
      <c r="AB1056" s="722"/>
    </row>
    <row r="1057" spans="1:28" ht="15.75" customHeight="1" x14ac:dyDescent="0.35">
      <c r="A1057" s="81" t="s">
        <v>3832</v>
      </c>
      <c r="C1057" s="83">
        <v>43844</v>
      </c>
      <c r="D1057" s="112">
        <v>43880</v>
      </c>
      <c r="E1057" s="570"/>
      <c r="F1057" s="88" t="s">
        <v>3833</v>
      </c>
      <c r="G1057" s="88" t="s">
        <v>160</v>
      </c>
      <c r="H1057" s="98" t="s">
        <v>220</v>
      </c>
      <c r="I1057" s="98" t="s">
        <v>648</v>
      </c>
      <c r="J1057" s="75">
        <f t="shared" si="95"/>
        <v>1</v>
      </c>
      <c r="K1057" s="76" t="s">
        <v>211</v>
      </c>
      <c r="N1057" s="78" t="s">
        <v>17</v>
      </c>
      <c r="Q1057" s="78" t="s">
        <v>2056</v>
      </c>
      <c r="R1057" s="75">
        <f t="shared" si="96"/>
        <v>1</v>
      </c>
      <c r="S1057" s="263" t="s">
        <v>1991</v>
      </c>
      <c r="T1057" s="263"/>
      <c r="U1057" s="263"/>
      <c r="V1057" s="263"/>
      <c r="W1057" s="263"/>
      <c r="X1057" s="263"/>
      <c r="Y1057" s="575"/>
      <c r="Z1057" s="575"/>
      <c r="AA1057" s="576">
        <f t="shared" si="97"/>
        <v>0</v>
      </c>
      <c r="AB1057" s="722"/>
    </row>
    <row r="1058" spans="1:28" ht="15.75" customHeight="1" x14ac:dyDescent="0.35">
      <c r="A1058" s="81" t="s">
        <v>3834</v>
      </c>
      <c r="C1058" s="83">
        <v>43844</v>
      </c>
      <c r="D1058" s="112">
        <v>43880</v>
      </c>
      <c r="E1058" s="570"/>
      <c r="F1058" s="88" t="s">
        <v>3835</v>
      </c>
      <c r="G1058" s="88" t="s">
        <v>152</v>
      </c>
      <c r="H1058" s="98" t="s">
        <v>220</v>
      </c>
      <c r="I1058" s="98" t="s">
        <v>648</v>
      </c>
      <c r="J1058" s="75">
        <f t="shared" si="95"/>
        <v>1</v>
      </c>
      <c r="K1058" s="76" t="s">
        <v>211</v>
      </c>
      <c r="N1058" s="78" t="s">
        <v>17</v>
      </c>
      <c r="Q1058" s="78" t="s">
        <v>2056</v>
      </c>
      <c r="R1058" s="75">
        <f t="shared" si="96"/>
        <v>1</v>
      </c>
      <c r="S1058" s="263" t="s">
        <v>1991</v>
      </c>
      <c r="T1058" s="263"/>
      <c r="U1058" s="263"/>
      <c r="V1058" s="263"/>
      <c r="W1058" s="263"/>
      <c r="X1058" s="263"/>
      <c r="Y1058" s="575"/>
      <c r="Z1058" s="575"/>
      <c r="AA1058" s="576">
        <f t="shared" si="97"/>
        <v>0</v>
      </c>
      <c r="AB1058" s="722"/>
    </row>
    <row r="1059" spans="1:28" ht="15.75" customHeight="1" x14ac:dyDescent="0.35">
      <c r="A1059" s="98" t="s">
        <v>3838</v>
      </c>
      <c r="C1059" s="83">
        <v>43844</v>
      </c>
      <c r="D1059" s="112">
        <v>43879</v>
      </c>
      <c r="E1059" s="570"/>
      <c r="F1059" s="88" t="s">
        <v>3839</v>
      </c>
      <c r="G1059" s="88" t="s">
        <v>158</v>
      </c>
      <c r="H1059" s="81" t="s">
        <v>220</v>
      </c>
      <c r="I1059" s="98" t="s">
        <v>649</v>
      </c>
      <c r="J1059" s="75">
        <f t="shared" si="95"/>
        <v>1</v>
      </c>
      <c r="K1059" s="76" t="s">
        <v>211</v>
      </c>
      <c r="N1059" s="78" t="s">
        <v>18</v>
      </c>
      <c r="Q1059" s="78" t="s">
        <v>2056</v>
      </c>
      <c r="R1059" s="75">
        <f t="shared" si="96"/>
        <v>1</v>
      </c>
      <c r="S1059" s="263" t="s">
        <v>1991</v>
      </c>
      <c r="T1059" s="263"/>
      <c r="U1059" s="263"/>
      <c r="V1059" s="263"/>
      <c r="W1059" s="263"/>
      <c r="X1059" s="263"/>
      <c r="Y1059" s="575"/>
      <c r="Z1059" s="575"/>
      <c r="AA1059" s="576">
        <f t="shared" si="97"/>
        <v>0</v>
      </c>
      <c r="AB1059" s="722"/>
    </row>
    <row r="1060" spans="1:28" ht="15.75" customHeight="1" x14ac:dyDescent="0.35">
      <c r="A1060" s="81" t="s">
        <v>3842</v>
      </c>
      <c r="C1060" s="83">
        <v>43844</v>
      </c>
      <c r="D1060" s="112">
        <v>43879</v>
      </c>
      <c r="E1060" s="570"/>
      <c r="F1060" s="88" t="s">
        <v>3843</v>
      </c>
      <c r="G1060" s="88" t="s">
        <v>152</v>
      </c>
      <c r="H1060" s="81" t="s">
        <v>220</v>
      </c>
      <c r="J1060" s="75">
        <f t="shared" si="95"/>
        <v>1</v>
      </c>
      <c r="K1060" s="76" t="s">
        <v>211</v>
      </c>
      <c r="Q1060" s="78" t="s">
        <v>2056</v>
      </c>
      <c r="R1060" s="75">
        <f t="shared" si="96"/>
        <v>1</v>
      </c>
      <c r="S1060" s="263" t="s">
        <v>1991</v>
      </c>
      <c r="T1060" s="263"/>
      <c r="U1060" s="263"/>
      <c r="V1060" s="263"/>
      <c r="W1060" s="263"/>
      <c r="X1060" s="263"/>
      <c r="Y1060" s="575"/>
      <c r="Z1060" s="575"/>
      <c r="AA1060" s="576">
        <f t="shared" si="97"/>
        <v>0</v>
      </c>
      <c r="AB1060" s="722"/>
    </row>
    <row r="1061" spans="1:28" ht="15.75" customHeight="1" x14ac:dyDescent="0.35">
      <c r="A1061" s="98" t="s">
        <v>3846</v>
      </c>
      <c r="C1061" s="83">
        <v>43845</v>
      </c>
      <c r="D1061" s="112">
        <v>43881</v>
      </c>
      <c r="E1061" s="570"/>
      <c r="F1061" s="88" t="s">
        <v>3847</v>
      </c>
      <c r="G1061" s="88" t="s">
        <v>156</v>
      </c>
      <c r="H1061" s="98" t="s">
        <v>220</v>
      </c>
      <c r="J1061" s="75">
        <f t="shared" ref="J1061:J1071" si="98">IF(OR(K1061="Документы готовы",K1061="Запрос в ФО",K1061="ЭЗ",K1061="РЕШ",K1061="РЕШ шаблон"),0.1,IF(OR(K1061="ЭЗ согласование",K1061="РЕШ согласование"),0.3,IF(OR(K1061="ЭЗ согласовано",K1061="РЕШ согласовано",K1061="РЕШ подписано"),0.6,IF(OR(K1061="ЭЗ ПР согласование",K1061="РЕШ УВ согласование"),0.9,IF(OR(K1061="ЭЗ ПР DONE",K1061="РЕШ УВ DONE"),1,0)))))</f>
        <v>1</v>
      </c>
      <c r="K1061" s="76" t="s">
        <v>211</v>
      </c>
      <c r="N1061" s="78" t="s">
        <v>18</v>
      </c>
      <c r="Q1061" s="78" t="s">
        <v>2056</v>
      </c>
      <c r="R1061" s="75">
        <f t="shared" si="96"/>
        <v>1</v>
      </c>
      <c r="S1061" s="263" t="s">
        <v>1991</v>
      </c>
      <c r="T1061" s="263"/>
      <c r="U1061" s="263"/>
      <c r="V1061" s="263"/>
      <c r="W1061" s="263"/>
      <c r="X1061" s="263"/>
      <c r="Y1061" s="575"/>
      <c r="Z1061" s="575"/>
      <c r="AA1061" s="576">
        <f t="shared" si="97"/>
        <v>0</v>
      </c>
      <c r="AB1061" s="722"/>
    </row>
    <row r="1062" spans="1:28" ht="15.75" customHeight="1" x14ac:dyDescent="0.35">
      <c r="A1062" s="98" t="s">
        <v>3848</v>
      </c>
      <c r="C1062" s="83">
        <v>43845</v>
      </c>
      <c r="D1062" s="112">
        <v>43881</v>
      </c>
      <c r="E1062" s="570"/>
      <c r="F1062" s="88" t="s">
        <v>3849</v>
      </c>
      <c r="G1062" s="88" t="s">
        <v>179</v>
      </c>
      <c r="H1062" s="98" t="s">
        <v>220</v>
      </c>
      <c r="I1062" s="98" t="s">
        <v>1308</v>
      </c>
      <c r="J1062" s="75">
        <f t="shared" si="98"/>
        <v>1</v>
      </c>
      <c r="K1062" s="76" t="s">
        <v>211</v>
      </c>
      <c r="N1062" s="78" t="s">
        <v>17</v>
      </c>
      <c r="Q1062" s="78" t="s">
        <v>2056</v>
      </c>
      <c r="R1062" s="75">
        <f t="shared" si="96"/>
        <v>1</v>
      </c>
      <c r="S1062" s="263" t="s">
        <v>1991</v>
      </c>
      <c r="T1062" s="263"/>
      <c r="U1062" s="263"/>
      <c r="V1062" s="263"/>
      <c r="W1062" s="263"/>
      <c r="X1062" s="263"/>
      <c r="Y1062" s="575"/>
      <c r="Z1062" s="575"/>
      <c r="AA1062" s="576">
        <f t="shared" si="97"/>
        <v>0</v>
      </c>
      <c r="AB1062" s="722"/>
    </row>
    <row r="1063" spans="1:28" ht="15.75" customHeight="1" x14ac:dyDescent="0.35">
      <c r="A1063" s="81" t="s">
        <v>3856</v>
      </c>
      <c r="C1063" s="83">
        <v>43847</v>
      </c>
      <c r="D1063" s="112">
        <v>43882</v>
      </c>
      <c r="E1063" s="570"/>
      <c r="F1063" s="88" t="s">
        <v>3857</v>
      </c>
      <c r="G1063" s="88" t="s">
        <v>149</v>
      </c>
      <c r="H1063" s="98" t="s">
        <v>220</v>
      </c>
      <c r="I1063" s="98" t="s">
        <v>722</v>
      </c>
      <c r="J1063" s="75">
        <f t="shared" si="98"/>
        <v>1</v>
      </c>
      <c r="K1063" s="76" t="s">
        <v>211</v>
      </c>
      <c r="N1063" s="78" t="s">
        <v>17</v>
      </c>
      <c r="Q1063" s="78" t="s">
        <v>2056</v>
      </c>
      <c r="R1063" s="75">
        <f t="shared" ref="R1063:R1071" si="99">IF(S1063="В работе",0.3,IF(S1063="Отписано",0.6,IF(S1063="На доработку",0.9,IF(S1063="Согласовано",1,0))))</f>
        <v>1</v>
      </c>
      <c r="S1063" s="263" t="s">
        <v>1991</v>
      </c>
      <c r="T1063" s="263"/>
      <c r="U1063" s="263"/>
      <c r="V1063" s="263"/>
      <c r="W1063" s="263"/>
      <c r="X1063" s="263"/>
      <c r="Y1063" s="575"/>
      <c r="Z1063" s="575"/>
      <c r="AA1063" s="576">
        <f t="shared" si="97"/>
        <v>0</v>
      </c>
      <c r="AB1063" s="722"/>
    </row>
    <row r="1064" spans="1:28" ht="15.75" customHeight="1" x14ac:dyDescent="0.35">
      <c r="A1064" s="98" t="s">
        <v>4000</v>
      </c>
      <c r="C1064" s="83">
        <v>43847</v>
      </c>
      <c r="D1064" s="112">
        <v>43886</v>
      </c>
      <c r="E1064" s="570"/>
      <c r="F1064" s="88" t="s">
        <v>4001</v>
      </c>
      <c r="G1064" s="88" t="s">
        <v>149</v>
      </c>
      <c r="H1064" s="81" t="s">
        <v>220</v>
      </c>
      <c r="I1064" s="98" t="s">
        <v>722</v>
      </c>
      <c r="J1064" s="75">
        <f t="shared" si="98"/>
        <v>1</v>
      </c>
      <c r="K1064" s="76" t="s">
        <v>211</v>
      </c>
      <c r="N1064" s="78" t="s">
        <v>18</v>
      </c>
      <c r="Q1064" s="78" t="s">
        <v>2056</v>
      </c>
      <c r="R1064" s="75">
        <f t="shared" si="99"/>
        <v>1</v>
      </c>
      <c r="S1064" s="263" t="s">
        <v>1991</v>
      </c>
      <c r="T1064" s="263"/>
      <c r="U1064" s="263"/>
      <c r="V1064" s="263"/>
      <c r="W1064" s="263"/>
      <c r="X1064" s="263"/>
      <c r="Y1064" s="575"/>
      <c r="Z1064" s="575"/>
      <c r="AA1064" s="576">
        <f t="shared" si="97"/>
        <v>0</v>
      </c>
      <c r="AB1064" s="722"/>
    </row>
    <row r="1065" spans="1:28" ht="15.75" customHeight="1" x14ac:dyDescent="0.35">
      <c r="A1065" s="81" t="s">
        <v>4004</v>
      </c>
      <c r="C1065" s="83">
        <v>43847</v>
      </c>
      <c r="D1065" s="83">
        <v>43886</v>
      </c>
      <c r="E1065" s="570"/>
      <c r="F1065" s="88" t="s">
        <v>4005</v>
      </c>
      <c r="G1065" s="88" t="s">
        <v>158</v>
      </c>
      <c r="H1065" s="81" t="s">
        <v>220</v>
      </c>
      <c r="J1065" s="75">
        <f t="shared" si="98"/>
        <v>1</v>
      </c>
      <c r="K1065" s="76" t="s">
        <v>211</v>
      </c>
      <c r="N1065" s="78" t="s">
        <v>19</v>
      </c>
      <c r="Q1065" s="78" t="s">
        <v>2056</v>
      </c>
      <c r="R1065" s="75">
        <f t="shared" si="99"/>
        <v>1</v>
      </c>
      <c r="S1065" s="263" t="s">
        <v>1991</v>
      </c>
      <c r="T1065" s="263"/>
      <c r="U1065" s="263"/>
      <c r="V1065" s="263"/>
      <c r="W1065" s="263"/>
      <c r="X1065" s="263"/>
      <c r="Y1065" s="575"/>
      <c r="Z1065" s="575"/>
      <c r="AA1065" s="576">
        <f t="shared" si="97"/>
        <v>0</v>
      </c>
      <c r="AB1065" s="722"/>
    </row>
    <row r="1066" spans="1:28" ht="15.75" customHeight="1" x14ac:dyDescent="0.35">
      <c r="A1066" s="98" t="s">
        <v>4196</v>
      </c>
      <c r="C1066" s="83">
        <v>43857</v>
      </c>
      <c r="D1066" s="112">
        <v>43879</v>
      </c>
      <c r="E1066" s="570"/>
      <c r="F1066" s="88" t="s">
        <v>4197</v>
      </c>
      <c r="G1066" s="88" t="s">
        <v>158</v>
      </c>
      <c r="H1066" s="81" t="s">
        <v>220</v>
      </c>
      <c r="I1066" s="98" t="s">
        <v>1213</v>
      </c>
      <c r="J1066" s="75">
        <f t="shared" si="98"/>
        <v>1</v>
      </c>
      <c r="K1066" s="76" t="s">
        <v>211</v>
      </c>
      <c r="Q1066" s="78" t="s">
        <v>2056</v>
      </c>
      <c r="R1066" s="75">
        <f t="shared" si="99"/>
        <v>1</v>
      </c>
      <c r="S1066" s="263" t="s">
        <v>1991</v>
      </c>
      <c r="T1066" s="263"/>
      <c r="U1066" s="263"/>
      <c r="V1066" s="263"/>
      <c r="W1066" s="263"/>
      <c r="X1066" s="263"/>
      <c r="Y1066" s="575"/>
      <c r="Z1066" s="575"/>
      <c r="AA1066" s="576">
        <f t="shared" si="97"/>
        <v>0</v>
      </c>
      <c r="AB1066" s="722"/>
    </row>
    <row r="1067" spans="1:28" ht="15.75" customHeight="1" x14ac:dyDescent="0.35">
      <c r="A1067" s="81" t="s">
        <v>4198</v>
      </c>
      <c r="C1067" s="83">
        <v>43857</v>
      </c>
      <c r="D1067" s="112">
        <v>43879</v>
      </c>
      <c r="E1067" s="570"/>
      <c r="F1067" s="88" t="s">
        <v>4199</v>
      </c>
      <c r="G1067" s="88" t="s">
        <v>177</v>
      </c>
      <c r="H1067" s="81" t="s">
        <v>220</v>
      </c>
      <c r="I1067" s="98" t="s">
        <v>656</v>
      </c>
      <c r="J1067" s="75">
        <f t="shared" si="98"/>
        <v>1</v>
      </c>
      <c r="K1067" s="76" t="s">
        <v>211</v>
      </c>
      <c r="Q1067" s="78" t="s">
        <v>2056</v>
      </c>
      <c r="R1067" s="75">
        <f t="shared" si="99"/>
        <v>1</v>
      </c>
      <c r="S1067" s="263" t="s">
        <v>1991</v>
      </c>
      <c r="T1067" s="263"/>
      <c r="U1067" s="263"/>
      <c r="V1067" s="263"/>
      <c r="W1067" s="263"/>
      <c r="X1067" s="263"/>
      <c r="Y1067" s="575"/>
      <c r="Z1067" s="575"/>
      <c r="AA1067" s="576">
        <f t="shared" si="97"/>
        <v>0</v>
      </c>
      <c r="AB1067" s="722"/>
    </row>
    <row r="1068" spans="1:28" ht="15.75" customHeight="1" x14ac:dyDescent="0.35">
      <c r="A1068" s="81" t="s">
        <v>4202</v>
      </c>
      <c r="C1068" s="83">
        <v>43858</v>
      </c>
      <c r="D1068" s="112">
        <v>43880</v>
      </c>
      <c r="E1068" s="570"/>
      <c r="F1068" s="88" t="s">
        <v>4203</v>
      </c>
      <c r="G1068" s="88" t="s">
        <v>154</v>
      </c>
      <c r="H1068" s="98" t="s">
        <v>220</v>
      </c>
      <c r="J1068" s="75">
        <f t="shared" si="98"/>
        <v>1</v>
      </c>
      <c r="K1068" s="76" t="s">
        <v>211</v>
      </c>
      <c r="N1068" s="78" t="s">
        <v>18</v>
      </c>
      <c r="Q1068" s="78" t="s">
        <v>2056</v>
      </c>
      <c r="R1068" s="75">
        <f t="shared" si="99"/>
        <v>1</v>
      </c>
      <c r="S1068" s="263" t="s">
        <v>1991</v>
      </c>
      <c r="T1068" s="263"/>
      <c r="U1068" s="263"/>
      <c r="V1068" s="263"/>
      <c r="W1068" s="263"/>
      <c r="X1068" s="263"/>
      <c r="Y1068" s="575"/>
      <c r="Z1068" s="575"/>
      <c r="AA1068" s="576">
        <f t="shared" si="97"/>
        <v>0</v>
      </c>
      <c r="AB1068" s="722"/>
    </row>
    <row r="1069" spans="1:28" ht="15.75" customHeight="1" x14ac:dyDescent="0.35">
      <c r="A1069" s="81" t="s">
        <v>4204</v>
      </c>
      <c r="C1069" s="83">
        <v>43857</v>
      </c>
      <c r="D1069" s="112">
        <v>43879</v>
      </c>
      <c r="E1069" s="570"/>
      <c r="F1069" s="88" t="s">
        <v>4205</v>
      </c>
      <c r="G1069" s="88" t="s">
        <v>162</v>
      </c>
      <c r="H1069" s="81" t="s">
        <v>220</v>
      </c>
      <c r="I1069" s="98" t="s">
        <v>2516</v>
      </c>
      <c r="J1069" s="75">
        <f t="shared" si="98"/>
        <v>1</v>
      </c>
      <c r="K1069" s="76" t="s">
        <v>211</v>
      </c>
      <c r="Q1069" s="78" t="s">
        <v>2056</v>
      </c>
      <c r="R1069" s="75">
        <f t="shared" si="99"/>
        <v>1</v>
      </c>
      <c r="S1069" s="263" t="s">
        <v>1991</v>
      </c>
      <c r="T1069" s="263"/>
      <c r="U1069" s="263"/>
      <c r="V1069" s="263"/>
      <c r="W1069" s="263"/>
      <c r="X1069" s="263"/>
      <c r="Y1069" s="575"/>
      <c r="Z1069" s="575"/>
      <c r="AA1069" s="576">
        <f t="shared" si="97"/>
        <v>0</v>
      </c>
      <c r="AB1069" s="722"/>
    </row>
    <row r="1070" spans="1:28" ht="15.75" customHeight="1" x14ac:dyDescent="0.35">
      <c r="A1070" s="81" t="s">
        <v>4206</v>
      </c>
      <c r="C1070" s="83">
        <v>43858</v>
      </c>
      <c r="D1070" s="112">
        <v>43880</v>
      </c>
      <c r="E1070" s="570"/>
      <c r="F1070" s="88" t="s">
        <v>4207</v>
      </c>
      <c r="G1070" s="88" t="s">
        <v>162</v>
      </c>
      <c r="H1070" s="98" t="s">
        <v>220</v>
      </c>
      <c r="I1070" s="98" t="s">
        <v>981</v>
      </c>
      <c r="J1070" s="75">
        <f t="shared" si="98"/>
        <v>1</v>
      </c>
      <c r="K1070" s="76" t="s">
        <v>211</v>
      </c>
      <c r="N1070" s="78" t="s">
        <v>17</v>
      </c>
      <c r="Q1070" s="78" t="s">
        <v>2056</v>
      </c>
      <c r="R1070" s="75">
        <f t="shared" si="99"/>
        <v>1</v>
      </c>
      <c r="S1070" s="263" t="s">
        <v>1991</v>
      </c>
      <c r="T1070" s="263"/>
      <c r="U1070" s="263"/>
      <c r="V1070" s="263"/>
      <c r="W1070" s="263"/>
      <c r="X1070" s="263"/>
      <c r="Y1070" s="575"/>
      <c r="Z1070" s="575"/>
      <c r="AA1070" s="576">
        <f t="shared" si="97"/>
        <v>0</v>
      </c>
      <c r="AB1070" s="722"/>
    </row>
    <row r="1071" spans="1:28" ht="15.75" customHeight="1" x14ac:dyDescent="0.35">
      <c r="A1071" s="81" t="s">
        <v>4212</v>
      </c>
      <c r="C1071" s="83">
        <v>43859</v>
      </c>
      <c r="D1071" s="112">
        <v>43881</v>
      </c>
      <c r="E1071" s="570"/>
      <c r="F1071" s="88" t="s">
        <v>4213</v>
      </c>
      <c r="G1071" s="88" t="s">
        <v>158</v>
      </c>
      <c r="H1071" s="98" t="s">
        <v>220</v>
      </c>
      <c r="I1071" s="98" t="s">
        <v>1122</v>
      </c>
      <c r="J1071" s="75">
        <f t="shared" si="98"/>
        <v>1</v>
      </c>
      <c r="K1071" s="76" t="s">
        <v>211</v>
      </c>
      <c r="N1071" s="78" t="s">
        <v>18</v>
      </c>
      <c r="Q1071" s="78" t="s">
        <v>2056</v>
      </c>
      <c r="R1071" s="75">
        <f t="shared" si="99"/>
        <v>1</v>
      </c>
      <c r="S1071" s="263" t="s">
        <v>1991</v>
      </c>
      <c r="T1071" s="263"/>
      <c r="U1071" s="263"/>
      <c r="V1071" s="263"/>
      <c r="W1071" s="263"/>
      <c r="X1071" s="263"/>
      <c r="Y1071" s="575"/>
      <c r="Z1071" s="575"/>
      <c r="AA1071" s="576">
        <f t="shared" si="97"/>
        <v>0</v>
      </c>
      <c r="AB1071" s="722"/>
    </row>
    <row r="1072" spans="1:28" ht="15.75" customHeight="1" x14ac:dyDescent="0.35">
      <c r="A1072" s="81" t="s">
        <v>4224</v>
      </c>
      <c r="C1072" s="83">
        <v>43860</v>
      </c>
      <c r="D1072" s="112">
        <v>43882</v>
      </c>
      <c r="E1072" s="570"/>
      <c r="F1072" s="88" t="s">
        <v>4225</v>
      </c>
      <c r="G1072" s="88" t="s">
        <v>170</v>
      </c>
      <c r="H1072" s="98" t="s">
        <v>220</v>
      </c>
      <c r="I1072" s="98" t="s">
        <v>2027</v>
      </c>
      <c r="J1072" s="75">
        <f t="shared" ref="J1072:J1075" si="100">IF(OR(K1072="Документы готовы",K1072="Запрос в ФО",K1072="ЭЗ",K1072="РЕШ",K1072="РЕШ шаблон"),0.1,IF(OR(K1072="ЭЗ согласование",K1072="РЕШ согласование"),0.3,IF(OR(K1072="ЭЗ согласовано",K1072="РЕШ согласовано",K1072="РЕШ подписано"),0.6,IF(OR(K1072="ЭЗ ПР согласование",K1072="РЕШ УВ согласование"),0.9,IF(OR(K1072="ЭЗ ПР DONE",K1072="РЕШ УВ DONE"),1,0)))))</f>
        <v>1</v>
      </c>
      <c r="K1072" s="76" t="s">
        <v>211</v>
      </c>
      <c r="L1072" s="99" t="s">
        <v>4365</v>
      </c>
      <c r="N1072" s="78" t="s">
        <v>19</v>
      </c>
      <c r="Q1072" s="78" t="s">
        <v>2056</v>
      </c>
      <c r="R1072" s="75">
        <f t="shared" ref="R1072:R1075" si="101">IF(S1072="В работе",0.3,IF(S1072="Отписано",0.6,IF(S1072="На доработку",0.9,IF(S1072="Согласовано",1,0))))</f>
        <v>1</v>
      </c>
      <c r="S1072" s="263" t="s">
        <v>1991</v>
      </c>
      <c r="T1072" s="263"/>
      <c r="U1072" s="263"/>
      <c r="V1072" s="263"/>
      <c r="W1072" s="263"/>
      <c r="X1072" s="263"/>
      <c r="Y1072" s="575"/>
      <c r="Z1072" s="575"/>
      <c r="AA1072" s="576">
        <f t="shared" si="97"/>
        <v>0</v>
      </c>
      <c r="AB1072" s="722"/>
    </row>
    <row r="1073" spans="1:28" ht="15.75" customHeight="1" x14ac:dyDescent="0.35">
      <c r="A1073" s="81" t="s">
        <v>4226</v>
      </c>
      <c r="C1073" s="83">
        <v>43861</v>
      </c>
      <c r="D1073" s="112">
        <v>43882</v>
      </c>
      <c r="E1073" s="570"/>
      <c r="F1073" s="88" t="s">
        <v>4227</v>
      </c>
      <c r="G1073" s="88" t="s">
        <v>149</v>
      </c>
      <c r="H1073" s="98" t="s">
        <v>220</v>
      </c>
      <c r="I1073" s="98" t="s">
        <v>3553</v>
      </c>
      <c r="J1073" s="75">
        <f t="shared" si="100"/>
        <v>1</v>
      </c>
      <c r="K1073" s="76" t="s">
        <v>211</v>
      </c>
      <c r="N1073" s="78" t="s">
        <v>19</v>
      </c>
      <c r="Q1073" s="78" t="s">
        <v>2056</v>
      </c>
      <c r="R1073" s="75">
        <f t="shared" si="101"/>
        <v>1</v>
      </c>
      <c r="S1073" s="263" t="s">
        <v>1991</v>
      </c>
      <c r="T1073" s="263"/>
      <c r="U1073" s="263"/>
      <c r="V1073" s="263"/>
      <c r="W1073" s="263"/>
      <c r="X1073" s="263"/>
      <c r="Y1073" s="575"/>
      <c r="Z1073" s="575"/>
      <c r="AA1073" s="576">
        <f t="shared" si="97"/>
        <v>0</v>
      </c>
      <c r="AB1073" s="722"/>
    </row>
    <row r="1074" spans="1:28" ht="15.75" customHeight="1" x14ac:dyDescent="0.35">
      <c r="A1074" s="98" t="s">
        <v>4228</v>
      </c>
      <c r="C1074" s="83">
        <v>43826</v>
      </c>
      <c r="D1074" s="112">
        <v>43879</v>
      </c>
      <c r="E1074" s="570"/>
      <c r="F1074" s="88" t="s">
        <v>4229</v>
      </c>
      <c r="G1074" s="88" t="s">
        <v>156</v>
      </c>
      <c r="H1074" s="81" t="s">
        <v>220</v>
      </c>
      <c r="I1074" s="98" t="s">
        <v>1294</v>
      </c>
      <c r="J1074" s="75">
        <f t="shared" si="100"/>
        <v>1</v>
      </c>
      <c r="K1074" s="76" t="s">
        <v>211</v>
      </c>
      <c r="N1074" s="78" t="s">
        <v>19</v>
      </c>
      <c r="Q1074" s="78" t="s">
        <v>2130</v>
      </c>
      <c r="R1074" s="75">
        <f t="shared" si="101"/>
        <v>1</v>
      </c>
      <c r="S1074" s="263" t="s">
        <v>1991</v>
      </c>
      <c r="T1074" s="263"/>
      <c r="U1074" s="263"/>
      <c r="V1074" s="263"/>
      <c r="W1074" s="263"/>
      <c r="X1074" s="263"/>
      <c r="Y1074" s="575"/>
      <c r="Z1074" s="575"/>
      <c r="AA1074" s="576">
        <f t="shared" si="97"/>
        <v>0</v>
      </c>
      <c r="AB1074" s="722"/>
    </row>
    <row r="1075" spans="1:28" ht="15.75" customHeight="1" x14ac:dyDescent="0.35">
      <c r="A1075" s="98" t="s">
        <v>4230</v>
      </c>
      <c r="C1075" s="83">
        <v>43829</v>
      </c>
      <c r="D1075" s="112">
        <v>43880</v>
      </c>
      <c r="E1075" s="570"/>
      <c r="F1075" s="88" t="s">
        <v>4231</v>
      </c>
      <c r="G1075" s="88" t="s">
        <v>152</v>
      </c>
      <c r="H1075" s="98" t="s">
        <v>220</v>
      </c>
      <c r="I1075" s="98" t="s">
        <v>2215</v>
      </c>
      <c r="J1075" s="75">
        <f t="shared" si="100"/>
        <v>1</v>
      </c>
      <c r="K1075" s="76" t="s">
        <v>211</v>
      </c>
      <c r="L1075" s="99" t="s">
        <v>4358</v>
      </c>
      <c r="N1075" s="78" t="s">
        <v>17</v>
      </c>
      <c r="Q1075" s="78" t="s">
        <v>2130</v>
      </c>
      <c r="R1075" s="75">
        <f t="shared" si="101"/>
        <v>1</v>
      </c>
      <c r="S1075" s="263" t="s">
        <v>1991</v>
      </c>
      <c r="T1075" s="263"/>
      <c r="U1075" s="263"/>
      <c r="V1075" s="263"/>
      <c r="W1075" s="263"/>
      <c r="X1075" s="263"/>
      <c r="Y1075" s="575"/>
      <c r="Z1075" s="575"/>
      <c r="AA1075" s="576">
        <f t="shared" si="97"/>
        <v>0</v>
      </c>
      <c r="AB1075" s="722"/>
    </row>
    <row r="1076" spans="1:28" ht="15.75" customHeight="1" x14ac:dyDescent="0.35">
      <c r="A1076" s="81" t="s">
        <v>3755</v>
      </c>
      <c r="C1076" s="83">
        <v>43843</v>
      </c>
      <c r="D1076" s="112">
        <v>43879</v>
      </c>
      <c r="E1076" s="570"/>
      <c r="F1076" s="88" t="s">
        <v>3756</v>
      </c>
      <c r="G1076" s="88" t="s">
        <v>170</v>
      </c>
      <c r="H1076" s="81" t="s">
        <v>220</v>
      </c>
      <c r="I1076" s="98" t="s">
        <v>649</v>
      </c>
      <c r="J1076" s="75">
        <f t="shared" ref="J1076:J1086" si="102">IF(OR(K1076="Документы готовы",K1076="Запрос в ФО",K1076="ЭЗ",K1076="РЕШ",K1076="РЕШ шаблон"),0.1,IF(OR(K1076="ЭЗ согласование",K1076="РЕШ согласование"),0.3,IF(OR(K1076="ЭЗ согласовано",K1076="РЕШ согласовано",K1076="РЕШ подписано"),0.6,IF(OR(K1076="ЭЗ ПР согласование",K1076="РЕШ УВ согласование"),0.9,IF(OR(K1076="ЭЗ ПР DONE",K1076="РЕШ УВ DONE"),1,0)))))</f>
        <v>1</v>
      </c>
      <c r="K1076" s="76" t="s">
        <v>211</v>
      </c>
      <c r="N1076" s="78" t="s">
        <v>18</v>
      </c>
      <c r="Q1076" s="78" t="s">
        <v>2130</v>
      </c>
      <c r="R1076" s="75">
        <f t="shared" ref="R1076:R1086" si="103">IF(S1076="В работе",0.3,IF(S1076="Отписано",0.6,IF(S1076="На доработку",0.9,IF(S1076="Согласовано",1,0))))</f>
        <v>1</v>
      </c>
      <c r="S1076" s="263" t="s">
        <v>1991</v>
      </c>
      <c r="T1076" s="263"/>
      <c r="U1076" s="263"/>
      <c r="V1076" s="263"/>
      <c r="W1076" s="263"/>
      <c r="X1076" s="263"/>
      <c r="Y1076" s="575"/>
      <c r="Z1076" s="575"/>
      <c r="AA1076" s="576">
        <f t="shared" si="97"/>
        <v>0</v>
      </c>
      <c r="AB1076" s="722"/>
    </row>
    <row r="1077" spans="1:28" ht="15.75" customHeight="1" x14ac:dyDescent="0.35">
      <c r="A1077" s="81" t="s">
        <v>3757</v>
      </c>
      <c r="C1077" s="83">
        <v>43843</v>
      </c>
      <c r="D1077" s="112">
        <v>43879</v>
      </c>
      <c r="E1077" s="570"/>
      <c r="F1077" s="88" t="s">
        <v>3758</v>
      </c>
      <c r="G1077" s="88" t="s">
        <v>158</v>
      </c>
      <c r="H1077" s="81" t="s">
        <v>220</v>
      </c>
      <c r="I1077" s="98" t="s">
        <v>649</v>
      </c>
      <c r="J1077" s="75">
        <f t="shared" si="102"/>
        <v>1</v>
      </c>
      <c r="K1077" s="76" t="s">
        <v>211</v>
      </c>
      <c r="N1077" s="78" t="s">
        <v>18</v>
      </c>
      <c r="Q1077" s="78" t="s">
        <v>2130</v>
      </c>
      <c r="R1077" s="75">
        <f t="shared" si="103"/>
        <v>1</v>
      </c>
      <c r="S1077" s="263" t="s">
        <v>1991</v>
      </c>
      <c r="T1077" s="263"/>
      <c r="U1077" s="263"/>
      <c r="V1077" s="263"/>
      <c r="W1077" s="263"/>
      <c r="X1077" s="263"/>
      <c r="Y1077" s="575"/>
      <c r="Z1077" s="575"/>
      <c r="AA1077" s="576">
        <f t="shared" si="97"/>
        <v>0</v>
      </c>
      <c r="AB1077" s="722"/>
    </row>
    <row r="1078" spans="1:28" ht="15.75" customHeight="1" x14ac:dyDescent="0.35">
      <c r="A1078" s="98" t="s">
        <v>3761</v>
      </c>
      <c r="C1078" s="83">
        <v>43844</v>
      </c>
      <c r="D1078" s="112">
        <v>43880</v>
      </c>
      <c r="E1078" s="570"/>
      <c r="F1078" s="88" t="s">
        <v>3762</v>
      </c>
      <c r="G1078" s="88" t="s">
        <v>160</v>
      </c>
      <c r="H1078" s="98" t="s">
        <v>220</v>
      </c>
      <c r="I1078" s="98" t="s">
        <v>648</v>
      </c>
      <c r="J1078" s="75">
        <f t="shared" si="102"/>
        <v>1</v>
      </c>
      <c r="K1078" s="76" t="s">
        <v>211</v>
      </c>
      <c r="N1078" s="78" t="s">
        <v>18</v>
      </c>
      <c r="Q1078" s="78" t="s">
        <v>2130</v>
      </c>
      <c r="R1078" s="75">
        <f t="shared" si="103"/>
        <v>1</v>
      </c>
      <c r="S1078" s="263" t="s">
        <v>1991</v>
      </c>
      <c r="T1078" s="263"/>
      <c r="U1078" s="263"/>
      <c r="V1078" s="263"/>
      <c r="W1078" s="263"/>
      <c r="X1078" s="263"/>
      <c r="Y1078" s="575"/>
      <c r="Z1078" s="575"/>
      <c r="AA1078" s="576">
        <f t="shared" si="97"/>
        <v>0</v>
      </c>
      <c r="AB1078" s="722"/>
    </row>
    <row r="1079" spans="1:28" ht="15.75" customHeight="1" x14ac:dyDescent="0.35">
      <c r="A1079" s="98" t="s">
        <v>3765</v>
      </c>
      <c r="C1079" s="83">
        <v>43844</v>
      </c>
      <c r="D1079" s="112">
        <v>43880</v>
      </c>
      <c r="E1079" s="570"/>
      <c r="F1079" s="88" t="s">
        <v>3766</v>
      </c>
      <c r="G1079" s="88" t="s">
        <v>152</v>
      </c>
      <c r="H1079" s="98" t="s">
        <v>220</v>
      </c>
      <c r="I1079" s="98" t="s">
        <v>722</v>
      </c>
      <c r="J1079" s="75">
        <f t="shared" si="102"/>
        <v>1</v>
      </c>
      <c r="K1079" s="76" t="s">
        <v>211</v>
      </c>
      <c r="N1079" s="78" t="s">
        <v>17</v>
      </c>
      <c r="Q1079" s="78" t="s">
        <v>2130</v>
      </c>
      <c r="R1079" s="75">
        <f t="shared" si="103"/>
        <v>1</v>
      </c>
      <c r="S1079" s="263" t="s">
        <v>1991</v>
      </c>
      <c r="T1079" s="263"/>
      <c r="U1079" s="263"/>
      <c r="V1079" s="263"/>
      <c r="W1079" s="263"/>
      <c r="X1079" s="263"/>
      <c r="Y1079" s="575"/>
      <c r="Z1079" s="575"/>
      <c r="AA1079" s="576">
        <f t="shared" si="97"/>
        <v>0</v>
      </c>
      <c r="AB1079" s="722"/>
    </row>
    <row r="1080" spans="1:28" ht="15.75" customHeight="1" x14ac:dyDescent="0.35">
      <c r="A1080" s="98" t="s">
        <v>3773</v>
      </c>
      <c r="C1080" s="83">
        <v>43845</v>
      </c>
      <c r="D1080" s="112">
        <v>43881</v>
      </c>
      <c r="E1080" s="570"/>
      <c r="F1080" s="88" t="s">
        <v>3774</v>
      </c>
      <c r="G1080" s="88" t="s">
        <v>162</v>
      </c>
      <c r="H1080" s="98" t="s">
        <v>220</v>
      </c>
      <c r="I1080" s="98" t="s">
        <v>698</v>
      </c>
      <c r="J1080" s="75">
        <f t="shared" si="102"/>
        <v>1</v>
      </c>
      <c r="K1080" s="76" t="s">
        <v>211</v>
      </c>
      <c r="N1080" s="78" t="s">
        <v>19</v>
      </c>
      <c r="Q1080" s="78" t="s">
        <v>2130</v>
      </c>
      <c r="R1080" s="75">
        <f t="shared" si="103"/>
        <v>1</v>
      </c>
      <c r="S1080" s="263" t="s">
        <v>1991</v>
      </c>
      <c r="T1080" s="263"/>
      <c r="U1080" s="263"/>
      <c r="V1080" s="263"/>
      <c r="W1080" s="263"/>
      <c r="X1080" s="263"/>
      <c r="Y1080" s="575"/>
      <c r="Z1080" s="575"/>
      <c r="AA1080" s="576">
        <f t="shared" si="97"/>
        <v>0</v>
      </c>
      <c r="AB1080" s="722"/>
    </row>
    <row r="1081" spans="1:28" ht="15.75" customHeight="1" x14ac:dyDescent="0.35">
      <c r="A1081" s="98" t="s">
        <v>4232</v>
      </c>
      <c r="C1081" s="83">
        <v>43845</v>
      </c>
      <c r="D1081" s="112">
        <v>43881</v>
      </c>
      <c r="E1081" s="570"/>
      <c r="F1081" s="88" t="s">
        <v>4233</v>
      </c>
      <c r="G1081" s="88" t="s">
        <v>152</v>
      </c>
      <c r="H1081" s="98" t="s">
        <v>220</v>
      </c>
      <c r="I1081" s="98" t="s">
        <v>652</v>
      </c>
      <c r="J1081" s="75">
        <f t="shared" si="102"/>
        <v>1</v>
      </c>
      <c r="K1081" s="76" t="s">
        <v>211</v>
      </c>
      <c r="L1081" s="99" t="s">
        <v>4363</v>
      </c>
      <c r="N1081" s="78" t="s">
        <v>17</v>
      </c>
      <c r="Q1081" s="78" t="s">
        <v>2130</v>
      </c>
      <c r="R1081" s="75">
        <f t="shared" si="103"/>
        <v>1</v>
      </c>
      <c r="S1081" s="263" t="s">
        <v>1991</v>
      </c>
      <c r="T1081" s="263"/>
      <c r="U1081" s="263"/>
      <c r="V1081" s="263"/>
      <c r="W1081" s="263"/>
      <c r="X1081" s="263"/>
      <c r="Y1081" s="575"/>
      <c r="Z1081" s="575"/>
      <c r="AA1081" s="576">
        <f t="shared" si="97"/>
        <v>0</v>
      </c>
      <c r="AB1081" s="722"/>
    </row>
    <row r="1082" spans="1:28" ht="15.75" customHeight="1" x14ac:dyDescent="0.35">
      <c r="A1082" s="81" t="s">
        <v>3777</v>
      </c>
      <c r="C1082" s="83">
        <v>43846</v>
      </c>
      <c r="D1082" s="112">
        <v>43882</v>
      </c>
      <c r="E1082" s="570"/>
      <c r="F1082" s="88" t="s">
        <v>3778</v>
      </c>
      <c r="G1082" s="88" t="s">
        <v>154</v>
      </c>
      <c r="H1082" s="98" t="s">
        <v>220</v>
      </c>
      <c r="I1082" s="98" t="s">
        <v>722</v>
      </c>
      <c r="J1082" s="75">
        <f t="shared" si="102"/>
        <v>1</v>
      </c>
      <c r="K1082" s="76" t="s">
        <v>211</v>
      </c>
      <c r="N1082" s="78" t="s">
        <v>18</v>
      </c>
      <c r="Q1082" s="78" t="s">
        <v>2130</v>
      </c>
      <c r="R1082" s="75">
        <f t="shared" si="103"/>
        <v>1</v>
      </c>
      <c r="S1082" s="263" t="s">
        <v>1991</v>
      </c>
      <c r="T1082" s="263"/>
      <c r="U1082" s="263"/>
      <c r="V1082" s="263"/>
      <c r="W1082" s="263"/>
      <c r="X1082" s="263"/>
      <c r="Y1082" s="575"/>
      <c r="Z1082" s="575"/>
      <c r="AA1082" s="576">
        <f t="shared" si="97"/>
        <v>0</v>
      </c>
      <c r="AB1082" s="722"/>
    </row>
    <row r="1083" spans="1:28" ht="15.75" customHeight="1" x14ac:dyDescent="0.35">
      <c r="A1083" s="81" t="s">
        <v>3779</v>
      </c>
      <c r="C1083" s="83">
        <v>43846</v>
      </c>
      <c r="D1083" s="112">
        <v>43882</v>
      </c>
      <c r="E1083" s="570"/>
      <c r="F1083" s="88" t="s">
        <v>3780</v>
      </c>
      <c r="G1083" s="88" t="s">
        <v>162</v>
      </c>
      <c r="H1083" s="98" t="s">
        <v>220</v>
      </c>
      <c r="I1083" s="98" t="s">
        <v>649</v>
      </c>
      <c r="J1083" s="75">
        <f t="shared" si="102"/>
        <v>1</v>
      </c>
      <c r="K1083" s="76" t="s">
        <v>211</v>
      </c>
      <c r="N1083" s="78" t="s">
        <v>18</v>
      </c>
      <c r="Q1083" s="78" t="s">
        <v>2130</v>
      </c>
      <c r="R1083" s="75">
        <f t="shared" si="103"/>
        <v>1</v>
      </c>
      <c r="S1083" s="263" t="s">
        <v>1991</v>
      </c>
      <c r="T1083" s="263"/>
      <c r="U1083" s="263"/>
      <c r="V1083" s="263"/>
      <c r="W1083" s="263"/>
      <c r="X1083" s="263"/>
      <c r="Y1083" s="575"/>
      <c r="Z1083" s="575"/>
      <c r="AA1083" s="576">
        <f t="shared" si="97"/>
        <v>0</v>
      </c>
      <c r="AB1083" s="722"/>
    </row>
    <row r="1084" spans="1:28" ht="15.75" customHeight="1" x14ac:dyDescent="0.35">
      <c r="A1084" s="81" t="s">
        <v>4242</v>
      </c>
      <c r="C1084" s="83">
        <v>43857</v>
      </c>
      <c r="D1084" s="112">
        <v>43879</v>
      </c>
      <c r="E1084" s="570"/>
      <c r="F1084" s="88" t="s">
        <v>4243</v>
      </c>
      <c r="G1084" s="88" t="s">
        <v>162</v>
      </c>
      <c r="H1084" s="81" t="s">
        <v>220</v>
      </c>
      <c r="I1084" s="98" t="s">
        <v>2516</v>
      </c>
      <c r="J1084" s="75">
        <f t="shared" si="102"/>
        <v>1</v>
      </c>
      <c r="K1084" s="76" t="s">
        <v>211</v>
      </c>
      <c r="Q1084" s="78" t="s">
        <v>2130</v>
      </c>
      <c r="R1084" s="75">
        <f t="shared" si="103"/>
        <v>1</v>
      </c>
      <c r="S1084" s="263" t="s">
        <v>1991</v>
      </c>
      <c r="T1084" s="263"/>
      <c r="U1084" s="263"/>
      <c r="V1084" s="263"/>
      <c r="W1084" s="263"/>
      <c r="X1084" s="263"/>
      <c r="Y1084" s="575"/>
      <c r="Z1084" s="575"/>
      <c r="AA1084" s="576">
        <f t="shared" si="97"/>
        <v>0</v>
      </c>
      <c r="AB1084" s="722"/>
    </row>
    <row r="1085" spans="1:28" ht="15.75" customHeight="1" x14ac:dyDescent="0.35">
      <c r="A1085" s="98" t="s">
        <v>4250</v>
      </c>
      <c r="C1085" s="83">
        <v>43858</v>
      </c>
      <c r="D1085" s="112">
        <v>43880</v>
      </c>
      <c r="E1085" s="570"/>
      <c r="F1085" s="88" t="s">
        <v>4251</v>
      </c>
      <c r="G1085" s="88" t="s">
        <v>154</v>
      </c>
      <c r="H1085" s="98" t="s">
        <v>220</v>
      </c>
      <c r="I1085" s="98" t="s">
        <v>4359</v>
      </c>
      <c r="J1085" s="75">
        <f t="shared" si="102"/>
        <v>1</v>
      </c>
      <c r="K1085" s="76" t="s">
        <v>211</v>
      </c>
      <c r="L1085" s="99" t="s">
        <v>4360</v>
      </c>
      <c r="N1085" s="78" t="s">
        <v>17</v>
      </c>
      <c r="Q1085" s="78" t="s">
        <v>2130</v>
      </c>
      <c r="R1085" s="75">
        <f t="shared" si="103"/>
        <v>1</v>
      </c>
      <c r="S1085" s="263" t="s">
        <v>1991</v>
      </c>
      <c r="T1085" s="263"/>
      <c r="U1085" s="263"/>
      <c r="V1085" s="263"/>
      <c r="W1085" s="263"/>
      <c r="X1085" s="263"/>
      <c r="Y1085" s="575"/>
      <c r="Z1085" s="575"/>
      <c r="AA1085" s="576">
        <f t="shared" si="97"/>
        <v>0</v>
      </c>
      <c r="AB1085" s="722"/>
    </row>
    <row r="1086" spans="1:28" ht="15.75" customHeight="1" x14ac:dyDescent="0.35">
      <c r="A1086" s="98" t="s">
        <v>4258</v>
      </c>
      <c r="C1086" s="83">
        <v>43859</v>
      </c>
      <c r="D1086" s="112">
        <v>43881</v>
      </c>
      <c r="E1086" s="570"/>
      <c r="F1086" s="88" t="s">
        <v>4259</v>
      </c>
      <c r="G1086" s="88" t="s">
        <v>149</v>
      </c>
      <c r="H1086" s="98" t="s">
        <v>220</v>
      </c>
      <c r="J1086" s="75">
        <f t="shared" si="102"/>
        <v>1</v>
      </c>
      <c r="K1086" s="76" t="s">
        <v>211</v>
      </c>
      <c r="Q1086" s="78" t="s">
        <v>2130</v>
      </c>
      <c r="R1086" s="75">
        <f t="shared" si="103"/>
        <v>1</v>
      </c>
      <c r="S1086" s="263" t="s">
        <v>1991</v>
      </c>
      <c r="T1086" s="263"/>
      <c r="U1086" s="263"/>
      <c r="V1086" s="263"/>
      <c r="W1086" s="263"/>
      <c r="X1086" s="263"/>
      <c r="Y1086" s="575"/>
      <c r="Z1086" s="575"/>
      <c r="AA1086" s="576">
        <f t="shared" si="97"/>
        <v>0</v>
      </c>
      <c r="AB1086" s="722"/>
    </row>
    <row r="1087" spans="1:28" ht="15.75" customHeight="1" x14ac:dyDescent="0.35">
      <c r="A1087" s="81" t="s">
        <v>3793</v>
      </c>
      <c r="C1087" s="83">
        <v>43843</v>
      </c>
      <c r="D1087" s="112">
        <v>43879</v>
      </c>
      <c r="E1087" s="570"/>
      <c r="F1087" s="88" t="s">
        <v>3794</v>
      </c>
      <c r="G1087" s="88" t="s">
        <v>170</v>
      </c>
      <c r="H1087" s="81" t="s">
        <v>275</v>
      </c>
      <c r="J1087" s="75">
        <f t="shared" ref="J1087:J1113" si="104">IF(OR(K1087="Документы готовы",K1087="Запрос в ФО",K1087="ЭЗ",K1087="РЕШ",K1087="РЕШ шаблон"),0.1,IF(OR(K1087="ЭЗ согласование",K1087="РЕШ согласование"),0.3,IF(OR(K1087="ЭЗ согласовано",K1087="РЕШ согласовано",K1087="РЕШ подписано"),0.6,IF(OR(K1087="ЭЗ ПР согласование",K1087="РЕШ УВ согласование"),0.9,IF(OR(K1087="ЭЗ ПР DONE",K1087="РЕШ УВ DONE"),1,0)))))</f>
        <v>1</v>
      </c>
      <c r="K1087" s="76" t="s">
        <v>211</v>
      </c>
      <c r="Q1087" s="78" t="s">
        <v>2163</v>
      </c>
      <c r="R1087" s="75">
        <f t="shared" ref="R1087:R1113" si="105">IF(S1087="В работе",0.3,IF(S1087="Отписано",0.6,IF(S1087="На доработку",0.9,IF(S1087="Согласовано",1,0))))</f>
        <v>1</v>
      </c>
      <c r="S1087" s="263" t="s">
        <v>1991</v>
      </c>
      <c r="T1087" s="263"/>
      <c r="U1087" s="263"/>
      <c r="V1087" s="263"/>
      <c r="W1087" s="263"/>
      <c r="X1087" s="263"/>
      <c r="Y1087" s="575"/>
      <c r="Z1087" s="575"/>
      <c r="AA1087" s="576">
        <f t="shared" si="97"/>
        <v>0</v>
      </c>
      <c r="AB1087" s="722"/>
    </row>
    <row r="1088" spans="1:28" ht="15.75" customHeight="1" x14ac:dyDescent="0.35">
      <c r="A1088" s="81" t="s">
        <v>3795</v>
      </c>
      <c r="C1088" s="83">
        <v>43843</v>
      </c>
      <c r="D1088" s="83">
        <v>43879</v>
      </c>
      <c r="E1088" s="570"/>
      <c r="F1088" s="88" t="s">
        <v>3796</v>
      </c>
      <c r="G1088" s="88" t="s">
        <v>158</v>
      </c>
      <c r="H1088" s="81" t="s">
        <v>220</v>
      </c>
      <c r="J1088" s="75">
        <f t="shared" si="104"/>
        <v>1</v>
      </c>
      <c r="K1088" s="76" t="s">
        <v>211</v>
      </c>
      <c r="Q1088" s="78" t="s">
        <v>2163</v>
      </c>
      <c r="R1088" s="75">
        <f t="shared" si="105"/>
        <v>1</v>
      </c>
      <c r="S1088" s="263" t="s">
        <v>1991</v>
      </c>
      <c r="T1088" s="263"/>
      <c r="U1088" s="263"/>
      <c r="V1088" s="263"/>
      <c r="W1088" s="263"/>
      <c r="X1088" s="263"/>
      <c r="Y1088" s="575"/>
      <c r="Z1088" s="575"/>
      <c r="AA1088" s="576">
        <f t="shared" si="97"/>
        <v>0</v>
      </c>
      <c r="AB1088" s="722"/>
    </row>
    <row r="1089" spans="1:28" ht="15.75" customHeight="1" x14ac:dyDescent="0.35">
      <c r="A1089" s="81" t="s">
        <v>3801</v>
      </c>
      <c r="C1089" s="83">
        <v>43844</v>
      </c>
      <c r="D1089" s="112">
        <v>43880</v>
      </c>
      <c r="E1089" s="570"/>
      <c r="F1089" s="88" t="s">
        <v>3802</v>
      </c>
      <c r="G1089" s="88" t="s">
        <v>154</v>
      </c>
      <c r="H1089" s="98" t="s">
        <v>220</v>
      </c>
      <c r="I1089" s="98" t="s">
        <v>722</v>
      </c>
      <c r="J1089" s="75">
        <f t="shared" si="104"/>
        <v>1</v>
      </c>
      <c r="K1089" s="76" t="s">
        <v>211</v>
      </c>
      <c r="N1089" s="78" t="s">
        <v>17</v>
      </c>
      <c r="Q1089" s="78" t="s">
        <v>2163</v>
      </c>
      <c r="R1089" s="75">
        <f t="shared" si="105"/>
        <v>1</v>
      </c>
      <c r="S1089" s="263" t="s">
        <v>1991</v>
      </c>
      <c r="T1089" s="263"/>
      <c r="U1089" s="263"/>
      <c r="V1089" s="263"/>
      <c r="W1089" s="263"/>
      <c r="X1089" s="263"/>
      <c r="Y1089" s="575"/>
      <c r="Z1089" s="575"/>
      <c r="AA1089" s="576">
        <f t="shared" si="97"/>
        <v>0</v>
      </c>
      <c r="AB1089" s="722"/>
    </row>
    <row r="1090" spans="1:28" ht="15.75" customHeight="1" x14ac:dyDescent="0.35">
      <c r="A1090" s="98" t="s">
        <v>3805</v>
      </c>
      <c r="C1090" s="83">
        <v>43844</v>
      </c>
      <c r="D1090" s="112">
        <v>43880</v>
      </c>
      <c r="E1090" s="570"/>
      <c r="F1090" s="88" t="s">
        <v>3806</v>
      </c>
      <c r="G1090" s="88" t="s">
        <v>152</v>
      </c>
      <c r="H1090" s="98" t="s">
        <v>220</v>
      </c>
      <c r="I1090" s="98" t="s">
        <v>730</v>
      </c>
      <c r="J1090" s="75">
        <f t="shared" si="104"/>
        <v>1</v>
      </c>
      <c r="K1090" s="76" t="s">
        <v>211</v>
      </c>
      <c r="N1090" s="78" t="s">
        <v>17</v>
      </c>
      <c r="Q1090" s="78" t="s">
        <v>2163</v>
      </c>
      <c r="R1090" s="75">
        <f t="shared" si="105"/>
        <v>1</v>
      </c>
      <c r="S1090" s="263" t="s">
        <v>1991</v>
      </c>
      <c r="T1090" s="263"/>
      <c r="U1090" s="263"/>
      <c r="V1090" s="263"/>
      <c r="W1090" s="263"/>
      <c r="X1090" s="263"/>
      <c r="Y1090" s="575"/>
      <c r="Z1090" s="575"/>
      <c r="AA1090" s="576">
        <f t="shared" si="97"/>
        <v>0</v>
      </c>
      <c r="AB1090" s="722"/>
    </row>
    <row r="1091" spans="1:28" ht="15.75" customHeight="1" x14ac:dyDescent="0.35">
      <c r="A1091" s="98" t="s">
        <v>3809</v>
      </c>
      <c r="C1091" s="83">
        <v>43845</v>
      </c>
      <c r="D1091" s="112">
        <v>43881</v>
      </c>
      <c r="E1091" s="570"/>
      <c r="F1091" s="88" t="s">
        <v>3810</v>
      </c>
      <c r="G1091" s="88" t="s">
        <v>158</v>
      </c>
      <c r="H1091" s="98" t="s">
        <v>220</v>
      </c>
      <c r="I1091" s="98" t="s">
        <v>722</v>
      </c>
      <c r="J1091" s="75">
        <f t="shared" si="104"/>
        <v>1</v>
      </c>
      <c r="K1091" s="76" t="s">
        <v>211</v>
      </c>
      <c r="N1091" s="78" t="s">
        <v>17</v>
      </c>
      <c r="Q1091" s="78" t="s">
        <v>2163</v>
      </c>
      <c r="R1091" s="75">
        <f t="shared" si="105"/>
        <v>1</v>
      </c>
      <c r="S1091" s="263" t="s">
        <v>1991</v>
      </c>
      <c r="T1091" s="263"/>
      <c r="U1091" s="263"/>
      <c r="V1091" s="263"/>
      <c r="W1091" s="263"/>
      <c r="X1091" s="263"/>
      <c r="Y1091" s="575"/>
      <c r="Z1091" s="575"/>
      <c r="AA1091" s="576">
        <f t="shared" si="97"/>
        <v>0</v>
      </c>
      <c r="AB1091" s="722"/>
    </row>
    <row r="1092" spans="1:28" ht="15.75" customHeight="1" x14ac:dyDescent="0.35">
      <c r="A1092" s="98" t="s">
        <v>3811</v>
      </c>
      <c r="C1092" s="83">
        <v>43845</v>
      </c>
      <c r="D1092" s="112">
        <v>43881</v>
      </c>
      <c r="E1092" s="570"/>
      <c r="F1092" s="88" t="s">
        <v>3812</v>
      </c>
      <c r="G1092" s="88" t="s">
        <v>152</v>
      </c>
      <c r="H1092" s="98" t="s">
        <v>220</v>
      </c>
      <c r="I1092" s="98" t="s">
        <v>648</v>
      </c>
      <c r="J1092" s="75">
        <f t="shared" si="104"/>
        <v>1</v>
      </c>
      <c r="K1092" s="76" t="s">
        <v>211</v>
      </c>
      <c r="N1092" s="78" t="s">
        <v>17</v>
      </c>
      <c r="Q1092" s="78" t="s">
        <v>2163</v>
      </c>
      <c r="R1092" s="75">
        <f t="shared" si="105"/>
        <v>1</v>
      </c>
      <c r="S1092" s="263" t="s">
        <v>1991</v>
      </c>
      <c r="T1092" s="263"/>
      <c r="U1092" s="263"/>
      <c r="V1092" s="263"/>
      <c r="W1092" s="263"/>
      <c r="X1092" s="263"/>
      <c r="Y1092" s="575"/>
      <c r="Z1092" s="575"/>
      <c r="AA1092" s="576">
        <f t="shared" si="97"/>
        <v>0</v>
      </c>
      <c r="AB1092" s="722"/>
    </row>
    <row r="1093" spans="1:28" ht="15.75" customHeight="1" x14ac:dyDescent="0.35">
      <c r="A1093" s="98" t="s">
        <v>3813</v>
      </c>
      <c r="C1093" s="83">
        <v>43845</v>
      </c>
      <c r="D1093" s="112">
        <v>43881</v>
      </c>
      <c r="E1093" s="570"/>
      <c r="F1093" s="88" t="s">
        <v>3814</v>
      </c>
      <c r="G1093" s="88" t="s">
        <v>152</v>
      </c>
      <c r="H1093" s="98" t="s">
        <v>220</v>
      </c>
      <c r="I1093" s="98" t="s">
        <v>730</v>
      </c>
      <c r="J1093" s="75">
        <f t="shared" si="104"/>
        <v>1</v>
      </c>
      <c r="K1093" s="76" t="s">
        <v>211</v>
      </c>
      <c r="L1093" s="99" t="s">
        <v>4361</v>
      </c>
      <c r="N1093" s="78" t="s">
        <v>17</v>
      </c>
      <c r="Q1093" s="78" t="s">
        <v>2163</v>
      </c>
      <c r="R1093" s="75">
        <f t="shared" si="105"/>
        <v>1</v>
      </c>
      <c r="S1093" s="263" t="s">
        <v>1991</v>
      </c>
      <c r="T1093" s="263"/>
      <c r="U1093" s="263"/>
      <c r="V1093" s="263"/>
      <c r="W1093" s="263"/>
      <c r="X1093" s="263"/>
      <c r="Y1093" s="575"/>
      <c r="Z1093" s="575"/>
      <c r="AA1093" s="576">
        <f t="shared" si="97"/>
        <v>0</v>
      </c>
      <c r="AB1093" s="722"/>
    </row>
    <row r="1094" spans="1:28" ht="15.75" customHeight="1" x14ac:dyDescent="0.35">
      <c r="A1094" s="98" t="s">
        <v>4270</v>
      </c>
      <c r="C1094" s="83">
        <v>43845</v>
      </c>
      <c r="D1094" s="112">
        <v>43880</v>
      </c>
      <c r="E1094" s="570"/>
      <c r="F1094" s="88" t="s">
        <v>4271</v>
      </c>
      <c r="G1094" s="88" t="s">
        <v>156</v>
      </c>
      <c r="H1094" s="98" t="s">
        <v>220</v>
      </c>
      <c r="I1094" s="98" t="s">
        <v>652</v>
      </c>
      <c r="J1094" s="75">
        <f t="shared" si="104"/>
        <v>1</v>
      </c>
      <c r="K1094" s="76" t="s">
        <v>211</v>
      </c>
      <c r="N1094" s="78" t="s">
        <v>17</v>
      </c>
      <c r="Q1094" s="78" t="s">
        <v>2163</v>
      </c>
      <c r="R1094" s="75">
        <f t="shared" si="105"/>
        <v>1</v>
      </c>
      <c r="S1094" s="263" t="s">
        <v>1991</v>
      </c>
      <c r="T1094" s="263"/>
      <c r="U1094" s="263"/>
      <c r="V1094" s="263"/>
      <c r="W1094" s="263"/>
      <c r="X1094" s="263"/>
      <c r="Y1094" s="575"/>
      <c r="Z1094" s="575"/>
      <c r="AA1094" s="576">
        <f t="shared" si="97"/>
        <v>0</v>
      </c>
      <c r="AB1094" s="722"/>
    </row>
    <row r="1095" spans="1:28" ht="15.75" customHeight="1" x14ac:dyDescent="0.35">
      <c r="A1095" s="98" t="s">
        <v>3815</v>
      </c>
      <c r="C1095" s="83">
        <v>43846</v>
      </c>
      <c r="D1095" s="112">
        <v>43882</v>
      </c>
      <c r="E1095" s="570"/>
      <c r="F1095" s="88" t="s">
        <v>3816</v>
      </c>
      <c r="G1095" s="88" t="s">
        <v>154</v>
      </c>
      <c r="H1095" s="98" t="s">
        <v>220</v>
      </c>
      <c r="I1095" s="98" t="s">
        <v>652</v>
      </c>
      <c r="J1095" s="75">
        <f t="shared" si="104"/>
        <v>1</v>
      </c>
      <c r="K1095" s="76" t="s">
        <v>211</v>
      </c>
      <c r="N1095" s="78" t="s">
        <v>18</v>
      </c>
      <c r="Q1095" s="78" t="s">
        <v>2163</v>
      </c>
      <c r="R1095" s="75">
        <f t="shared" si="105"/>
        <v>1</v>
      </c>
      <c r="S1095" s="263" t="s">
        <v>1991</v>
      </c>
      <c r="T1095" s="263"/>
      <c r="U1095" s="263"/>
      <c r="V1095" s="263"/>
      <c r="W1095" s="263"/>
      <c r="X1095" s="263"/>
      <c r="Y1095" s="575"/>
      <c r="Z1095" s="575"/>
      <c r="AA1095" s="576">
        <f t="shared" ref="AA1095:AA1145" si="106">Z1095-Y1095</f>
        <v>0</v>
      </c>
      <c r="AB1095" s="722"/>
    </row>
    <row r="1096" spans="1:28" ht="15.75" customHeight="1" x14ac:dyDescent="0.35">
      <c r="A1096" s="98" t="s">
        <v>3817</v>
      </c>
      <c r="C1096" s="83">
        <v>43846</v>
      </c>
      <c r="D1096" s="112">
        <v>43882</v>
      </c>
      <c r="E1096" s="570"/>
      <c r="F1096" s="88" t="s">
        <v>3818</v>
      </c>
      <c r="G1096" s="88" t="s">
        <v>191</v>
      </c>
      <c r="H1096" s="98" t="s">
        <v>220</v>
      </c>
      <c r="I1096" s="98" t="s">
        <v>722</v>
      </c>
      <c r="J1096" s="75">
        <f t="shared" si="104"/>
        <v>1</v>
      </c>
      <c r="K1096" s="76" t="s">
        <v>211</v>
      </c>
      <c r="N1096" s="78" t="s">
        <v>17</v>
      </c>
      <c r="Q1096" s="78" t="s">
        <v>2163</v>
      </c>
      <c r="R1096" s="75">
        <f t="shared" si="105"/>
        <v>1</v>
      </c>
      <c r="S1096" s="263" t="s">
        <v>1991</v>
      </c>
      <c r="T1096" s="263"/>
      <c r="U1096" s="263"/>
      <c r="V1096" s="263"/>
      <c r="W1096" s="263"/>
      <c r="X1096" s="263"/>
      <c r="Y1096" s="575"/>
      <c r="Z1096" s="575"/>
      <c r="AA1096" s="576">
        <f t="shared" si="106"/>
        <v>0</v>
      </c>
      <c r="AB1096" s="722"/>
    </row>
    <row r="1097" spans="1:28" ht="15.75" customHeight="1" x14ac:dyDescent="0.35">
      <c r="A1097" s="98" t="s">
        <v>3819</v>
      </c>
      <c r="C1097" s="83">
        <v>43846</v>
      </c>
      <c r="D1097" s="112">
        <v>43882</v>
      </c>
      <c r="E1097" s="570"/>
      <c r="F1097" s="88" t="s">
        <v>3820</v>
      </c>
      <c r="G1097" s="88" t="s">
        <v>149</v>
      </c>
      <c r="H1097" s="98" t="s">
        <v>220</v>
      </c>
      <c r="I1097" s="98" t="s">
        <v>722</v>
      </c>
      <c r="J1097" s="75">
        <f t="shared" si="104"/>
        <v>1</v>
      </c>
      <c r="K1097" s="76" t="s">
        <v>211</v>
      </c>
      <c r="N1097" s="78" t="s">
        <v>18</v>
      </c>
      <c r="Q1097" s="78" t="s">
        <v>2163</v>
      </c>
      <c r="R1097" s="75">
        <f t="shared" si="105"/>
        <v>1</v>
      </c>
      <c r="S1097" s="263" t="s">
        <v>1991</v>
      </c>
      <c r="T1097" s="263"/>
      <c r="U1097" s="263"/>
      <c r="V1097" s="263"/>
      <c r="W1097" s="263"/>
      <c r="X1097" s="263"/>
      <c r="Y1097" s="575"/>
      <c r="Z1097" s="575"/>
      <c r="AA1097" s="576">
        <f t="shared" si="106"/>
        <v>0</v>
      </c>
      <c r="AB1097" s="722"/>
    </row>
    <row r="1098" spans="1:28" ht="15.75" customHeight="1" x14ac:dyDescent="0.35">
      <c r="A1098" s="81" t="s">
        <v>4280</v>
      </c>
      <c r="C1098" s="83">
        <v>43857</v>
      </c>
      <c r="D1098" s="83">
        <v>43879</v>
      </c>
      <c r="E1098" s="570"/>
      <c r="F1098" s="88" t="s">
        <v>4281</v>
      </c>
      <c r="G1098" s="88" t="s">
        <v>158</v>
      </c>
      <c r="H1098" s="81" t="s">
        <v>220</v>
      </c>
      <c r="J1098" s="75">
        <f t="shared" si="104"/>
        <v>1</v>
      </c>
      <c r="K1098" s="76" t="s">
        <v>211</v>
      </c>
      <c r="Q1098" s="78" t="s">
        <v>2163</v>
      </c>
      <c r="R1098" s="75">
        <f t="shared" si="105"/>
        <v>1</v>
      </c>
      <c r="S1098" s="263" t="s">
        <v>1991</v>
      </c>
      <c r="T1098" s="263"/>
      <c r="U1098" s="263"/>
      <c r="V1098" s="263"/>
      <c r="W1098" s="263"/>
      <c r="X1098" s="263"/>
      <c r="Y1098" s="575"/>
      <c r="Z1098" s="575"/>
      <c r="AA1098" s="576">
        <f t="shared" si="106"/>
        <v>0</v>
      </c>
      <c r="AB1098" s="722"/>
    </row>
    <row r="1099" spans="1:28" ht="15.75" customHeight="1" x14ac:dyDescent="0.35">
      <c r="A1099" s="98" t="s">
        <v>4289</v>
      </c>
      <c r="C1099" s="83">
        <v>43859</v>
      </c>
      <c r="D1099" s="112">
        <v>43881</v>
      </c>
      <c r="E1099" s="570"/>
      <c r="F1099" s="88" t="s">
        <v>4290</v>
      </c>
      <c r="G1099" s="88" t="s">
        <v>1393</v>
      </c>
      <c r="H1099" s="98" t="s">
        <v>220</v>
      </c>
      <c r="I1099" s="98" t="s">
        <v>629</v>
      </c>
      <c r="J1099" s="75">
        <f t="shared" si="104"/>
        <v>1</v>
      </c>
      <c r="K1099" s="76" t="s">
        <v>211</v>
      </c>
      <c r="N1099" s="78" t="s">
        <v>18</v>
      </c>
      <c r="Q1099" s="78" t="s">
        <v>2163</v>
      </c>
      <c r="R1099" s="75">
        <f t="shared" si="105"/>
        <v>1</v>
      </c>
      <c r="S1099" s="263" t="s">
        <v>1991</v>
      </c>
      <c r="T1099" s="263"/>
      <c r="U1099" s="263"/>
      <c r="V1099" s="263"/>
      <c r="W1099" s="263"/>
      <c r="X1099" s="263"/>
      <c r="Y1099" s="575"/>
      <c r="Z1099" s="575"/>
      <c r="AA1099" s="576">
        <f t="shared" si="106"/>
        <v>0</v>
      </c>
      <c r="AB1099" s="722"/>
    </row>
    <row r="1100" spans="1:28" ht="15.75" customHeight="1" x14ac:dyDescent="0.35">
      <c r="A1100" s="98" t="s">
        <v>4293</v>
      </c>
      <c r="C1100" s="83">
        <v>43859</v>
      </c>
      <c r="D1100" s="112">
        <v>43881</v>
      </c>
      <c r="E1100" s="570"/>
      <c r="F1100" s="88" t="s">
        <v>4294</v>
      </c>
      <c r="G1100" s="88" t="s">
        <v>154</v>
      </c>
      <c r="H1100" s="98" t="s">
        <v>220</v>
      </c>
      <c r="I1100" s="98" t="s">
        <v>2516</v>
      </c>
      <c r="J1100" s="75">
        <f t="shared" si="104"/>
        <v>1</v>
      </c>
      <c r="K1100" s="76" t="s">
        <v>211</v>
      </c>
      <c r="L1100" s="99" t="s">
        <v>4364</v>
      </c>
      <c r="Q1100" s="78" t="s">
        <v>2163</v>
      </c>
      <c r="R1100" s="75">
        <f t="shared" si="105"/>
        <v>1</v>
      </c>
      <c r="S1100" s="263" t="s">
        <v>1991</v>
      </c>
      <c r="T1100" s="263"/>
      <c r="U1100" s="263"/>
      <c r="V1100" s="263"/>
      <c r="W1100" s="263"/>
      <c r="X1100" s="263"/>
      <c r="Y1100" s="575"/>
      <c r="Z1100" s="575"/>
      <c r="AA1100" s="576">
        <f t="shared" si="106"/>
        <v>0</v>
      </c>
      <c r="AB1100" s="722"/>
    </row>
    <row r="1101" spans="1:28" ht="15.75" customHeight="1" x14ac:dyDescent="0.35">
      <c r="A1101" s="81" t="s">
        <v>4299</v>
      </c>
      <c r="C1101" s="83">
        <v>43860</v>
      </c>
      <c r="D1101" s="112">
        <v>43882</v>
      </c>
      <c r="E1101" s="570"/>
      <c r="F1101" s="88" t="s">
        <v>4300</v>
      </c>
      <c r="G1101" s="88" t="s">
        <v>1337</v>
      </c>
      <c r="H1101" s="98" t="s">
        <v>220</v>
      </c>
      <c r="I1101" s="98" t="s">
        <v>3260</v>
      </c>
      <c r="J1101" s="75">
        <f t="shared" si="104"/>
        <v>1</v>
      </c>
      <c r="K1101" s="76" t="s">
        <v>211</v>
      </c>
      <c r="N1101" s="78" t="s">
        <v>19</v>
      </c>
      <c r="Q1101" s="78" t="s">
        <v>2163</v>
      </c>
      <c r="R1101" s="75">
        <f t="shared" si="105"/>
        <v>1</v>
      </c>
      <c r="S1101" s="263" t="s">
        <v>1991</v>
      </c>
      <c r="T1101" s="263"/>
      <c r="U1101" s="263"/>
      <c r="V1101" s="263"/>
      <c r="W1101" s="263"/>
      <c r="X1101" s="263"/>
      <c r="Y1101" s="575"/>
      <c r="Z1101" s="575"/>
      <c r="AA1101" s="576">
        <f t="shared" si="106"/>
        <v>0</v>
      </c>
      <c r="AB1101" s="722"/>
    </row>
    <row r="1102" spans="1:28" ht="15.75" customHeight="1" x14ac:dyDescent="0.35">
      <c r="A1102" s="98" t="s">
        <v>4301</v>
      </c>
      <c r="C1102" s="83">
        <v>43860</v>
      </c>
      <c r="D1102" s="112">
        <v>43882</v>
      </c>
      <c r="E1102" s="570"/>
      <c r="F1102" s="88" t="s">
        <v>4302</v>
      </c>
      <c r="G1102" s="88" t="s">
        <v>154</v>
      </c>
      <c r="H1102" s="98" t="s">
        <v>220</v>
      </c>
      <c r="I1102" s="98" t="s">
        <v>656</v>
      </c>
      <c r="J1102" s="75">
        <f t="shared" si="104"/>
        <v>1</v>
      </c>
      <c r="K1102" s="76" t="s">
        <v>211</v>
      </c>
      <c r="N1102" s="78" t="s">
        <v>18</v>
      </c>
      <c r="Q1102" s="78" t="s">
        <v>2163</v>
      </c>
      <c r="R1102" s="75">
        <f t="shared" si="105"/>
        <v>1</v>
      </c>
      <c r="S1102" s="263" t="s">
        <v>1991</v>
      </c>
      <c r="T1102" s="263"/>
      <c r="U1102" s="263"/>
      <c r="V1102" s="263"/>
      <c r="W1102" s="263"/>
      <c r="X1102" s="263"/>
      <c r="Y1102" s="575"/>
      <c r="Z1102" s="575"/>
      <c r="AA1102" s="576">
        <f t="shared" si="106"/>
        <v>0</v>
      </c>
      <c r="AB1102" s="722"/>
    </row>
    <row r="1103" spans="1:28" ht="15.75" customHeight="1" x14ac:dyDescent="0.35">
      <c r="A1103" s="81" t="s">
        <v>4303</v>
      </c>
      <c r="C1103" s="83">
        <v>43861</v>
      </c>
      <c r="D1103" s="112">
        <v>43882</v>
      </c>
      <c r="E1103" s="570"/>
      <c r="F1103" s="88" t="s">
        <v>4304</v>
      </c>
      <c r="G1103" s="88" t="s">
        <v>417</v>
      </c>
      <c r="H1103" s="98" t="s">
        <v>220</v>
      </c>
      <c r="I1103" s="98" t="s">
        <v>3893</v>
      </c>
      <c r="J1103" s="75">
        <f t="shared" si="104"/>
        <v>1</v>
      </c>
      <c r="K1103" s="76" t="s">
        <v>211</v>
      </c>
      <c r="N1103" s="78" t="s">
        <v>17</v>
      </c>
      <c r="Q1103" s="78" t="s">
        <v>2163</v>
      </c>
      <c r="R1103" s="75">
        <f t="shared" si="105"/>
        <v>1</v>
      </c>
      <c r="S1103" s="263" t="s">
        <v>1991</v>
      </c>
      <c r="T1103" s="263"/>
      <c r="U1103" s="263"/>
      <c r="V1103" s="263"/>
      <c r="W1103" s="263"/>
      <c r="X1103" s="263"/>
      <c r="Y1103" s="575"/>
      <c r="Z1103" s="575"/>
      <c r="AA1103" s="576">
        <f t="shared" si="106"/>
        <v>0</v>
      </c>
      <c r="AB1103" s="722"/>
    </row>
    <row r="1104" spans="1:28" ht="15.75" customHeight="1" x14ac:dyDescent="0.35">
      <c r="A1104" s="81" t="s">
        <v>3540</v>
      </c>
      <c r="C1104" s="83">
        <v>43824</v>
      </c>
      <c r="D1104" s="112">
        <v>43882</v>
      </c>
      <c r="E1104" s="570"/>
      <c r="F1104" s="88" t="s">
        <v>3541</v>
      </c>
      <c r="G1104" s="88" t="s">
        <v>156</v>
      </c>
      <c r="H1104" s="98" t="s">
        <v>220</v>
      </c>
      <c r="I1104" s="98" t="s">
        <v>648</v>
      </c>
      <c r="J1104" s="75">
        <f t="shared" si="104"/>
        <v>1</v>
      </c>
      <c r="K1104" s="76" t="s">
        <v>211</v>
      </c>
      <c r="N1104" s="78" t="s">
        <v>18</v>
      </c>
      <c r="Q1104" s="78" t="s">
        <v>2447</v>
      </c>
      <c r="R1104" s="75">
        <f t="shared" si="105"/>
        <v>1</v>
      </c>
      <c r="S1104" s="263" t="s">
        <v>1991</v>
      </c>
      <c r="T1104" s="263"/>
      <c r="U1104" s="263"/>
      <c r="V1104" s="263"/>
      <c r="W1104" s="263"/>
      <c r="X1104" s="263"/>
      <c r="Y1104" s="575"/>
      <c r="Z1104" s="575"/>
      <c r="AA1104" s="576">
        <f t="shared" si="106"/>
        <v>0</v>
      </c>
      <c r="AB1104" s="722"/>
    </row>
    <row r="1105" spans="1:28" ht="15.75" customHeight="1" x14ac:dyDescent="0.35">
      <c r="A1105" s="81" t="s">
        <v>3867</v>
      </c>
      <c r="C1105" s="83">
        <v>43843</v>
      </c>
      <c r="D1105" s="83">
        <v>43879</v>
      </c>
      <c r="E1105" s="570"/>
      <c r="F1105" s="88" t="s">
        <v>3868</v>
      </c>
      <c r="G1105" s="88" t="s">
        <v>2698</v>
      </c>
      <c r="H1105" s="81" t="s">
        <v>220</v>
      </c>
      <c r="J1105" s="75">
        <f t="shared" si="104"/>
        <v>1</v>
      </c>
      <c r="K1105" s="76" t="s">
        <v>211</v>
      </c>
      <c r="Q1105" s="78" t="s">
        <v>2447</v>
      </c>
      <c r="R1105" s="75">
        <f t="shared" si="105"/>
        <v>1</v>
      </c>
      <c r="S1105" s="263" t="s">
        <v>1991</v>
      </c>
      <c r="T1105" s="263"/>
      <c r="U1105" s="263"/>
      <c r="V1105" s="263"/>
      <c r="W1105" s="263"/>
      <c r="X1105" s="263"/>
      <c r="Y1105" s="575"/>
      <c r="Z1105" s="575"/>
      <c r="AA1105" s="576">
        <f t="shared" si="106"/>
        <v>0</v>
      </c>
      <c r="AB1105" s="722"/>
    </row>
    <row r="1106" spans="1:28" ht="15.75" customHeight="1" x14ac:dyDescent="0.35">
      <c r="A1106" s="81" t="s">
        <v>3869</v>
      </c>
      <c r="C1106" s="83">
        <v>43844</v>
      </c>
      <c r="D1106" s="112">
        <v>43880</v>
      </c>
      <c r="E1106" s="570"/>
      <c r="F1106" s="88" t="s">
        <v>3870</v>
      </c>
      <c r="G1106" s="88" t="s">
        <v>170</v>
      </c>
      <c r="H1106" s="98" t="s">
        <v>220</v>
      </c>
      <c r="I1106" s="98" t="s">
        <v>4357</v>
      </c>
      <c r="J1106" s="75">
        <f t="shared" si="104"/>
        <v>1</v>
      </c>
      <c r="K1106" s="76" t="s">
        <v>211</v>
      </c>
      <c r="N1106" s="78" t="s">
        <v>18</v>
      </c>
      <c r="Q1106" s="78" t="s">
        <v>2447</v>
      </c>
      <c r="R1106" s="75">
        <f t="shared" si="105"/>
        <v>1</v>
      </c>
      <c r="S1106" s="263" t="s">
        <v>1991</v>
      </c>
      <c r="T1106" s="263"/>
      <c r="U1106" s="263"/>
      <c r="V1106" s="263"/>
      <c r="W1106" s="263"/>
      <c r="X1106" s="263"/>
      <c r="Y1106" s="575"/>
      <c r="Z1106" s="575"/>
      <c r="AA1106" s="576">
        <f t="shared" si="106"/>
        <v>0</v>
      </c>
      <c r="AB1106" s="722"/>
    </row>
    <row r="1107" spans="1:28" ht="15.75" customHeight="1" x14ac:dyDescent="0.35">
      <c r="A1107" s="81" t="s">
        <v>3875</v>
      </c>
      <c r="C1107" s="83">
        <v>43844</v>
      </c>
      <c r="D1107" s="112">
        <v>43880</v>
      </c>
      <c r="E1107" s="570"/>
      <c r="F1107" s="88" t="s">
        <v>3876</v>
      </c>
      <c r="G1107" s="88" t="s">
        <v>170</v>
      </c>
      <c r="H1107" s="98" t="s">
        <v>220</v>
      </c>
      <c r="I1107" s="98" t="s">
        <v>730</v>
      </c>
      <c r="J1107" s="75">
        <f t="shared" si="104"/>
        <v>1</v>
      </c>
      <c r="K1107" s="76" t="s">
        <v>211</v>
      </c>
      <c r="L1107" s="99" t="s">
        <v>4362</v>
      </c>
      <c r="N1107" s="78" t="s">
        <v>17</v>
      </c>
      <c r="Q1107" s="78" t="s">
        <v>2447</v>
      </c>
      <c r="R1107" s="75">
        <f t="shared" si="105"/>
        <v>1</v>
      </c>
      <c r="S1107" s="263" t="s">
        <v>1991</v>
      </c>
      <c r="T1107" s="263"/>
      <c r="U1107" s="263"/>
      <c r="V1107" s="263"/>
      <c r="W1107" s="263"/>
      <c r="X1107" s="263"/>
      <c r="Y1107" s="575"/>
      <c r="Z1107" s="575"/>
      <c r="AA1107" s="576">
        <f t="shared" si="106"/>
        <v>0</v>
      </c>
      <c r="AB1107" s="722"/>
    </row>
    <row r="1108" spans="1:28" ht="15.75" customHeight="1" x14ac:dyDescent="0.35">
      <c r="A1108" s="81" t="s">
        <v>3879</v>
      </c>
      <c r="C1108" s="83">
        <v>43844</v>
      </c>
      <c r="D1108" s="83">
        <v>43879</v>
      </c>
      <c r="E1108" s="570"/>
      <c r="F1108" s="88" t="s">
        <v>3880</v>
      </c>
      <c r="G1108" s="88" t="s">
        <v>168</v>
      </c>
      <c r="H1108" s="81" t="s">
        <v>220</v>
      </c>
      <c r="J1108" s="75">
        <f t="shared" si="104"/>
        <v>1</v>
      </c>
      <c r="K1108" s="76" t="s">
        <v>211</v>
      </c>
      <c r="Q1108" s="78" t="s">
        <v>2447</v>
      </c>
      <c r="R1108" s="75">
        <f t="shared" si="105"/>
        <v>1</v>
      </c>
      <c r="S1108" s="263" t="s">
        <v>1991</v>
      </c>
      <c r="T1108" s="263"/>
      <c r="U1108" s="263"/>
      <c r="V1108" s="263"/>
      <c r="W1108" s="263"/>
      <c r="X1108" s="263"/>
      <c r="Y1108" s="575"/>
      <c r="Z1108" s="575"/>
      <c r="AA1108" s="576">
        <f t="shared" si="106"/>
        <v>0</v>
      </c>
      <c r="AB1108" s="722"/>
    </row>
    <row r="1109" spans="1:28" ht="15.75" customHeight="1" x14ac:dyDescent="0.35">
      <c r="A1109" s="81" t="s">
        <v>3881</v>
      </c>
      <c r="C1109" s="83">
        <v>43845</v>
      </c>
      <c r="D1109" s="112">
        <v>43881</v>
      </c>
      <c r="E1109" s="570"/>
      <c r="F1109" s="88" t="s">
        <v>3882</v>
      </c>
      <c r="G1109" s="88" t="s">
        <v>944</v>
      </c>
      <c r="H1109" s="98" t="s">
        <v>220</v>
      </c>
      <c r="I1109" s="98" t="s">
        <v>722</v>
      </c>
      <c r="J1109" s="75">
        <f t="shared" si="104"/>
        <v>1</v>
      </c>
      <c r="K1109" s="76" t="s">
        <v>211</v>
      </c>
      <c r="N1109" s="78" t="s">
        <v>18</v>
      </c>
      <c r="Q1109" s="78" t="s">
        <v>2447</v>
      </c>
      <c r="R1109" s="75">
        <f t="shared" si="105"/>
        <v>1</v>
      </c>
      <c r="S1109" s="263" t="s">
        <v>1991</v>
      </c>
      <c r="T1109" s="263"/>
      <c r="U1109" s="263"/>
      <c r="V1109" s="263"/>
      <c r="W1109" s="263"/>
      <c r="X1109" s="263"/>
      <c r="Y1109" s="575"/>
      <c r="Z1109" s="575"/>
      <c r="AA1109" s="576">
        <f t="shared" si="106"/>
        <v>0</v>
      </c>
      <c r="AB1109" s="722"/>
    </row>
    <row r="1110" spans="1:28" ht="15.75" customHeight="1" x14ac:dyDescent="0.35">
      <c r="A1110" s="81" t="s">
        <v>3883</v>
      </c>
      <c r="C1110" s="83">
        <v>43845</v>
      </c>
      <c r="D1110" s="112">
        <v>43881</v>
      </c>
      <c r="E1110" s="570"/>
      <c r="F1110" s="88" t="s">
        <v>3884</v>
      </c>
      <c r="G1110" s="88" t="s">
        <v>154</v>
      </c>
      <c r="H1110" s="98" t="s">
        <v>220</v>
      </c>
      <c r="I1110" s="98" t="s">
        <v>722</v>
      </c>
      <c r="J1110" s="75">
        <f t="shared" si="104"/>
        <v>1</v>
      </c>
      <c r="K1110" s="76" t="s">
        <v>211</v>
      </c>
      <c r="N1110" s="78" t="s">
        <v>17</v>
      </c>
      <c r="Q1110" s="78" t="s">
        <v>2447</v>
      </c>
      <c r="R1110" s="75">
        <f t="shared" si="105"/>
        <v>1</v>
      </c>
      <c r="S1110" s="263" t="s">
        <v>1991</v>
      </c>
      <c r="T1110" s="263"/>
      <c r="U1110" s="263"/>
      <c r="V1110" s="263"/>
      <c r="W1110" s="263"/>
      <c r="X1110" s="263"/>
      <c r="Y1110" s="575"/>
      <c r="Z1110" s="575"/>
      <c r="AA1110" s="576">
        <f t="shared" si="106"/>
        <v>0</v>
      </c>
      <c r="AB1110" s="722"/>
    </row>
    <row r="1111" spans="1:28" ht="15.75" customHeight="1" x14ac:dyDescent="0.35">
      <c r="A1111" s="81" t="s">
        <v>3887</v>
      </c>
      <c r="C1111" s="83">
        <v>43846</v>
      </c>
      <c r="D1111" s="112">
        <v>43882</v>
      </c>
      <c r="E1111" s="570"/>
      <c r="F1111" s="88" t="s">
        <v>3888</v>
      </c>
      <c r="G1111" s="88" t="s">
        <v>162</v>
      </c>
      <c r="H1111" s="98" t="s">
        <v>220</v>
      </c>
      <c r="I1111" s="98" t="s">
        <v>722</v>
      </c>
      <c r="J1111" s="75">
        <f t="shared" si="104"/>
        <v>1</v>
      </c>
      <c r="K1111" s="76" t="s">
        <v>211</v>
      </c>
      <c r="N1111" s="78" t="s">
        <v>17</v>
      </c>
      <c r="Q1111" s="78" t="s">
        <v>2447</v>
      </c>
      <c r="R1111" s="75">
        <f t="shared" si="105"/>
        <v>1</v>
      </c>
      <c r="S1111" s="263" t="s">
        <v>1991</v>
      </c>
      <c r="T1111" s="263"/>
      <c r="U1111" s="263"/>
      <c r="V1111" s="263"/>
      <c r="W1111" s="263"/>
      <c r="X1111" s="263"/>
      <c r="Y1111" s="575"/>
      <c r="Z1111" s="575"/>
      <c r="AA1111" s="576">
        <f t="shared" si="106"/>
        <v>0</v>
      </c>
      <c r="AB1111" s="722"/>
    </row>
    <row r="1112" spans="1:28" ht="15.75" customHeight="1" x14ac:dyDescent="0.35">
      <c r="A1112" s="81" t="s">
        <v>4106</v>
      </c>
      <c r="C1112" s="83">
        <v>43850</v>
      </c>
      <c r="D1112" s="112">
        <v>43886</v>
      </c>
      <c r="E1112" s="570"/>
      <c r="F1112" s="88" t="s">
        <v>4107</v>
      </c>
      <c r="G1112" s="88" t="s">
        <v>166</v>
      </c>
      <c r="H1112" s="81" t="s">
        <v>220</v>
      </c>
      <c r="I1112" s="98" t="s">
        <v>649</v>
      </c>
      <c r="J1112" s="75">
        <f t="shared" si="104"/>
        <v>1</v>
      </c>
      <c r="K1112" s="76" t="s">
        <v>211</v>
      </c>
      <c r="N1112" s="78" t="s">
        <v>18</v>
      </c>
      <c r="Q1112" s="78" t="s">
        <v>2447</v>
      </c>
      <c r="R1112" s="75">
        <f t="shared" si="105"/>
        <v>1</v>
      </c>
      <c r="S1112" s="263" t="s">
        <v>1991</v>
      </c>
      <c r="T1112" s="263"/>
      <c r="U1112" s="263"/>
      <c r="V1112" s="263"/>
      <c r="W1112" s="263"/>
      <c r="X1112" s="263"/>
      <c r="Y1112" s="575"/>
      <c r="Z1112" s="575"/>
      <c r="AA1112" s="576">
        <f t="shared" si="106"/>
        <v>0</v>
      </c>
      <c r="AB1112" s="722"/>
    </row>
    <row r="1113" spans="1:28" ht="15.75" customHeight="1" x14ac:dyDescent="0.35">
      <c r="A1113" s="81" t="s">
        <v>4108</v>
      </c>
      <c r="C1113" s="83">
        <v>43850</v>
      </c>
      <c r="D1113" s="112">
        <v>43886</v>
      </c>
      <c r="E1113" s="570"/>
      <c r="F1113" s="88" t="s">
        <v>4109</v>
      </c>
      <c r="G1113" s="88" t="s">
        <v>162</v>
      </c>
      <c r="H1113" s="81" t="s">
        <v>220</v>
      </c>
      <c r="I1113" s="98" t="s">
        <v>649</v>
      </c>
      <c r="J1113" s="75">
        <f t="shared" si="104"/>
        <v>1</v>
      </c>
      <c r="K1113" s="76" t="s">
        <v>211</v>
      </c>
      <c r="N1113" s="78" t="s">
        <v>18</v>
      </c>
      <c r="Q1113" s="78" t="s">
        <v>2447</v>
      </c>
      <c r="R1113" s="75">
        <f t="shared" si="105"/>
        <v>1</v>
      </c>
      <c r="S1113" s="263" t="s">
        <v>1991</v>
      </c>
      <c r="T1113" s="263"/>
      <c r="U1113" s="263"/>
      <c r="V1113" s="263"/>
      <c r="W1113" s="263"/>
      <c r="X1113" s="263"/>
      <c r="Y1113" s="575"/>
      <c r="Z1113" s="575"/>
      <c r="AA1113" s="576">
        <f t="shared" si="106"/>
        <v>0</v>
      </c>
      <c r="AB1113" s="722"/>
    </row>
    <row r="1114" spans="1:28" ht="15.75" customHeight="1" x14ac:dyDescent="0.35">
      <c r="A1114" s="81" t="s">
        <v>4309</v>
      </c>
      <c r="C1114" s="83">
        <v>43857</v>
      </c>
      <c r="D1114" s="83">
        <v>43879</v>
      </c>
      <c r="E1114" s="570"/>
      <c r="F1114" s="88" t="s">
        <v>4310</v>
      </c>
      <c r="G1114" s="88" t="s">
        <v>149</v>
      </c>
      <c r="H1114" s="81" t="s">
        <v>220</v>
      </c>
      <c r="J1114" s="75">
        <f t="shared" ref="J1114:J1131" si="107">IF(OR(K1114="Документы готовы",K1114="Запрос в ФО",K1114="ЭЗ",K1114="РЕШ",K1114="РЕШ шаблон"),0.1,IF(OR(K1114="ЭЗ согласование",K1114="РЕШ согласование"),0.3,IF(OR(K1114="ЭЗ согласовано",K1114="РЕШ согласовано",K1114="РЕШ подписано"),0.6,IF(OR(K1114="ЭЗ ПР согласование",K1114="РЕШ УВ согласование"),0.9,IF(OR(K1114="ЭЗ ПР DONE",K1114="РЕШ УВ DONE"),1,0)))))</f>
        <v>1</v>
      </c>
      <c r="K1114" s="76" t="s">
        <v>211</v>
      </c>
      <c r="Q1114" s="78" t="s">
        <v>2447</v>
      </c>
      <c r="R1114" s="75">
        <f t="shared" ref="R1114:R1131" si="108">IF(S1114="В работе",0.3,IF(S1114="Отписано",0.6,IF(S1114="На доработку",0.9,IF(S1114="Согласовано",1,0))))</f>
        <v>1</v>
      </c>
      <c r="S1114" s="263" t="s">
        <v>1991</v>
      </c>
      <c r="T1114" s="263"/>
      <c r="U1114" s="263"/>
      <c r="V1114" s="263"/>
      <c r="W1114" s="263"/>
      <c r="X1114" s="263"/>
      <c r="Y1114" s="575"/>
      <c r="Z1114" s="575"/>
      <c r="AA1114" s="576">
        <f t="shared" si="106"/>
        <v>0</v>
      </c>
      <c r="AB1114" s="722"/>
    </row>
    <row r="1115" spans="1:28" ht="15.75" customHeight="1" x14ac:dyDescent="0.35">
      <c r="A1115" s="81" t="s">
        <v>4311</v>
      </c>
      <c r="C1115" s="83">
        <v>43858</v>
      </c>
      <c r="D1115" s="83">
        <v>43880</v>
      </c>
      <c r="E1115" s="570"/>
      <c r="F1115" s="88" t="s">
        <v>4312</v>
      </c>
      <c r="G1115" s="88" t="s">
        <v>154</v>
      </c>
      <c r="H1115" s="98" t="s">
        <v>220</v>
      </c>
      <c r="J1115" s="75">
        <f t="shared" si="107"/>
        <v>1</v>
      </c>
      <c r="K1115" s="76" t="s">
        <v>211</v>
      </c>
      <c r="Q1115" s="78" t="s">
        <v>2447</v>
      </c>
      <c r="R1115" s="75">
        <f t="shared" si="108"/>
        <v>1</v>
      </c>
      <c r="S1115" s="263" t="s">
        <v>1991</v>
      </c>
      <c r="T1115" s="263"/>
      <c r="U1115" s="263"/>
      <c r="V1115" s="263"/>
      <c r="W1115" s="263"/>
      <c r="X1115" s="263"/>
      <c r="Y1115" s="575"/>
      <c r="Z1115" s="575"/>
      <c r="AA1115" s="576">
        <f t="shared" si="106"/>
        <v>0</v>
      </c>
      <c r="AB1115" s="722"/>
    </row>
    <row r="1116" spans="1:28" ht="15.75" customHeight="1" x14ac:dyDescent="0.35">
      <c r="A1116" s="81" t="s">
        <v>4315</v>
      </c>
      <c r="C1116" s="83">
        <v>43859</v>
      </c>
      <c r="D1116" s="112">
        <v>43881</v>
      </c>
      <c r="E1116" s="570"/>
      <c r="F1116" s="88" t="s">
        <v>4316</v>
      </c>
      <c r="G1116" s="88" t="s">
        <v>158</v>
      </c>
      <c r="H1116" s="98" t="s">
        <v>220</v>
      </c>
      <c r="J1116" s="75">
        <f t="shared" si="107"/>
        <v>1</v>
      </c>
      <c r="K1116" s="76" t="s">
        <v>211</v>
      </c>
      <c r="N1116" s="78" t="s">
        <v>19</v>
      </c>
      <c r="Q1116" s="78" t="s">
        <v>2447</v>
      </c>
      <c r="R1116" s="75">
        <f t="shared" si="108"/>
        <v>1</v>
      </c>
      <c r="S1116" s="263" t="s">
        <v>1991</v>
      </c>
      <c r="T1116" s="263"/>
      <c r="U1116" s="263"/>
      <c r="V1116" s="263"/>
      <c r="W1116" s="263"/>
      <c r="X1116" s="263"/>
      <c r="Y1116" s="575"/>
      <c r="Z1116" s="575"/>
      <c r="AA1116" s="576">
        <f t="shared" si="106"/>
        <v>0</v>
      </c>
      <c r="AB1116" s="722"/>
    </row>
    <row r="1117" spans="1:28" ht="15.75" customHeight="1" x14ac:dyDescent="0.35">
      <c r="A1117" s="81" t="s">
        <v>4317</v>
      </c>
      <c r="C1117" s="83">
        <v>43860</v>
      </c>
      <c r="D1117" s="112">
        <v>43882</v>
      </c>
      <c r="E1117" s="570"/>
      <c r="F1117" s="88" t="s">
        <v>4318</v>
      </c>
      <c r="G1117" s="88" t="s">
        <v>154</v>
      </c>
      <c r="H1117" s="98" t="s">
        <v>220</v>
      </c>
      <c r="I1117" s="98" t="s">
        <v>2516</v>
      </c>
      <c r="J1117" s="75">
        <f t="shared" si="107"/>
        <v>1</v>
      </c>
      <c r="K1117" s="76" t="s">
        <v>211</v>
      </c>
      <c r="N1117" s="78" t="s">
        <v>17</v>
      </c>
      <c r="Q1117" s="78" t="s">
        <v>2447</v>
      </c>
      <c r="R1117" s="75">
        <f t="shared" si="108"/>
        <v>1</v>
      </c>
      <c r="S1117" s="263" t="s">
        <v>1991</v>
      </c>
      <c r="T1117" s="263"/>
      <c r="U1117" s="263"/>
      <c r="V1117" s="263"/>
      <c r="W1117" s="263"/>
      <c r="X1117" s="263"/>
      <c r="Y1117" s="575"/>
      <c r="Z1117" s="575"/>
      <c r="AA1117" s="576">
        <f t="shared" si="106"/>
        <v>0</v>
      </c>
      <c r="AB1117" s="722"/>
    </row>
    <row r="1118" spans="1:28" ht="15.75" customHeight="1" x14ac:dyDescent="0.35">
      <c r="A1118" s="81" t="s">
        <v>3910</v>
      </c>
      <c r="C1118" s="83">
        <v>43843</v>
      </c>
      <c r="D1118" s="112">
        <v>43879</v>
      </c>
      <c r="E1118" s="570"/>
      <c r="F1118" s="88" t="s">
        <v>3911</v>
      </c>
      <c r="G1118" s="88" t="s">
        <v>149</v>
      </c>
      <c r="H1118" s="81" t="s">
        <v>220</v>
      </c>
      <c r="I1118" s="98" t="s">
        <v>730</v>
      </c>
      <c r="J1118" s="75">
        <f t="shared" si="107"/>
        <v>1</v>
      </c>
      <c r="K1118" s="76" t="s">
        <v>211</v>
      </c>
      <c r="N1118" s="78" t="s">
        <v>18</v>
      </c>
      <c r="Q1118" s="78" t="s">
        <v>2097</v>
      </c>
      <c r="R1118" s="75">
        <f t="shared" si="108"/>
        <v>1</v>
      </c>
      <c r="S1118" s="263" t="s">
        <v>1991</v>
      </c>
      <c r="T1118" s="263"/>
      <c r="U1118" s="263"/>
      <c r="V1118" s="263"/>
      <c r="W1118" s="263"/>
      <c r="X1118" s="263"/>
      <c r="Y1118" s="575"/>
      <c r="Z1118" s="575"/>
      <c r="AA1118" s="576">
        <f t="shared" si="106"/>
        <v>0</v>
      </c>
      <c r="AB1118" s="722"/>
    </row>
    <row r="1119" spans="1:28" ht="15.75" customHeight="1" x14ac:dyDescent="0.35">
      <c r="A1119" s="81" t="s">
        <v>4319</v>
      </c>
      <c r="C1119" s="83">
        <v>43843</v>
      </c>
      <c r="D1119" s="112">
        <v>43879</v>
      </c>
      <c r="E1119" s="570"/>
      <c r="F1119" s="88" t="s">
        <v>4320</v>
      </c>
      <c r="G1119" s="88" t="s">
        <v>154</v>
      </c>
      <c r="H1119" s="81" t="s">
        <v>220</v>
      </c>
      <c r="I1119" s="98" t="s">
        <v>652</v>
      </c>
      <c r="J1119" s="75">
        <f t="shared" si="107"/>
        <v>1</v>
      </c>
      <c r="K1119" s="76" t="s">
        <v>211</v>
      </c>
      <c r="Q1119" s="78" t="s">
        <v>2097</v>
      </c>
      <c r="R1119" s="75">
        <f t="shared" si="108"/>
        <v>1</v>
      </c>
      <c r="S1119" s="263" t="s">
        <v>1991</v>
      </c>
      <c r="T1119" s="263"/>
      <c r="U1119" s="263"/>
      <c r="V1119" s="263"/>
      <c r="W1119" s="263"/>
      <c r="X1119" s="263"/>
      <c r="Y1119" s="575"/>
      <c r="Z1119" s="575"/>
      <c r="AA1119" s="576">
        <f t="shared" si="106"/>
        <v>0</v>
      </c>
      <c r="AB1119" s="722"/>
    </row>
    <row r="1120" spans="1:28" ht="15.75" customHeight="1" x14ac:dyDescent="0.35">
      <c r="A1120" s="98" t="s">
        <v>3763</v>
      </c>
      <c r="C1120" s="83">
        <v>43844</v>
      </c>
      <c r="D1120" s="112">
        <v>43880</v>
      </c>
      <c r="E1120" s="570"/>
      <c r="F1120" s="88" t="s">
        <v>3764</v>
      </c>
      <c r="G1120" s="88" t="s">
        <v>1393</v>
      </c>
      <c r="H1120" s="81" t="s">
        <v>220</v>
      </c>
      <c r="I1120" s="98" t="s">
        <v>722</v>
      </c>
      <c r="J1120" s="75">
        <f t="shared" si="107"/>
        <v>1</v>
      </c>
      <c r="K1120" s="76" t="s">
        <v>211</v>
      </c>
      <c r="N1120" s="78" t="s">
        <v>17</v>
      </c>
      <c r="Q1120" s="78" t="s">
        <v>2097</v>
      </c>
      <c r="R1120" s="75">
        <f t="shared" si="108"/>
        <v>1</v>
      </c>
      <c r="S1120" s="263" t="s">
        <v>1991</v>
      </c>
      <c r="T1120" s="263"/>
      <c r="U1120" s="263"/>
      <c r="V1120" s="263"/>
      <c r="W1120" s="263"/>
      <c r="X1120" s="263"/>
      <c r="Y1120" s="575"/>
      <c r="Z1120" s="575"/>
      <c r="AA1120" s="576">
        <f t="shared" si="106"/>
        <v>0</v>
      </c>
      <c r="AB1120" s="722"/>
    </row>
    <row r="1121" spans="1:28" ht="15.75" customHeight="1" x14ac:dyDescent="0.35">
      <c r="A1121" s="98" t="s">
        <v>3767</v>
      </c>
      <c r="C1121" s="83">
        <v>43844</v>
      </c>
      <c r="D1121" s="112">
        <v>43880</v>
      </c>
      <c r="E1121" s="570"/>
      <c r="F1121" s="88" t="s">
        <v>3768</v>
      </c>
      <c r="G1121" s="88" t="s">
        <v>152</v>
      </c>
      <c r="H1121" s="81" t="s">
        <v>220</v>
      </c>
      <c r="I1121" s="98" t="s">
        <v>2215</v>
      </c>
      <c r="J1121" s="75">
        <f t="shared" si="107"/>
        <v>1</v>
      </c>
      <c r="K1121" s="76" t="s">
        <v>211</v>
      </c>
      <c r="N1121" s="78" t="s">
        <v>17</v>
      </c>
      <c r="Q1121" s="78" t="s">
        <v>2097</v>
      </c>
      <c r="R1121" s="75">
        <f t="shared" si="108"/>
        <v>1</v>
      </c>
      <c r="S1121" s="263" t="s">
        <v>1991</v>
      </c>
      <c r="T1121" s="263"/>
      <c r="U1121" s="263"/>
      <c r="V1121" s="263"/>
      <c r="W1121" s="263"/>
      <c r="X1121" s="263"/>
      <c r="Y1121" s="575"/>
      <c r="Z1121" s="575"/>
      <c r="AA1121" s="576">
        <f t="shared" si="106"/>
        <v>0</v>
      </c>
      <c r="AB1121" s="722"/>
    </row>
    <row r="1122" spans="1:28" ht="15.75" customHeight="1" x14ac:dyDescent="0.35">
      <c r="A1122" s="98" t="s">
        <v>4321</v>
      </c>
      <c r="C1122" s="83">
        <v>43845</v>
      </c>
      <c r="D1122" s="112">
        <v>43880</v>
      </c>
      <c r="E1122" s="570"/>
      <c r="F1122" s="88" t="s">
        <v>4322</v>
      </c>
      <c r="G1122" s="88" t="s">
        <v>162</v>
      </c>
      <c r="H1122" s="81" t="s">
        <v>220</v>
      </c>
      <c r="I1122" s="98" t="s">
        <v>730</v>
      </c>
      <c r="J1122" s="75">
        <f t="shared" si="107"/>
        <v>1</v>
      </c>
      <c r="K1122" s="76" t="s">
        <v>211</v>
      </c>
      <c r="N1122" s="78" t="s">
        <v>17</v>
      </c>
      <c r="Q1122" s="78" t="s">
        <v>2097</v>
      </c>
      <c r="R1122" s="75">
        <f t="shared" si="108"/>
        <v>1</v>
      </c>
      <c r="S1122" s="263" t="s">
        <v>1991</v>
      </c>
      <c r="T1122" s="263"/>
      <c r="U1122" s="263"/>
      <c r="V1122" s="263"/>
      <c r="W1122" s="263"/>
      <c r="X1122" s="263"/>
      <c r="Y1122" s="575"/>
      <c r="Z1122" s="575"/>
      <c r="AA1122" s="576">
        <f t="shared" si="106"/>
        <v>0</v>
      </c>
      <c r="AB1122" s="722"/>
    </row>
    <row r="1123" spans="1:28" ht="15.75" customHeight="1" x14ac:dyDescent="0.35">
      <c r="A1123" s="98" t="s">
        <v>3926</v>
      </c>
      <c r="C1123" s="83">
        <v>43845</v>
      </c>
      <c r="D1123" s="112">
        <v>43881</v>
      </c>
      <c r="E1123" s="570"/>
      <c r="F1123" s="88" t="s">
        <v>3927</v>
      </c>
      <c r="G1123" s="88" t="s">
        <v>193</v>
      </c>
      <c r="H1123" s="81" t="s">
        <v>220</v>
      </c>
      <c r="I1123" s="98" t="s">
        <v>690</v>
      </c>
      <c r="J1123" s="75">
        <f t="shared" si="107"/>
        <v>1</v>
      </c>
      <c r="K1123" s="76" t="s">
        <v>211</v>
      </c>
      <c r="N1123" s="78" t="s">
        <v>19</v>
      </c>
      <c r="Q1123" s="78" t="s">
        <v>2097</v>
      </c>
      <c r="R1123" s="75">
        <f t="shared" si="108"/>
        <v>1</v>
      </c>
      <c r="S1123" s="263" t="s">
        <v>1991</v>
      </c>
      <c r="T1123" s="263"/>
      <c r="U1123" s="263"/>
      <c r="V1123" s="263"/>
      <c r="W1123" s="263"/>
      <c r="X1123" s="263"/>
      <c r="Y1123" s="575"/>
      <c r="Z1123" s="575"/>
      <c r="AA1123" s="576">
        <f t="shared" si="106"/>
        <v>0</v>
      </c>
      <c r="AB1123" s="722"/>
    </row>
    <row r="1124" spans="1:28" ht="15.75" customHeight="1" x14ac:dyDescent="0.35">
      <c r="A1124" s="81" t="s">
        <v>3928</v>
      </c>
      <c r="C1124" s="83">
        <v>43845</v>
      </c>
      <c r="D1124" s="112">
        <v>43881</v>
      </c>
      <c r="E1124" s="570"/>
      <c r="F1124" s="88" t="s">
        <v>3929</v>
      </c>
      <c r="G1124" s="88" t="s">
        <v>162</v>
      </c>
      <c r="H1124" s="81" t="s">
        <v>220</v>
      </c>
      <c r="I1124" s="81" t="s">
        <v>3731</v>
      </c>
      <c r="J1124" s="75">
        <f t="shared" si="107"/>
        <v>1</v>
      </c>
      <c r="K1124" s="76" t="s">
        <v>211</v>
      </c>
      <c r="N1124" s="78" t="s">
        <v>18</v>
      </c>
      <c r="Q1124" s="78" t="s">
        <v>2097</v>
      </c>
      <c r="R1124" s="75">
        <f t="shared" si="108"/>
        <v>1</v>
      </c>
      <c r="S1124" s="263" t="s">
        <v>1991</v>
      </c>
      <c r="T1124" s="263"/>
      <c r="U1124" s="263"/>
      <c r="V1124" s="263"/>
      <c r="W1124" s="263"/>
      <c r="X1124" s="263"/>
      <c r="Y1124" s="575"/>
      <c r="Z1124" s="575"/>
      <c r="AA1124" s="576">
        <f t="shared" si="106"/>
        <v>0</v>
      </c>
      <c r="AB1124" s="722"/>
    </row>
    <row r="1125" spans="1:28" ht="15.75" customHeight="1" x14ac:dyDescent="0.35">
      <c r="A1125" s="81" t="s">
        <v>3930</v>
      </c>
      <c r="C1125" s="83">
        <v>43846</v>
      </c>
      <c r="D1125" s="112">
        <v>43882</v>
      </c>
      <c r="E1125" s="570"/>
      <c r="F1125" s="88" t="s">
        <v>3931</v>
      </c>
      <c r="G1125" s="88" t="s">
        <v>154</v>
      </c>
      <c r="H1125" s="81" t="s">
        <v>220</v>
      </c>
      <c r="I1125" s="98" t="s">
        <v>722</v>
      </c>
      <c r="J1125" s="75">
        <f t="shared" si="107"/>
        <v>1</v>
      </c>
      <c r="K1125" s="76" t="s">
        <v>211</v>
      </c>
      <c r="N1125" s="78" t="s">
        <v>18</v>
      </c>
      <c r="Q1125" s="78" t="s">
        <v>2097</v>
      </c>
      <c r="R1125" s="75">
        <f t="shared" si="108"/>
        <v>1</v>
      </c>
      <c r="S1125" s="263" t="s">
        <v>1991</v>
      </c>
      <c r="T1125" s="263"/>
      <c r="U1125" s="263"/>
      <c r="V1125" s="263"/>
      <c r="W1125" s="263"/>
      <c r="X1125" s="263"/>
      <c r="Y1125" s="575"/>
      <c r="Z1125" s="575"/>
      <c r="AA1125" s="576">
        <f t="shared" si="106"/>
        <v>0</v>
      </c>
      <c r="AB1125" s="722"/>
    </row>
    <row r="1126" spans="1:28" ht="15.75" customHeight="1" x14ac:dyDescent="0.35">
      <c r="A1126" s="81" t="s">
        <v>3932</v>
      </c>
      <c r="C1126" s="83">
        <v>43846</v>
      </c>
      <c r="D1126" s="112">
        <v>43882</v>
      </c>
      <c r="E1126" s="570"/>
      <c r="F1126" s="88" t="s">
        <v>3933</v>
      </c>
      <c r="G1126" s="88" t="s">
        <v>162</v>
      </c>
      <c r="H1126" s="81" t="s">
        <v>220</v>
      </c>
      <c r="I1126" s="98" t="s">
        <v>648</v>
      </c>
      <c r="J1126" s="75">
        <f t="shared" si="107"/>
        <v>1</v>
      </c>
      <c r="K1126" s="76" t="s">
        <v>211</v>
      </c>
      <c r="N1126" s="78" t="s">
        <v>17</v>
      </c>
      <c r="Q1126" s="78" t="s">
        <v>2097</v>
      </c>
      <c r="R1126" s="75">
        <f t="shared" si="108"/>
        <v>1</v>
      </c>
      <c r="S1126" s="263" t="s">
        <v>1991</v>
      </c>
      <c r="T1126" s="263"/>
      <c r="U1126" s="263"/>
      <c r="V1126" s="263"/>
      <c r="W1126" s="263"/>
      <c r="X1126" s="263"/>
      <c r="Y1126" s="575"/>
      <c r="Z1126" s="575"/>
      <c r="AA1126" s="576">
        <f t="shared" si="106"/>
        <v>0</v>
      </c>
      <c r="AB1126" s="722"/>
    </row>
    <row r="1127" spans="1:28" ht="15.75" customHeight="1" x14ac:dyDescent="0.35">
      <c r="A1127" s="98" t="s">
        <v>3967</v>
      </c>
      <c r="C1127" s="83">
        <v>43850</v>
      </c>
      <c r="D1127" s="112">
        <v>43886</v>
      </c>
      <c r="E1127" s="570"/>
      <c r="F1127" s="88" t="s">
        <v>3968</v>
      </c>
      <c r="G1127" s="88" t="s">
        <v>154</v>
      </c>
      <c r="H1127" s="81" t="s">
        <v>220</v>
      </c>
      <c r="I1127" s="98" t="s">
        <v>722</v>
      </c>
      <c r="J1127" s="75">
        <f t="shared" si="107"/>
        <v>1</v>
      </c>
      <c r="K1127" s="76" t="s">
        <v>211</v>
      </c>
      <c r="N1127" s="78" t="s">
        <v>17</v>
      </c>
      <c r="Q1127" s="78" t="s">
        <v>2097</v>
      </c>
      <c r="R1127" s="75">
        <f t="shared" si="108"/>
        <v>1</v>
      </c>
      <c r="S1127" s="263" t="s">
        <v>1991</v>
      </c>
      <c r="T1127" s="263"/>
      <c r="U1127" s="263"/>
      <c r="V1127" s="263"/>
      <c r="W1127" s="263"/>
      <c r="X1127" s="263"/>
      <c r="Y1127" s="575"/>
      <c r="Z1127" s="575"/>
      <c r="AA1127" s="576">
        <f t="shared" si="106"/>
        <v>0</v>
      </c>
      <c r="AB1127" s="722"/>
    </row>
    <row r="1128" spans="1:28" ht="15.75" customHeight="1" x14ac:dyDescent="0.35">
      <c r="A1128" s="81" t="s">
        <v>3971</v>
      </c>
      <c r="C1128" s="83">
        <v>43847</v>
      </c>
      <c r="D1128" s="112">
        <v>43886</v>
      </c>
      <c r="E1128" s="570"/>
      <c r="F1128" s="88" t="s">
        <v>3972</v>
      </c>
      <c r="G1128" s="88" t="s">
        <v>162</v>
      </c>
      <c r="H1128" s="81" t="s">
        <v>220</v>
      </c>
      <c r="I1128" s="98" t="s">
        <v>649</v>
      </c>
      <c r="J1128" s="75">
        <f t="shared" si="107"/>
        <v>1</v>
      </c>
      <c r="K1128" s="76" t="s">
        <v>211</v>
      </c>
      <c r="N1128" s="78" t="s">
        <v>18</v>
      </c>
      <c r="Q1128" s="78" t="s">
        <v>2097</v>
      </c>
      <c r="R1128" s="75">
        <f t="shared" si="108"/>
        <v>1</v>
      </c>
      <c r="S1128" s="263" t="s">
        <v>1991</v>
      </c>
      <c r="T1128" s="263"/>
      <c r="U1128" s="263"/>
      <c r="V1128" s="263"/>
      <c r="W1128" s="263"/>
      <c r="X1128" s="263"/>
      <c r="Y1128" s="575"/>
      <c r="Z1128" s="575"/>
      <c r="AA1128" s="576">
        <f t="shared" si="106"/>
        <v>0</v>
      </c>
      <c r="AB1128" s="722"/>
    </row>
    <row r="1129" spans="1:28" ht="15.75" customHeight="1" x14ac:dyDescent="0.35">
      <c r="A1129" s="81" t="s">
        <v>3973</v>
      </c>
      <c r="C1129" s="83">
        <v>43847</v>
      </c>
      <c r="D1129" s="112">
        <v>43886</v>
      </c>
      <c r="E1129" s="570"/>
      <c r="F1129" s="88" t="s">
        <v>3974</v>
      </c>
      <c r="G1129" s="88" t="s">
        <v>162</v>
      </c>
      <c r="H1129" s="81" t="s">
        <v>220</v>
      </c>
      <c r="I1129" s="98" t="s">
        <v>722</v>
      </c>
      <c r="J1129" s="75">
        <f t="shared" si="107"/>
        <v>1</v>
      </c>
      <c r="K1129" s="76" t="s">
        <v>211</v>
      </c>
      <c r="N1129" s="78" t="s">
        <v>17</v>
      </c>
      <c r="Q1129" s="78" t="s">
        <v>2097</v>
      </c>
      <c r="R1129" s="75">
        <f t="shared" si="108"/>
        <v>1</v>
      </c>
      <c r="S1129" s="263" t="s">
        <v>1991</v>
      </c>
      <c r="T1129" s="263"/>
      <c r="U1129" s="263"/>
      <c r="V1129" s="263"/>
      <c r="W1129" s="263"/>
      <c r="X1129" s="263"/>
      <c r="Y1129" s="575"/>
      <c r="Z1129" s="575"/>
      <c r="AA1129" s="576">
        <f t="shared" si="106"/>
        <v>0</v>
      </c>
      <c r="AB1129" s="722"/>
    </row>
    <row r="1130" spans="1:28" ht="15.75" customHeight="1" x14ac:dyDescent="0.35">
      <c r="A1130" s="81" t="s">
        <v>4329</v>
      </c>
      <c r="C1130" s="83">
        <v>43857</v>
      </c>
      <c r="D1130" s="112">
        <v>43879</v>
      </c>
      <c r="E1130" s="570"/>
      <c r="F1130" s="88" t="s">
        <v>4330</v>
      </c>
      <c r="G1130" s="88" t="s">
        <v>149</v>
      </c>
      <c r="H1130" s="81" t="s">
        <v>220</v>
      </c>
      <c r="I1130" s="98" t="s">
        <v>3901</v>
      </c>
      <c r="J1130" s="75">
        <f t="shared" si="107"/>
        <v>1</v>
      </c>
      <c r="K1130" s="76" t="s">
        <v>211</v>
      </c>
      <c r="Q1130" s="78" t="s">
        <v>2097</v>
      </c>
      <c r="R1130" s="75">
        <f t="shared" si="108"/>
        <v>1</v>
      </c>
      <c r="S1130" s="263" t="s">
        <v>1991</v>
      </c>
      <c r="T1130" s="263"/>
      <c r="U1130" s="263"/>
      <c r="V1130" s="263"/>
      <c r="W1130" s="263"/>
      <c r="X1130" s="263"/>
      <c r="Y1130" s="575"/>
      <c r="Z1130" s="575"/>
      <c r="AA1130" s="576">
        <f t="shared" si="106"/>
        <v>0</v>
      </c>
      <c r="AB1130" s="722"/>
    </row>
    <row r="1131" spans="1:28" ht="15.75" customHeight="1" x14ac:dyDescent="0.35">
      <c r="A1131" s="81" t="s">
        <v>4333</v>
      </c>
      <c r="C1131" s="83">
        <v>43857</v>
      </c>
      <c r="D1131" s="112">
        <v>43879</v>
      </c>
      <c r="E1131" s="570"/>
      <c r="F1131" s="88" t="s">
        <v>4334</v>
      </c>
      <c r="G1131" s="88" t="s">
        <v>154</v>
      </c>
      <c r="H1131" s="81" t="s">
        <v>220</v>
      </c>
      <c r="J1131" s="75">
        <f t="shared" si="107"/>
        <v>1</v>
      </c>
      <c r="K1131" s="76" t="s">
        <v>211</v>
      </c>
      <c r="N1131" s="78" t="s">
        <v>17</v>
      </c>
      <c r="Q1131" s="78" t="s">
        <v>2097</v>
      </c>
      <c r="R1131" s="75">
        <f t="shared" si="108"/>
        <v>1</v>
      </c>
      <c r="S1131" s="263" t="s">
        <v>1991</v>
      </c>
      <c r="T1131" s="263"/>
      <c r="U1131" s="263"/>
      <c r="V1131" s="263"/>
      <c r="W1131" s="263"/>
      <c r="X1131" s="263"/>
      <c r="Y1131" s="575"/>
      <c r="Z1131" s="575"/>
      <c r="AA1131" s="576">
        <f t="shared" si="106"/>
        <v>0</v>
      </c>
      <c r="AB1131" s="722"/>
    </row>
    <row r="1132" spans="1:28" ht="15.75" customHeight="1" x14ac:dyDescent="0.35">
      <c r="A1132" s="98" t="s">
        <v>4343</v>
      </c>
      <c r="C1132" s="83">
        <v>43859</v>
      </c>
      <c r="D1132" s="112">
        <v>43881</v>
      </c>
      <c r="E1132" s="570"/>
      <c r="F1132" s="88" t="s">
        <v>4344</v>
      </c>
      <c r="G1132" s="88" t="s">
        <v>1393</v>
      </c>
      <c r="H1132" s="81" t="s">
        <v>220</v>
      </c>
      <c r="I1132" s="98" t="s">
        <v>1294</v>
      </c>
      <c r="J1132" s="75">
        <f t="shared" ref="J1132:J1151" si="109">IF(OR(K1132="Документы готовы",K1132="Запрос в ФО",K1132="ЭЗ",K1132="РЕШ",K1132="РЕШ шаблон"),0.1,IF(OR(K1132="ЭЗ согласование",K1132="РЕШ согласование"),0.3,IF(OR(K1132="ЭЗ согласовано",K1132="РЕШ согласовано",K1132="РЕШ подписано"),0.6,IF(OR(K1132="ЭЗ ПР согласование",K1132="РЕШ УВ согласование"),0.9,IF(OR(K1132="ЭЗ ПР DONE",K1132="РЕШ УВ DONE"),1,0)))))</f>
        <v>1</v>
      </c>
      <c r="K1132" s="76" t="s">
        <v>211</v>
      </c>
      <c r="N1132" s="78" t="s">
        <v>19</v>
      </c>
      <c r="Q1132" s="78" t="s">
        <v>2097</v>
      </c>
      <c r="R1132" s="75">
        <f t="shared" ref="R1132:R1151" si="110">IF(S1132="В работе",0.3,IF(S1132="Отписано",0.6,IF(S1132="На доработку",0.9,IF(S1132="Согласовано",1,0))))</f>
        <v>1</v>
      </c>
      <c r="S1132" s="263" t="s">
        <v>1991</v>
      </c>
      <c r="T1132" s="263"/>
      <c r="U1132" s="263"/>
      <c r="V1132" s="263"/>
      <c r="W1132" s="263"/>
      <c r="X1132" s="263"/>
      <c r="Y1132" s="575"/>
      <c r="Z1132" s="575"/>
      <c r="AA1132" s="576">
        <f t="shared" si="106"/>
        <v>0</v>
      </c>
      <c r="AB1132" s="722"/>
    </row>
    <row r="1133" spans="1:28" ht="15.75" customHeight="1" x14ac:dyDescent="0.35">
      <c r="A1133" s="81" t="s">
        <v>4351</v>
      </c>
      <c r="C1133" s="83">
        <v>43860</v>
      </c>
      <c r="D1133" s="112">
        <v>43882</v>
      </c>
      <c r="E1133" s="570"/>
      <c r="F1133" s="88" t="s">
        <v>4352</v>
      </c>
      <c r="G1133" s="88" t="s">
        <v>170</v>
      </c>
      <c r="H1133" s="98" t="s">
        <v>220</v>
      </c>
      <c r="J1133" s="75">
        <f t="shared" si="109"/>
        <v>1</v>
      </c>
      <c r="K1133" s="76" t="s">
        <v>211</v>
      </c>
      <c r="N1133" s="78" t="s">
        <v>19</v>
      </c>
      <c r="Q1133" s="78" t="s">
        <v>2097</v>
      </c>
      <c r="R1133" s="75">
        <f t="shared" si="110"/>
        <v>1</v>
      </c>
      <c r="S1133" s="263" t="s">
        <v>1991</v>
      </c>
      <c r="T1133" s="263"/>
      <c r="U1133" s="263"/>
      <c r="V1133" s="263"/>
      <c r="W1133" s="263"/>
      <c r="X1133" s="263"/>
      <c r="Y1133" s="575"/>
      <c r="Z1133" s="575"/>
      <c r="AA1133" s="576">
        <f t="shared" si="106"/>
        <v>0</v>
      </c>
      <c r="AB1133" s="722"/>
    </row>
    <row r="1134" spans="1:28" ht="15.75" customHeight="1" x14ac:dyDescent="0.35">
      <c r="A1134" s="98" t="s">
        <v>4366</v>
      </c>
      <c r="C1134" s="83">
        <v>43843</v>
      </c>
      <c r="D1134" s="112">
        <v>43887</v>
      </c>
      <c r="E1134" s="570"/>
      <c r="F1134" s="99" t="s">
        <v>4367</v>
      </c>
      <c r="G1134" s="88" t="s">
        <v>152</v>
      </c>
      <c r="H1134" s="81" t="s">
        <v>220</v>
      </c>
      <c r="I1134" s="98" t="s">
        <v>656</v>
      </c>
      <c r="J1134" s="75">
        <f t="shared" si="109"/>
        <v>1</v>
      </c>
      <c r="K1134" s="76" t="s">
        <v>211</v>
      </c>
      <c r="L1134" s="99" t="s">
        <v>4549</v>
      </c>
      <c r="N1134" s="78" t="s">
        <v>18</v>
      </c>
      <c r="Q1134" s="78" t="s">
        <v>2130</v>
      </c>
      <c r="R1134" s="75">
        <f t="shared" si="110"/>
        <v>1</v>
      </c>
      <c r="S1134" s="263" t="s">
        <v>1991</v>
      </c>
      <c r="T1134" s="263"/>
      <c r="U1134" s="263"/>
      <c r="V1134" s="263"/>
      <c r="W1134" s="263"/>
      <c r="X1134" s="263"/>
      <c r="Y1134" s="575"/>
      <c r="Z1134" s="575"/>
      <c r="AA1134" s="576">
        <f t="shared" si="106"/>
        <v>0</v>
      </c>
      <c r="AB1134" s="722"/>
    </row>
    <row r="1135" spans="1:28" ht="15.75" customHeight="1" x14ac:dyDescent="0.35">
      <c r="A1135" s="98" t="s">
        <v>4368</v>
      </c>
      <c r="C1135" s="83">
        <v>43850</v>
      </c>
      <c r="D1135" s="112">
        <v>43886</v>
      </c>
      <c r="E1135" s="570"/>
      <c r="F1135" s="88" t="s">
        <v>4369</v>
      </c>
      <c r="G1135" s="88" t="s">
        <v>162</v>
      </c>
      <c r="H1135" s="81" t="s">
        <v>220</v>
      </c>
      <c r="I1135" s="98" t="s">
        <v>722</v>
      </c>
      <c r="J1135" s="75">
        <f t="shared" si="109"/>
        <v>1</v>
      </c>
      <c r="K1135" s="76" t="s">
        <v>211</v>
      </c>
      <c r="N1135" s="78" t="s">
        <v>18</v>
      </c>
      <c r="Q1135" s="78" t="s">
        <v>2130</v>
      </c>
      <c r="R1135" s="75">
        <f t="shared" si="110"/>
        <v>1</v>
      </c>
      <c r="S1135" s="263" t="s">
        <v>1991</v>
      </c>
      <c r="T1135" s="263"/>
      <c r="U1135" s="263"/>
      <c r="V1135" s="263"/>
      <c r="W1135" s="263"/>
      <c r="X1135" s="263"/>
      <c r="Y1135" s="575"/>
      <c r="Z1135" s="575"/>
      <c r="AA1135" s="576">
        <f t="shared" si="106"/>
        <v>0</v>
      </c>
      <c r="AB1135" s="722"/>
    </row>
    <row r="1136" spans="1:28" ht="15.75" customHeight="1" x14ac:dyDescent="0.35">
      <c r="A1136" s="98" t="s">
        <v>4038</v>
      </c>
      <c r="C1136" s="83">
        <v>43850</v>
      </c>
      <c r="D1136" s="112">
        <v>43886</v>
      </c>
      <c r="E1136" s="570"/>
      <c r="F1136" s="88" t="s">
        <v>4039</v>
      </c>
      <c r="G1136" s="88" t="s">
        <v>158</v>
      </c>
      <c r="H1136" s="81" t="s">
        <v>220</v>
      </c>
      <c r="I1136" s="98" t="s">
        <v>863</v>
      </c>
      <c r="J1136" s="75">
        <f t="shared" si="109"/>
        <v>1</v>
      </c>
      <c r="K1136" s="76" t="s">
        <v>211</v>
      </c>
      <c r="L1136" s="99" t="s">
        <v>3301</v>
      </c>
      <c r="N1136" s="78" t="s">
        <v>17</v>
      </c>
      <c r="Q1136" s="78" t="s">
        <v>2130</v>
      </c>
      <c r="R1136" s="75">
        <f t="shared" si="110"/>
        <v>1</v>
      </c>
      <c r="S1136" s="263" t="s">
        <v>1991</v>
      </c>
      <c r="T1136" s="263"/>
      <c r="U1136" s="263"/>
      <c r="V1136" s="263"/>
      <c r="W1136" s="263"/>
      <c r="X1136" s="263"/>
      <c r="Y1136" s="575"/>
      <c r="Z1136" s="575"/>
      <c r="AA1136" s="576">
        <f t="shared" si="106"/>
        <v>0</v>
      </c>
      <c r="AB1136" s="722"/>
    </row>
    <row r="1137" spans="1:28" ht="15.75" customHeight="1" x14ac:dyDescent="0.35">
      <c r="A1137" s="81" t="s">
        <v>4040</v>
      </c>
      <c r="C1137" s="83">
        <v>43851</v>
      </c>
      <c r="D1137" s="112">
        <v>43887</v>
      </c>
      <c r="E1137" s="570"/>
      <c r="F1137" s="88" t="s">
        <v>4041</v>
      </c>
      <c r="G1137" s="88" t="s">
        <v>162</v>
      </c>
      <c r="H1137" s="81" t="s">
        <v>220</v>
      </c>
      <c r="I1137" s="98" t="s">
        <v>722</v>
      </c>
      <c r="J1137" s="75">
        <f t="shared" si="109"/>
        <v>1</v>
      </c>
      <c r="K1137" s="76" t="s">
        <v>211</v>
      </c>
      <c r="N1137" s="78" t="s">
        <v>17</v>
      </c>
      <c r="Q1137" s="78" t="s">
        <v>2130</v>
      </c>
      <c r="R1137" s="75">
        <f t="shared" si="110"/>
        <v>1</v>
      </c>
      <c r="S1137" s="263" t="s">
        <v>1991</v>
      </c>
      <c r="T1137" s="263"/>
      <c r="U1137" s="263"/>
      <c r="V1137" s="263"/>
      <c r="W1137" s="263"/>
      <c r="X1137" s="263"/>
      <c r="Y1137" s="575"/>
      <c r="Z1137" s="575"/>
      <c r="AA1137" s="576">
        <f t="shared" si="106"/>
        <v>0</v>
      </c>
      <c r="AB1137" s="722"/>
    </row>
    <row r="1138" spans="1:28" ht="15.75" customHeight="1" x14ac:dyDescent="0.35">
      <c r="A1138" s="81" t="s">
        <v>4044</v>
      </c>
      <c r="C1138" s="83">
        <v>43851</v>
      </c>
      <c r="D1138" s="112">
        <v>43887</v>
      </c>
      <c r="E1138" s="570"/>
      <c r="F1138" s="88" t="s">
        <v>4045</v>
      </c>
      <c r="G1138" s="88" t="s">
        <v>162</v>
      </c>
      <c r="H1138" s="81" t="s">
        <v>220</v>
      </c>
      <c r="I1138" s="98" t="s">
        <v>648</v>
      </c>
      <c r="J1138" s="75">
        <f t="shared" si="109"/>
        <v>1</v>
      </c>
      <c r="K1138" s="76" t="s">
        <v>211</v>
      </c>
      <c r="N1138" s="78" t="s">
        <v>17</v>
      </c>
      <c r="Q1138" s="78" t="s">
        <v>2130</v>
      </c>
      <c r="R1138" s="75">
        <f t="shared" si="110"/>
        <v>1</v>
      </c>
      <c r="S1138" s="263" t="s">
        <v>1991</v>
      </c>
      <c r="T1138" s="263"/>
      <c r="U1138" s="263"/>
      <c r="V1138" s="263"/>
      <c r="W1138" s="263"/>
      <c r="X1138" s="263"/>
      <c r="Y1138" s="575"/>
      <c r="Z1138" s="575"/>
      <c r="AA1138" s="576">
        <f t="shared" si="106"/>
        <v>0</v>
      </c>
      <c r="AB1138" s="722"/>
    </row>
    <row r="1139" spans="1:28" ht="15.75" customHeight="1" x14ac:dyDescent="0.35">
      <c r="A1139" s="81" t="s">
        <v>4048</v>
      </c>
      <c r="C1139" s="83">
        <v>43851</v>
      </c>
      <c r="D1139" s="112">
        <v>43887</v>
      </c>
      <c r="E1139" s="570"/>
      <c r="F1139" s="88" t="s">
        <v>4049</v>
      </c>
      <c r="G1139" s="88" t="s">
        <v>1393</v>
      </c>
      <c r="H1139" s="81" t="s">
        <v>220</v>
      </c>
      <c r="I1139" s="98" t="s">
        <v>1004</v>
      </c>
      <c r="J1139" s="75">
        <f t="shared" si="109"/>
        <v>1</v>
      </c>
      <c r="K1139" s="76" t="s">
        <v>211</v>
      </c>
      <c r="L1139" s="99" t="s">
        <v>4553</v>
      </c>
      <c r="N1139" s="78" t="s">
        <v>19</v>
      </c>
      <c r="Q1139" s="78" t="s">
        <v>2130</v>
      </c>
      <c r="R1139" s="75">
        <f t="shared" si="110"/>
        <v>1</v>
      </c>
      <c r="S1139" s="263" t="s">
        <v>1991</v>
      </c>
      <c r="T1139" s="263"/>
      <c r="U1139" s="263"/>
      <c r="V1139" s="263"/>
      <c r="W1139" s="263"/>
      <c r="X1139" s="263"/>
      <c r="Y1139" s="575"/>
      <c r="Z1139" s="575"/>
      <c r="AA1139" s="576">
        <f t="shared" si="106"/>
        <v>0</v>
      </c>
      <c r="AB1139" s="722"/>
    </row>
    <row r="1140" spans="1:28" ht="15.75" customHeight="1" x14ac:dyDescent="0.35">
      <c r="A1140" s="81" t="s">
        <v>4052</v>
      </c>
      <c r="C1140" s="83">
        <v>43852</v>
      </c>
      <c r="D1140" s="112">
        <v>43888</v>
      </c>
      <c r="E1140" s="570"/>
      <c r="F1140" s="88" t="s">
        <v>4053</v>
      </c>
      <c r="G1140" s="88" t="s">
        <v>152</v>
      </c>
      <c r="H1140" s="81" t="s">
        <v>220</v>
      </c>
      <c r="I1140" s="98" t="s">
        <v>652</v>
      </c>
      <c r="J1140" s="75">
        <f t="shared" si="109"/>
        <v>1</v>
      </c>
      <c r="K1140" s="76" t="s">
        <v>211</v>
      </c>
      <c r="N1140" s="78" t="s">
        <v>17</v>
      </c>
      <c r="Q1140" s="78" t="s">
        <v>2130</v>
      </c>
      <c r="R1140" s="75">
        <f t="shared" si="110"/>
        <v>1</v>
      </c>
      <c r="S1140" s="263" t="s">
        <v>1991</v>
      </c>
      <c r="T1140" s="263"/>
      <c r="U1140" s="263"/>
      <c r="V1140" s="263"/>
      <c r="W1140" s="263"/>
      <c r="X1140" s="263"/>
      <c r="Y1140" s="575"/>
      <c r="Z1140" s="575"/>
      <c r="AA1140" s="576">
        <f t="shared" si="106"/>
        <v>0</v>
      </c>
      <c r="AB1140" s="722"/>
    </row>
    <row r="1141" spans="1:28" ht="15" customHeight="1" x14ac:dyDescent="0.35">
      <c r="A1141" s="81" t="s">
        <v>4124</v>
      </c>
      <c r="C1141" s="83">
        <v>43852</v>
      </c>
      <c r="D1141" s="112">
        <v>43888</v>
      </c>
      <c r="E1141" s="570"/>
      <c r="F1141" s="88" t="s">
        <v>4125</v>
      </c>
      <c r="G1141" s="88" t="s">
        <v>417</v>
      </c>
      <c r="H1141" s="81" t="s">
        <v>220</v>
      </c>
      <c r="I1141" s="98" t="s">
        <v>722</v>
      </c>
      <c r="J1141" s="75">
        <f t="shared" si="109"/>
        <v>1</v>
      </c>
      <c r="K1141" s="76" t="s">
        <v>211</v>
      </c>
      <c r="N1141" s="78" t="s">
        <v>17</v>
      </c>
      <c r="Q1141" s="78" t="s">
        <v>2130</v>
      </c>
      <c r="R1141" s="75">
        <f t="shared" si="110"/>
        <v>1</v>
      </c>
      <c r="S1141" s="263" t="s">
        <v>1991</v>
      </c>
      <c r="T1141" s="263"/>
      <c r="U1141" s="263"/>
      <c r="V1141" s="263"/>
      <c r="W1141" s="263"/>
      <c r="X1141" s="263"/>
      <c r="Y1141" s="575"/>
      <c r="Z1141" s="575"/>
      <c r="AA1141" s="576">
        <f t="shared" si="106"/>
        <v>0</v>
      </c>
      <c r="AB1141" s="722"/>
    </row>
    <row r="1142" spans="1:28" ht="15.75" customHeight="1" x14ac:dyDescent="0.35">
      <c r="A1142" s="81" t="s">
        <v>4060</v>
      </c>
      <c r="C1142" s="83">
        <v>43853</v>
      </c>
      <c r="D1142" s="112">
        <v>43889</v>
      </c>
      <c r="E1142" s="570"/>
      <c r="F1142" s="88" t="s">
        <v>4061</v>
      </c>
      <c r="G1142" s="88" t="s">
        <v>158</v>
      </c>
      <c r="H1142" s="81" t="s">
        <v>220</v>
      </c>
      <c r="I1142" s="98" t="s">
        <v>722</v>
      </c>
      <c r="J1142" s="75">
        <f t="shared" si="109"/>
        <v>1</v>
      </c>
      <c r="K1142" s="76" t="s">
        <v>211</v>
      </c>
      <c r="N1142" s="78" t="s">
        <v>18</v>
      </c>
      <c r="Q1142" s="78" t="s">
        <v>2130</v>
      </c>
      <c r="R1142" s="75">
        <f t="shared" si="110"/>
        <v>1</v>
      </c>
      <c r="S1142" s="263" t="s">
        <v>1991</v>
      </c>
      <c r="T1142" s="263"/>
      <c r="U1142" s="263"/>
      <c r="V1142" s="263"/>
      <c r="W1142" s="263"/>
      <c r="X1142" s="263"/>
      <c r="Y1142" s="575"/>
      <c r="Z1142" s="575"/>
      <c r="AA1142" s="576">
        <f t="shared" si="106"/>
        <v>0</v>
      </c>
      <c r="AB1142" s="722"/>
    </row>
    <row r="1143" spans="1:28" ht="15.75" customHeight="1" x14ac:dyDescent="0.35">
      <c r="A1143" s="81" t="s">
        <v>4062</v>
      </c>
      <c r="C1143" s="83">
        <v>43853</v>
      </c>
      <c r="D1143" s="112">
        <v>43889</v>
      </c>
      <c r="E1143" s="570"/>
      <c r="F1143" s="88" t="s">
        <v>4063</v>
      </c>
      <c r="G1143" s="88" t="s">
        <v>417</v>
      </c>
      <c r="H1143" s="81" t="s">
        <v>220</v>
      </c>
      <c r="I1143" s="98" t="s">
        <v>3741</v>
      </c>
      <c r="J1143" s="75">
        <f t="shared" si="109"/>
        <v>1</v>
      </c>
      <c r="K1143" s="76" t="s">
        <v>211</v>
      </c>
      <c r="N1143" s="78" t="s">
        <v>18</v>
      </c>
      <c r="Q1143" s="78" t="s">
        <v>2130</v>
      </c>
      <c r="R1143" s="75">
        <f t="shared" si="110"/>
        <v>1</v>
      </c>
      <c r="S1143" s="263" t="s">
        <v>1991</v>
      </c>
      <c r="T1143" s="263"/>
      <c r="U1143" s="263"/>
      <c r="V1143" s="263"/>
      <c r="W1143" s="263"/>
      <c r="X1143" s="263"/>
      <c r="Y1143" s="575"/>
      <c r="Z1143" s="575"/>
      <c r="AA1143" s="576">
        <f t="shared" si="106"/>
        <v>0</v>
      </c>
      <c r="AB1143" s="722"/>
    </row>
    <row r="1144" spans="1:28" ht="15.75" customHeight="1" x14ac:dyDescent="0.35">
      <c r="A1144" s="81" t="s">
        <v>4268</v>
      </c>
      <c r="C1144" s="83">
        <v>43860</v>
      </c>
      <c r="D1144" s="83">
        <v>43882</v>
      </c>
      <c r="E1144" s="570"/>
      <c r="F1144" s="88" t="s">
        <v>4269</v>
      </c>
      <c r="G1144" s="88" t="s">
        <v>168</v>
      </c>
      <c r="H1144" s="81" t="s">
        <v>220</v>
      </c>
      <c r="J1144" s="75">
        <f t="shared" si="109"/>
        <v>1</v>
      </c>
      <c r="K1144" s="76" t="s">
        <v>221</v>
      </c>
      <c r="Q1144" s="78" t="s">
        <v>2130</v>
      </c>
      <c r="R1144" s="75">
        <f t="shared" si="110"/>
        <v>0</v>
      </c>
      <c r="S1144" s="263"/>
      <c r="T1144" s="263"/>
      <c r="U1144" s="263"/>
      <c r="V1144" s="263"/>
      <c r="W1144" s="263"/>
      <c r="X1144" s="263"/>
      <c r="Y1144" s="575"/>
      <c r="Z1144" s="575"/>
      <c r="AA1144" s="576">
        <f t="shared" si="106"/>
        <v>0</v>
      </c>
      <c r="AB1144" s="722"/>
    </row>
    <row r="1145" spans="1:28" ht="15.75" customHeight="1" x14ac:dyDescent="0.35">
      <c r="A1145" s="81" t="s">
        <v>4372</v>
      </c>
      <c r="C1145" s="83">
        <v>43861</v>
      </c>
      <c r="D1145" s="112">
        <v>43886</v>
      </c>
      <c r="E1145" s="570"/>
      <c r="F1145" s="88" t="s">
        <v>4373</v>
      </c>
      <c r="G1145" s="88" t="s">
        <v>186</v>
      </c>
      <c r="H1145" s="81" t="s">
        <v>220</v>
      </c>
      <c r="I1145" s="98" t="s">
        <v>656</v>
      </c>
      <c r="J1145" s="75">
        <f t="shared" si="109"/>
        <v>1</v>
      </c>
      <c r="K1145" s="76" t="s">
        <v>211</v>
      </c>
      <c r="L1145" s="99" t="s">
        <v>4517</v>
      </c>
      <c r="N1145" s="78" t="s">
        <v>18</v>
      </c>
      <c r="Q1145" s="78" t="s">
        <v>2130</v>
      </c>
      <c r="R1145" s="75">
        <f t="shared" si="110"/>
        <v>1</v>
      </c>
      <c r="S1145" s="263" t="s">
        <v>1991</v>
      </c>
      <c r="T1145" s="263"/>
      <c r="U1145" s="263"/>
      <c r="V1145" s="263"/>
      <c r="W1145" s="263"/>
      <c r="X1145" s="263"/>
      <c r="Y1145" s="575"/>
      <c r="Z1145" s="575"/>
      <c r="AA1145" s="576">
        <f t="shared" si="106"/>
        <v>0</v>
      </c>
      <c r="AB1145" s="722"/>
    </row>
    <row r="1146" spans="1:28" ht="15.75" customHeight="1" x14ac:dyDescent="0.35">
      <c r="A1146" s="81" t="s">
        <v>4378</v>
      </c>
      <c r="C1146" s="83">
        <v>43864</v>
      </c>
      <c r="D1146" s="112">
        <v>43887</v>
      </c>
      <c r="E1146" s="570"/>
      <c r="F1146" s="88" t="s">
        <v>4379</v>
      </c>
      <c r="G1146" s="88" t="s">
        <v>154</v>
      </c>
      <c r="H1146" s="81" t="s">
        <v>220</v>
      </c>
      <c r="I1146" s="98" t="s">
        <v>3901</v>
      </c>
      <c r="J1146" s="75">
        <f t="shared" si="109"/>
        <v>1</v>
      </c>
      <c r="K1146" s="76" t="s">
        <v>211</v>
      </c>
      <c r="N1146" s="78" t="s">
        <v>17</v>
      </c>
      <c r="Q1146" s="78" t="s">
        <v>2130</v>
      </c>
      <c r="R1146" s="75">
        <f t="shared" si="110"/>
        <v>1</v>
      </c>
      <c r="S1146" s="263" t="s">
        <v>1991</v>
      </c>
      <c r="T1146" s="263"/>
      <c r="U1146" s="263"/>
      <c r="V1146" s="263"/>
      <c r="W1146" s="263"/>
      <c r="X1146" s="263"/>
      <c r="Y1146" s="575"/>
      <c r="Z1146" s="575"/>
      <c r="AA1146" s="576">
        <f t="shared" ref="AA1146:AA1209" si="111">Z1146-Y1146</f>
        <v>0</v>
      </c>
      <c r="AB1146" s="722"/>
    </row>
    <row r="1147" spans="1:28" ht="15.75" customHeight="1" x14ac:dyDescent="0.35">
      <c r="A1147" s="81" t="s">
        <v>4380</v>
      </c>
      <c r="C1147" s="83">
        <v>43864</v>
      </c>
      <c r="D1147" s="112">
        <v>43887</v>
      </c>
      <c r="E1147" s="570"/>
      <c r="F1147" s="88" t="s">
        <v>4381</v>
      </c>
      <c r="G1147" s="88" t="s">
        <v>1337</v>
      </c>
      <c r="H1147" s="81" t="s">
        <v>220</v>
      </c>
      <c r="I1147" s="98" t="s">
        <v>1004</v>
      </c>
      <c r="J1147" s="75">
        <f t="shared" si="109"/>
        <v>1</v>
      </c>
      <c r="K1147" s="76" t="s">
        <v>211</v>
      </c>
      <c r="N1147" s="78" t="s">
        <v>19</v>
      </c>
      <c r="Q1147" s="78" t="s">
        <v>2130</v>
      </c>
      <c r="R1147" s="75">
        <f t="shared" si="110"/>
        <v>1</v>
      </c>
      <c r="S1147" s="263" t="s">
        <v>1991</v>
      </c>
      <c r="T1147" s="263"/>
      <c r="U1147" s="263"/>
      <c r="V1147" s="263"/>
      <c r="W1147" s="263"/>
      <c r="X1147" s="263"/>
      <c r="Y1147" s="575"/>
      <c r="Z1147" s="575"/>
      <c r="AA1147" s="576">
        <f t="shared" si="111"/>
        <v>0</v>
      </c>
      <c r="AB1147" s="722"/>
    </row>
    <row r="1148" spans="1:28" ht="15.75" customHeight="1" x14ac:dyDescent="0.35">
      <c r="A1148" s="81" t="s">
        <v>4382</v>
      </c>
      <c r="C1148" s="83">
        <v>43864</v>
      </c>
      <c r="D1148" s="112">
        <v>43887</v>
      </c>
      <c r="E1148" s="570"/>
      <c r="F1148" s="88" t="s">
        <v>4383</v>
      </c>
      <c r="G1148" s="88" t="s">
        <v>158</v>
      </c>
      <c r="H1148" s="81" t="s">
        <v>220</v>
      </c>
      <c r="I1148" s="98" t="s">
        <v>1004</v>
      </c>
      <c r="J1148" s="75">
        <f t="shared" si="109"/>
        <v>1</v>
      </c>
      <c r="K1148" s="76" t="s">
        <v>211</v>
      </c>
      <c r="N1148" s="78" t="s">
        <v>19</v>
      </c>
      <c r="Q1148" s="78" t="s">
        <v>2130</v>
      </c>
      <c r="R1148" s="75">
        <f t="shared" si="110"/>
        <v>1</v>
      </c>
      <c r="S1148" s="263" t="s">
        <v>1991</v>
      </c>
      <c r="T1148" s="263"/>
      <c r="U1148" s="263"/>
      <c r="V1148" s="263"/>
      <c r="W1148" s="263"/>
      <c r="X1148" s="263"/>
      <c r="Y1148" s="575"/>
      <c r="Z1148" s="575"/>
      <c r="AA1148" s="576">
        <f t="shared" si="111"/>
        <v>0</v>
      </c>
      <c r="AB1148" s="722"/>
    </row>
    <row r="1149" spans="1:28" ht="15" customHeight="1" x14ac:dyDescent="0.35">
      <c r="A1149" s="81" t="s">
        <v>4386</v>
      </c>
      <c r="C1149" s="83">
        <v>43865</v>
      </c>
      <c r="D1149" s="112">
        <v>43888</v>
      </c>
      <c r="E1149" s="570"/>
      <c r="F1149" s="88" t="s">
        <v>4387</v>
      </c>
      <c r="G1149" s="88" t="s">
        <v>154</v>
      </c>
      <c r="H1149" s="81" t="s">
        <v>220</v>
      </c>
      <c r="I1149" s="98" t="s">
        <v>656</v>
      </c>
      <c r="J1149" s="75">
        <f t="shared" si="109"/>
        <v>1</v>
      </c>
      <c r="K1149" s="76" t="s">
        <v>211</v>
      </c>
      <c r="L1149" s="99"/>
      <c r="N1149" s="78" t="s">
        <v>17</v>
      </c>
      <c r="Q1149" s="78" t="s">
        <v>2130</v>
      </c>
      <c r="R1149" s="75">
        <f t="shared" si="110"/>
        <v>1</v>
      </c>
      <c r="S1149" s="263" t="s">
        <v>1991</v>
      </c>
      <c r="T1149" s="263"/>
      <c r="U1149" s="263"/>
      <c r="V1149" s="263"/>
      <c r="W1149" s="263"/>
      <c r="X1149" s="263"/>
      <c r="Y1149" s="575"/>
      <c r="Z1149" s="575"/>
      <c r="AA1149" s="576">
        <f t="shared" si="111"/>
        <v>0</v>
      </c>
      <c r="AB1149" s="722"/>
    </row>
    <row r="1150" spans="1:28" ht="15.75" customHeight="1" x14ac:dyDescent="0.35">
      <c r="A1150" s="81" t="s">
        <v>4392</v>
      </c>
      <c r="C1150" s="83">
        <v>43866</v>
      </c>
      <c r="D1150" s="83">
        <v>43889</v>
      </c>
      <c r="E1150" s="570"/>
      <c r="F1150" s="88" t="s">
        <v>4393</v>
      </c>
      <c r="G1150" s="88" t="s">
        <v>162</v>
      </c>
      <c r="H1150" s="81" t="s">
        <v>220</v>
      </c>
      <c r="J1150" s="75">
        <f t="shared" si="109"/>
        <v>1</v>
      </c>
      <c r="K1150" s="76" t="s">
        <v>221</v>
      </c>
      <c r="Q1150" s="78" t="s">
        <v>2130</v>
      </c>
      <c r="R1150" s="75">
        <f t="shared" si="110"/>
        <v>1</v>
      </c>
      <c r="S1150" s="263" t="s">
        <v>1991</v>
      </c>
      <c r="T1150" s="263"/>
      <c r="U1150" s="263"/>
      <c r="V1150" s="263"/>
      <c r="W1150" s="263"/>
      <c r="X1150" s="263"/>
      <c r="Y1150" s="575"/>
      <c r="Z1150" s="575"/>
      <c r="AA1150" s="576">
        <f t="shared" si="111"/>
        <v>0</v>
      </c>
      <c r="AB1150" s="722"/>
    </row>
    <row r="1151" spans="1:28" ht="15.75" customHeight="1" x14ac:dyDescent="0.35">
      <c r="A1151" s="81" t="s">
        <v>4400</v>
      </c>
      <c r="C1151" s="83">
        <v>43866</v>
      </c>
      <c r="D1151" s="112">
        <v>43889</v>
      </c>
      <c r="E1151" s="570"/>
      <c r="F1151" s="88" t="s">
        <v>3659</v>
      </c>
      <c r="G1151" s="88" t="s">
        <v>158</v>
      </c>
      <c r="H1151" s="81" t="s">
        <v>220</v>
      </c>
      <c r="J1151" s="75">
        <f t="shared" si="109"/>
        <v>1</v>
      </c>
      <c r="K1151" s="76" t="s">
        <v>221</v>
      </c>
      <c r="Q1151" s="78" t="s">
        <v>2130</v>
      </c>
      <c r="R1151" s="75">
        <f t="shared" si="110"/>
        <v>1</v>
      </c>
      <c r="S1151" s="263" t="s">
        <v>1991</v>
      </c>
      <c r="T1151" s="263"/>
      <c r="U1151" s="263"/>
      <c r="V1151" s="263"/>
      <c r="W1151" s="263"/>
      <c r="X1151" s="263"/>
      <c r="Y1151" s="575"/>
      <c r="Z1151" s="575"/>
      <c r="AA1151" s="576">
        <f t="shared" si="111"/>
        <v>0</v>
      </c>
      <c r="AB1151" s="722"/>
    </row>
    <row r="1152" spans="1:28" ht="15.75" customHeight="1" x14ac:dyDescent="0.35">
      <c r="A1152" s="98" t="s">
        <v>4068</v>
      </c>
      <c r="C1152" s="83">
        <v>43850</v>
      </c>
      <c r="D1152" s="112">
        <v>43886</v>
      </c>
      <c r="E1152" s="570"/>
      <c r="F1152" s="88" t="s">
        <v>4069</v>
      </c>
      <c r="G1152" s="88" t="s">
        <v>3866</v>
      </c>
      <c r="H1152" s="81" t="s">
        <v>220</v>
      </c>
      <c r="I1152" s="98" t="s">
        <v>649</v>
      </c>
      <c r="J1152" s="75">
        <f t="shared" ref="J1152:J1183" si="112">IF(OR(K1152="Документы готовы",K1152="Запрос в ФО",K1152="ЭЗ",K1152="РЕШ",K1152="РЕШ шаблон"),0.1,IF(OR(K1152="ЭЗ согласование",K1152="РЕШ согласование"),0.3,IF(OR(K1152="ЭЗ согласовано",K1152="РЕШ согласовано",K1152="РЕШ подписано"),0.6,IF(OR(K1152="ЭЗ ПР согласование",K1152="РЕШ УВ согласование"),0.9,IF(OR(K1152="ЭЗ ПР DONE",K1152="РЕШ УВ DONE"),1,0)))))</f>
        <v>1</v>
      </c>
      <c r="K1152" s="76" t="s">
        <v>211</v>
      </c>
      <c r="N1152" s="78" t="s">
        <v>18</v>
      </c>
      <c r="Q1152" s="78" t="s">
        <v>2163</v>
      </c>
      <c r="R1152" s="75">
        <f t="shared" ref="R1152:R1183" si="113">IF(S1152="В работе",0.3,IF(S1152="Отписано",0.6,IF(S1152="На доработку",0.9,IF(S1152="Согласовано",1,0))))</f>
        <v>1</v>
      </c>
      <c r="S1152" s="263" t="s">
        <v>1991</v>
      </c>
      <c r="T1152" s="263"/>
      <c r="U1152" s="263"/>
      <c r="V1152" s="263"/>
      <c r="W1152" s="263"/>
      <c r="X1152" s="263"/>
      <c r="Y1152" s="575"/>
      <c r="Z1152" s="575"/>
      <c r="AA1152" s="576">
        <f t="shared" si="111"/>
        <v>0</v>
      </c>
      <c r="AB1152" s="722"/>
    </row>
    <row r="1153" spans="1:28" ht="15.75" customHeight="1" x14ac:dyDescent="0.35">
      <c r="A1153" s="98" t="s">
        <v>4070</v>
      </c>
      <c r="C1153" s="83">
        <v>43850</v>
      </c>
      <c r="D1153" s="112">
        <v>43886</v>
      </c>
      <c r="E1153" s="570"/>
      <c r="F1153" s="88" t="s">
        <v>4071</v>
      </c>
      <c r="G1153" s="88" t="s">
        <v>1393</v>
      </c>
      <c r="H1153" s="81" t="s">
        <v>220</v>
      </c>
      <c r="I1153" s="98" t="s">
        <v>649</v>
      </c>
      <c r="J1153" s="75">
        <f t="shared" si="112"/>
        <v>1</v>
      </c>
      <c r="K1153" s="76" t="s">
        <v>211</v>
      </c>
      <c r="N1153" s="78" t="s">
        <v>18</v>
      </c>
      <c r="Q1153" s="78" t="s">
        <v>2163</v>
      </c>
      <c r="R1153" s="75">
        <f t="shared" si="113"/>
        <v>1</v>
      </c>
      <c r="S1153" s="263" t="s">
        <v>1991</v>
      </c>
      <c r="T1153" s="263"/>
      <c r="U1153" s="263"/>
      <c r="V1153" s="263"/>
      <c r="W1153" s="263"/>
      <c r="X1153" s="263"/>
      <c r="Y1153" s="575"/>
      <c r="Z1153" s="575"/>
      <c r="AA1153" s="576">
        <f t="shared" si="111"/>
        <v>0</v>
      </c>
      <c r="AB1153" s="722"/>
    </row>
    <row r="1154" spans="1:28" ht="15.75" customHeight="1" x14ac:dyDescent="0.35">
      <c r="A1154" s="98" t="s">
        <v>4072</v>
      </c>
      <c r="C1154" s="83">
        <v>43850</v>
      </c>
      <c r="D1154" s="112">
        <v>43886</v>
      </c>
      <c r="E1154" s="570"/>
      <c r="F1154" s="88" t="s">
        <v>4073</v>
      </c>
      <c r="G1154" s="88" t="s">
        <v>158</v>
      </c>
      <c r="H1154" s="81" t="s">
        <v>220</v>
      </c>
      <c r="I1154" s="98" t="s">
        <v>649</v>
      </c>
      <c r="J1154" s="75">
        <f t="shared" si="112"/>
        <v>1</v>
      </c>
      <c r="K1154" s="76" t="s">
        <v>211</v>
      </c>
      <c r="N1154" s="78" t="s">
        <v>18</v>
      </c>
      <c r="Q1154" s="78" t="s">
        <v>2163</v>
      </c>
      <c r="R1154" s="75">
        <f t="shared" si="113"/>
        <v>1</v>
      </c>
      <c r="S1154" s="263" t="s">
        <v>1991</v>
      </c>
      <c r="T1154" s="263"/>
      <c r="U1154" s="263"/>
      <c r="V1154" s="263"/>
      <c r="W1154" s="263"/>
      <c r="X1154" s="263"/>
      <c r="Y1154" s="575"/>
      <c r="Z1154" s="575"/>
      <c r="AA1154" s="576">
        <f t="shared" si="111"/>
        <v>0</v>
      </c>
      <c r="AB1154" s="722"/>
    </row>
    <row r="1155" spans="1:28" ht="15.75" customHeight="1" x14ac:dyDescent="0.35">
      <c r="A1155" s="98" t="s">
        <v>4076</v>
      </c>
      <c r="C1155" s="83">
        <v>43851</v>
      </c>
      <c r="D1155" s="112">
        <v>43887</v>
      </c>
      <c r="E1155" s="570"/>
      <c r="F1155" s="88" t="s">
        <v>4077</v>
      </c>
      <c r="G1155" s="88" t="s">
        <v>152</v>
      </c>
      <c r="H1155" s="81" t="s">
        <v>220</v>
      </c>
      <c r="I1155" s="98" t="s">
        <v>722</v>
      </c>
      <c r="J1155" s="75">
        <f t="shared" si="112"/>
        <v>1</v>
      </c>
      <c r="K1155" s="76" t="s">
        <v>211</v>
      </c>
      <c r="N1155" s="78" t="s">
        <v>18</v>
      </c>
      <c r="Q1155" s="78" t="s">
        <v>2163</v>
      </c>
      <c r="R1155" s="75">
        <f t="shared" si="113"/>
        <v>1</v>
      </c>
      <c r="S1155" s="263" t="s">
        <v>1991</v>
      </c>
      <c r="T1155" s="263"/>
      <c r="U1155" s="263"/>
      <c r="V1155" s="263"/>
      <c r="W1155" s="263"/>
      <c r="X1155" s="263"/>
      <c r="Y1155" s="575"/>
      <c r="Z1155" s="575"/>
      <c r="AA1155" s="576">
        <f t="shared" si="111"/>
        <v>0</v>
      </c>
      <c r="AB1155" s="722"/>
    </row>
    <row r="1156" spans="1:28" ht="15.75" customHeight="1" x14ac:dyDescent="0.35">
      <c r="A1156" s="81" t="s">
        <v>4082</v>
      </c>
      <c r="C1156" s="83">
        <v>43851</v>
      </c>
      <c r="D1156" s="112">
        <v>43887</v>
      </c>
      <c r="E1156" s="570"/>
      <c r="F1156" s="88" t="s">
        <v>4083</v>
      </c>
      <c r="G1156" s="88" t="s">
        <v>152</v>
      </c>
      <c r="H1156" s="81" t="s">
        <v>220</v>
      </c>
      <c r="I1156" s="98" t="s">
        <v>722</v>
      </c>
      <c r="J1156" s="75">
        <f t="shared" si="112"/>
        <v>1</v>
      </c>
      <c r="K1156" s="76" t="s">
        <v>211</v>
      </c>
      <c r="N1156" s="78" t="s">
        <v>17</v>
      </c>
      <c r="Q1156" s="78" t="s">
        <v>2163</v>
      </c>
      <c r="R1156" s="75">
        <f t="shared" si="113"/>
        <v>1</v>
      </c>
      <c r="S1156" s="263" t="s">
        <v>1991</v>
      </c>
      <c r="T1156" s="263"/>
      <c r="U1156" s="263"/>
      <c r="V1156" s="263"/>
      <c r="W1156" s="263"/>
      <c r="X1156" s="263"/>
      <c r="Y1156" s="575"/>
      <c r="Z1156" s="575"/>
      <c r="AA1156" s="576">
        <f t="shared" si="111"/>
        <v>0</v>
      </c>
      <c r="AB1156" s="722"/>
    </row>
    <row r="1157" spans="1:28" x14ac:dyDescent="0.35">
      <c r="A1157" s="98" t="s">
        <v>4084</v>
      </c>
      <c r="C1157" s="83">
        <v>43852</v>
      </c>
      <c r="D1157" s="112">
        <v>43888</v>
      </c>
      <c r="E1157" s="570"/>
      <c r="F1157" s="88" t="s">
        <v>4085</v>
      </c>
      <c r="G1157" s="88" t="s">
        <v>162</v>
      </c>
      <c r="H1157" s="81" t="s">
        <v>220</v>
      </c>
      <c r="I1157" s="98" t="s">
        <v>722</v>
      </c>
      <c r="J1157" s="75">
        <f t="shared" si="112"/>
        <v>1</v>
      </c>
      <c r="K1157" s="76" t="s">
        <v>211</v>
      </c>
      <c r="N1157" s="78" t="s">
        <v>18</v>
      </c>
      <c r="Q1157" s="78" t="s">
        <v>2163</v>
      </c>
      <c r="R1157" s="75">
        <f t="shared" si="113"/>
        <v>1</v>
      </c>
      <c r="S1157" s="263" t="s">
        <v>1991</v>
      </c>
      <c r="T1157" s="263"/>
      <c r="U1157" s="263"/>
      <c r="V1157" s="263"/>
      <c r="W1157" s="263"/>
      <c r="X1157" s="263"/>
      <c r="Y1157" s="575"/>
      <c r="Z1157" s="575"/>
      <c r="AA1157" s="576">
        <f t="shared" si="111"/>
        <v>0</v>
      </c>
      <c r="AB1157" s="722"/>
    </row>
    <row r="1158" spans="1:28" x14ac:dyDescent="0.35">
      <c r="A1158" s="98" t="s">
        <v>4086</v>
      </c>
      <c r="C1158" s="83">
        <v>43852</v>
      </c>
      <c r="D1158" s="112">
        <v>43888</v>
      </c>
      <c r="E1158" s="570"/>
      <c r="F1158" s="88" t="s">
        <v>4087</v>
      </c>
      <c r="G1158" s="88" t="s">
        <v>162</v>
      </c>
      <c r="H1158" s="81" t="s">
        <v>220</v>
      </c>
      <c r="I1158" s="98" t="s">
        <v>1308</v>
      </c>
      <c r="J1158" s="75">
        <f t="shared" si="112"/>
        <v>1</v>
      </c>
      <c r="K1158" s="76" t="s">
        <v>211</v>
      </c>
      <c r="N1158" s="78" t="s">
        <v>17</v>
      </c>
      <c r="Q1158" s="78" t="s">
        <v>2163</v>
      </c>
      <c r="R1158" s="75">
        <f t="shared" si="113"/>
        <v>1</v>
      </c>
      <c r="S1158" s="263" t="s">
        <v>1991</v>
      </c>
      <c r="T1158" s="263"/>
      <c r="U1158" s="263"/>
      <c r="V1158" s="263"/>
      <c r="W1158" s="263"/>
      <c r="X1158" s="263"/>
      <c r="Y1158" s="575"/>
      <c r="Z1158" s="575"/>
      <c r="AA1158" s="576">
        <f t="shared" si="111"/>
        <v>0</v>
      </c>
      <c r="AB1158" s="722"/>
    </row>
    <row r="1159" spans="1:28" ht="15" customHeight="1" x14ac:dyDescent="0.35">
      <c r="A1159" s="98" t="s">
        <v>4092</v>
      </c>
      <c r="C1159" s="83">
        <v>43853</v>
      </c>
      <c r="D1159" s="112">
        <v>43889</v>
      </c>
      <c r="E1159" s="570"/>
      <c r="F1159" s="88" t="s">
        <v>4093</v>
      </c>
      <c r="G1159" s="88" t="s">
        <v>162</v>
      </c>
      <c r="H1159" s="81" t="s">
        <v>220</v>
      </c>
      <c r="I1159" s="98" t="s">
        <v>648</v>
      </c>
      <c r="J1159" s="75">
        <f t="shared" si="112"/>
        <v>1</v>
      </c>
      <c r="K1159" s="76" t="s">
        <v>211</v>
      </c>
      <c r="N1159" s="78" t="s">
        <v>17</v>
      </c>
      <c r="Q1159" s="78" t="s">
        <v>2163</v>
      </c>
      <c r="R1159" s="75">
        <f t="shared" si="113"/>
        <v>1</v>
      </c>
      <c r="S1159" s="263" t="s">
        <v>1991</v>
      </c>
      <c r="T1159" s="263"/>
      <c r="U1159" s="263"/>
      <c r="V1159" s="263"/>
      <c r="W1159" s="263"/>
      <c r="X1159" s="263"/>
      <c r="Y1159" s="575"/>
      <c r="Z1159" s="575"/>
      <c r="AA1159" s="576">
        <f t="shared" si="111"/>
        <v>0</v>
      </c>
      <c r="AB1159" s="722"/>
    </row>
    <row r="1160" spans="1:28" ht="15" customHeight="1" x14ac:dyDescent="0.35">
      <c r="A1160" s="98" t="s">
        <v>4094</v>
      </c>
      <c r="C1160" s="83">
        <v>43853</v>
      </c>
      <c r="D1160" s="112">
        <v>43889</v>
      </c>
      <c r="E1160" s="570"/>
      <c r="F1160" s="88" t="s">
        <v>4095</v>
      </c>
      <c r="G1160" s="88" t="s">
        <v>2125</v>
      </c>
      <c r="H1160" s="81" t="s">
        <v>220</v>
      </c>
      <c r="J1160" s="75">
        <f t="shared" si="112"/>
        <v>1</v>
      </c>
      <c r="K1160" s="76" t="s">
        <v>211</v>
      </c>
      <c r="L1160" s="99" t="s">
        <v>4559</v>
      </c>
      <c r="Q1160" s="78" t="s">
        <v>2163</v>
      </c>
      <c r="R1160" s="75">
        <f t="shared" si="113"/>
        <v>1</v>
      </c>
      <c r="S1160" s="263" t="s">
        <v>1991</v>
      </c>
      <c r="T1160" s="263"/>
      <c r="U1160" s="263"/>
      <c r="V1160" s="263"/>
      <c r="W1160" s="263"/>
      <c r="X1160" s="263"/>
      <c r="Y1160" s="575"/>
      <c r="Z1160" s="575"/>
      <c r="AA1160" s="576">
        <f t="shared" si="111"/>
        <v>0</v>
      </c>
      <c r="AB1160" s="722"/>
    </row>
    <row r="1161" spans="1:28" ht="15" customHeight="1" x14ac:dyDescent="0.35">
      <c r="A1161" s="81" t="s">
        <v>4401</v>
      </c>
      <c r="C1161" s="83">
        <v>43859</v>
      </c>
      <c r="D1161" s="83">
        <v>43881</v>
      </c>
      <c r="E1161" s="570"/>
      <c r="F1161" s="88" t="s">
        <v>4402</v>
      </c>
      <c r="G1161" s="88" t="s">
        <v>181</v>
      </c>
      <c r="H1161" s="81" t="s">
        <v>220</v>
      </c>
      <c r="J1161" s="75">
        <f t="shared" si="112"/>
        <v>1</v>
      </c>
      <c r="K1161" s="76" t="s">
        <v>211</v>
      </c>
      <c r="Q1161" s="78" t="s">
        <v>2163</v>
      </c>
      <c r="R1161" s="75">
        <f t="shared" si="113"/>
        <v>1</v>
      </c>
      <c r="S1161" s="263" t="s">
        <v>1991</v>
      </c>
      <c r="T1161" s="263"/>
      <c r="U1161" s="263"/>
      <c r="V1161" s="263"/>
      <c r="W1161" s="263"/>
      <c r="X1161" s="263"/>
      <c r="Y1161" s="575"/>
      <c r="Z1161" s="575"/>
      <c r="AA1161" s="576">
        <f t="shared" si="111"/>
        <v>0</v>
      </c>
      <c r="AB1161" s="722"/>
    </row>
    <row r="1162" spans="1:28" ht="15" customHeight="1" x14ac:dyDescent="0.35">
      <c r="A1162" s="98" t="s">
        <v>4403</v>
      </c>
      <c r="C1162" s="83">
        <v>43861</v>
      </c>
      <c r="D1162" s="112">
        <v>43886</v>
      </c>
      <c r="E1162" s="570"/>
      <c r="F1162" s="88" t="s">
        <v>4404</v>
      </c>
      <c r="G1162" s="88" t="s">
        <v>158</v>
      </c>
      <c r="H1162" s="81" t="s">
        <v>220</v>
      </c>
      <c r="I1162" s="98" t="s">
        <v>656</v>
      </c>
      <c r="J1162" s="75">
        <f t="shared" si="112"/>
        <v>1</v>
      </c>
      <c r="K1162" s="76" t="s">
        <v>211</v>
      </c>
      <c r="N1162" s="78" t="s">
        <v>18</v>
      </c>
      <c r="Q1162" s="78" t="s">
        <v>2163</v>
      </c>
      <c r="R1162" s="75">
        <f t="shared" si="113"/>
        <v>1</v>
      </c>
      <c r="S1162" s="263" t="s">
        <v>1991</v>
      </c>
      <c r="T1162" s="263"/>
      <c r="U1162" s="263"/>
      <c r="V1162" s="263"/>
      <c r="W1162" s="263"/>
      <c r="X1162" s="263"/>
      <c r="Y1162" s="575"/>
      <c r="Z1162" s="575"/>
      <c r="AA1162" s="576">
        <f t="shared" si="111"/>
        <v>0</v>
      </c>
      <c r="AB1162" s="722"/>
    </row>
    <row r="1163" spans="1:28" ht="15" customHeight="1" x14ac:dyDescent="0.35">
      <c r="A1163" s="98" t="s">
        <v>4405</v>
      </c>
      <c r="C1163" s="83">
        <v>43861</v>
      </c>
      <c r="D1163" s="112">
        <v>43886</v>
      </c>
      <c r="E1163" s="570"/>
      <c r="F1163" s="88" t="s">
        <v>4406</v>
      </c>
      <c r="G1163" s="88" t="s">
        <v>152</v>
      </c>
      <c r="H1163" s="81" t="s">
        <v>220</v>
      </c>
      <c r="I1163" s="98" t="s">
        <v>3741</v>
      </c>
      <c r="J1163" s="75">
        <f t="shared" si="112"/>
        <v>1</v>
      </c>
      <c r="K1163" s="76" t="s">
        <v>211</v>
      </c>
      <c r="N1163" s="78" t="s">
        <v>18</v>
      </c>
      <c r="Q1163" s="78" t="s">
        <v>2163</v>
      </c>
      <c r="R1163" s="75">
        <f t="shared" si="113"/>
        <v>1</v>
      </c>
      <c r="S1163" s="263" t="s">
        <v>1991</v>
      </c>
      <c r="T1163" s="263"/>
      <c r="U1163" s="263"/>
      <c r="V1163" s="263"/>
      <c r="W1163" s="263"/>
      <c r="X1163" s="263"/>
      <c r="Y1163" s="575"/>
      <c r="Z1163" s="575"/>
      <c r="AA1163" s="576">
        <f t="shared" si="111"/>
        <v>0</v>
      </c>
      <c r="AB1163" s="722"/>
    </row>
    <row r="1164" spans="1:28" ht="15" customHeight="1" x14ac:dyDescent="0.35">
      <c r="A1164" s="81" t="s">
        <v>4413</v>
      </c>
      <c r="C1164" s="83">
        <v>43864</v>
      </c>
      <c r="D1164" s="112">
        <v>43887</v>
      </c>
      <c r="E1164" s="570"/>
      <c r="F1164" s="88" t="s">
        <v>4414</v>
      </c>
      <c r="G1164" s="88" t="s">
        <v>154</v>
      </c>
      <c r="H1164" s="81" t="s">
        <v>220</v>
      </c>
      <c r="I1164" s="98" t="s">
        <v>3725</v>
      </c>
      <c r="J1164" s="75">
        <f t="shared" si="112"/>
        <v>1</v>
      </c>
      <c r="K1164" s="76" t="s">
        <v>211</v>
      </c>
      <c r="N1164" s="78" t="s">
        <v>19</v>
      </c>
      <c r="Q1164" s="78" t="s">
        <v>2163</v>
      </c>
      <c r="R1164" s="75">
        <f t="shared" si="113"/>
        <v>1</v>
      </c>
      <c r="S1164" s="263" t="s">
        <v>1991</v>
      </c>
      <c r="T1164" s="263"/>
      <c r="U1164" s="263"/>
      <c r="V1164" s="263"/>
      <c r="W1164" s="263"/>
      <c r="X1164" s="263"/>
      <c r="Y1164" s="575"/>
      <c r="Z1164" s="575"/>
      <c r="AA1164" s="576">
        <f t="shared" si="111"/>
        <v>0</v>
      </c>
      <c r="AB1164" s="722"/>
    </row>
    <row r="1165" spans="1:28" ht="15" customHeight="1" x14ac:dyDescent="0.35">
      <c r="A1165" s="81" t="s">
        <v>4415</v>
      </c>
      <c r="C1165" s="83">
        <v>43864</v>
      </c>
      <c r="D1165" s="83">
        <v>43887</v>
      </c>
      <c r="E1165" s="570"/>
      <c r="F1165" s="88" t="s">
        <v>4416</v>
      </c>
      <c r="G1165" s="88" t="s">
        <v>1393</v>
      </c>
      <c r="H1165" s="81" t="s">
        <v>220</v>
      </c>
      <c r="J1165" s="75">
        <f t="shared" si="112"/>
        <v>1</v>
      </c>
      <c r="K1165" s="76" t="s">
        <v>221</v>
      </c>
      <c r="Q1165" s="78" t="s">
        <v>2163</v>
      </c>
      <c r="R1165" s="75">
        <f t="shared" si="113"/>
        <v>1</v>
      </c>
      <c r="S1165" s="263" t="s">
        <v>1991</v>
      </c>
      <c r="T1165" s="263"/>
      <c r="U1165" s="263"/>
      <c r="V1165" s="263"/>
      <c r="W1165" s="263"/>
      <c r="X1165" s="263"/>
      <c r="Y1165" s="575"/>
      <c r="Z1165" s="575"/>
      <c r="AA1165" s="576">
        <f t="shared" si="111"/>
        <v>0</v>
      </c>
      <c r="AB1165" s="722"/>
    </row>
    <row r="1166" spans="1:28" ht="15" customHeight="1" x14ac:dyDescent="0.35">
      <c r="A1166" s="98" t="s">
        <v>4419</v>
      </c>
      <c r="C1166" s="83">
        <v>43865</v>
      </c>
      <c r="D1166" s="112">
        <v>43887</v>
      </c>
      <c r="E1166" s="570"/>
      <c r="F1166" s="88" t="s">
        <v>4420</v>
      </c>
      <c r="G1166" s="88" t="s">
        <v>154</v>
      </c>
      <c r="H1166" s="81" t="s">
        <v>220</v>
      </c>
      <c r="I1166" s="98" t="s">
        <v>656</v>
      </c>
      <c r="J1166" s="75">
        <f t="shared" si="112"/>
        <v>1</v>
      </c>
      <c r="K1166" s="76" t="s">
        <v>211</v>
      </c>
      <c r="N1166" s="78" t="s">
        <v>17</v>
      </c>
      <c r="Q1166" s="78" t="s">
        <v>2163</v>
      </c>
      <c r="R1166" s="75">
        <f t="shared" si="113"/>
        <v>1</v>
      </c>
      <c r="S1166" s="263" t="s">
        <v>1991</v>
      </c>
      <c r="T1166" s="263"/>
      <c r="U1166" s="263"/>
      <c r="V1166" s="263"/>
      <c r="W1166" s="263"/>
      <c r="X1166" s="263"/>
      <c r="Y1166" s="575"/>
      <c r="Z1166" s="575"/>
      <c r="AA1166" s="576">
        <f t="shared" si="111"/>
        <v>0</v>
      </c>
      <c r="AB1166" s="722"/>
    </row>
    <row r="1167" spans="1:28" x14ac:dyDescent="0.35">
      <c r="A1167" s="98" t="s">
        <v>4421</v>
      </c>
      <c r="C1167" s="83">
        <v>43865</v>
      </c>
      <c r="D1167" s="112">
        <v>43888</v>
      </c>
      <c r="E1167" s="570"/>
      <c r="F1167" s="88" t="s">
        <v>4422</v>
      </c>
      <c r="G1167" s="88" t="s">
        <v>162</v>
      </c>
      <c r="H1167" s="81" t="s">
        <v>220</v>
      </c>
      <c r="I1167" s="98" t="s">
        <v>656</v>
      </c>
      <c r="J1167" s="75">
        <f t="shared" si="112"/>
        <v>1</v>
      </c>
      <c r="K1167" s="76" t="s">
        <v>211</v>
      </c>
      <c r="N1167" s="78" t="s">
        <v>17</v>
      </c>
      <c r="Q1167" s="78" t="s">
        <v>2163</v>
      </c>
      <c r="R1167" s="75">
        <f t="shared" si="113"/>
        <v>1</v>
      </c>
      <c r="S1167" s="263" t="s">
        <v>1991</v>
      </c>
      <c r="T1167" s="263"/>
      <c r="U1167" s="263"/>
      <c r="V1167" s="263"/>
      <c r="W1167" s="263"/>
      <c r="X1167" s="263"/>
      <c r="Y1167" s="575"/>
      <c r="Z1167" s="575"/>
      <c r="AA1167" s="576">
        <f t="shared" si="111"/>
        <v>0</v>
      </c>
      <c r="AB1167" s="722"/>
    </row>
    <row r="1168" spans="1:28" x14ac:dyDescent="0.35">
      <c r="A1168" s="98" t="s">
        <v>4423</v>
      </c>
      <c r="C1168" s="83">
        <v>43865</v>
      </c>
      <c r="D1168" s="112">
        <v>43888</v>
      </c>
      <c r="E1168" s="570"/>
      <c r="F1168" s="88" t="s">
        <v>4424</v>
      </c>
      <c r="G1168" s="88" t="s">
        <v>158</v>
      </c>
      <c r="H1168" s="81" t="s">
        <v>220</v>
      </c>
      <c r="I1168" s="98"/>
      <c r="J1168" s="75">
        <f t="shared" si="112"/>
        <v>1</v>
      </c>
      <c r="K1168" s="76" t="s">
        <v>211</v>
      </c>
      <c r="L1168" s="99" t="s">
        <v>4557</v>
      </c>
      <c r="N1168" s="78" t="s">
        <v>17</v>
      </c>
      <c r="Q1168" s="78" t="s">
        <v>2163</v>
      </c>
      <c r="R1168" s="75">
        <f t="shared" si="113"/>
        <v>1</v>
      </c>
      <c r="S1168" s="263" t="s">
        <v>1991</v>
      </c>
      <c r="T1168" s="263"/>
      <c r="U1168" s="263"/>
      <c r="V1168" s="263"/>
      <c r="W1168" s="263"/>
      <c r="X1168" s="263"/>
      <c r="Y1168" s="575"/>
      <c r="Z1168" s="575"/>
      <c r="AA1168" s="576">
        <f t="shared" si="111"/>
        <v>0</v>
      </c>
      <c r="AB1168" s="722"/>
    </row>
    <row r="1169" spans="1:28" x14ac:dyDescent="0.35">
      <c r="A1169" s="81" t="s">
        <v>4425</v>
      </c>
      <c r="C1169" s="83">
        <v>43865</v>
      </c>
      <c r="D1169" s="112">
        <v>43888</v>
      </c>
      <c r="E1169" s="570"/>
      <c r="F1169" s="88" t="s">
        <v>4426</v>
      </c>
      <c r="G1169" s="88" t="s">
        <v>162</v>
      </c>
      <c r="H1169" s="81" t="s">
        <v>220</v>
      </c>
      <c r="I1169" s="98" t="s">
        <v>1294</v>
      </c>
      <c r="J1169" s="75">
        <f t="shared" si="112"/>
        <v>1</v>
      </c>
      <c r="K1169" s="76" t="s">
        <v>211</v>
      </c>
      <c r="N1169" s="78" t="s">
        <v>19</v>
      </c>
      <c r="Q1169" s="78" t="s">
        <v>2163</v>
      </c>
      <c r="R1169" s="75">
        <f t="shared" si="113"/>
        <v>1</v>
      </c>
      <c r="S1169" s="263" t="s">
        <v>1991</v>
      </c>
      <c r="T1169" s="263"/>
      <c r="U1169" s="263"/>
      <c r="V1169" s="263"/>
      <c r="W1169" s="263"/>
      <c r="X1169" s="263"/>
      <c r="Y1169" s="575"/>
      <c r="Z1169" s="575"/>
      <c r="AA1169" s="576">
        <f t="shared" si="111"/>
        <v>0</v>
      </c>
      <c r="AB1169" s="722"/>
    </row>
    <row r="1170" spans="1:28" ht="15" customHeight="1" x14ac:dyDescent="0.35">
      <c r="A1170" s="98" t="s">
        <v>4431</v>
      </c>
      <c r="C1170" s="83">
        <v>43866</v>
      </c>
      <c r="D1170" s="112">
        <v>43889</v>
      </c>
      <c r="E1170" s="570"/>
      <c r="F1170" s="88" t="s">
        <v>4432</v>
      </c>
      <c r="G1170" s="88" t="s">
        <v>154</v>
      </c>
      <c r="H1170" s="81" t="s">
        <v>220</v>
      </c>
      <c r="I1170" s="98" t="s">
        <v>1122</v>
      </c>
      <c r="J1170" s="75">
        <f t="shared" si="112"/>
        <v>1</v>
      </c>
      <c r="K1170" s="76" t="s">
        <v>211</v>
      </c>
      <c r="N1170" s="78" t="s">
        <v>18</v>
      </c>
      <c r="Q1170" s="78" t="s">
        <v>2163</v>
      </c>
      <c r="R1170" s="75">
        <f t="shared" si="113"/>
        <v>1</v>
      </c>
      <c r="S1170" s="263" t="s">
        <v>1991</v>
      </c>
      <c r="T1170" s="263"/>
      <c r="U1170" s="263"/>
      <c r="V1170" s="263"/>
      <c r="W1170" s="263"/>
      <c r="X1170" s="263"/>
      <c r="Y1170" s="575"/>
      <c r="Z1170" s="575"/>
      <c r="AA1170" s="576">
        <f t="shared" si="111"/>
        <v>0</v>
      </c>
      <c r="AB1170" s="722"/>
    </row>
    <row r="1171" spans="1:28" ht="15" customHeight="1" x14ac:dyDescent="0.35">
      <c r="A1171" s="81" t="s">
        <v>4435</v>
      </c>
      <c r="C1171" s="83">
        <v>43867</v>
      </c>
      <c r="D1171" s="83">
        <v>43889</v>
      </c>
      <c r="E1171" s="570"/>
      <c r="F1171" s="88" t="s">
        <v>4436</v>
      </c>
      <c r="G1171" s="88" t="s">
        <v>149</v>
      </c>
      <c r="H1171" s="81" t="s">
        <v>220</v>
      </c>
      <c r="J1171" s="75">
        <f t="shared" si="112"/>
        <v>1</v>
      </c>
      <c r="K1171" s="76" t="s">
        <v>221</v>
      </c>
      <c r="Q1171" s="78" t="s">
        <v>2163</v>
      </c>
      <c r="R1171" s="75">
        <f t="shared" si="113"/>
        <v>1</v>
      </c>
      <c r="S1171" s="263" t="s">
        <v>1991</v>
      </c>
      <c r="T1171" s="263"/>
      <c r="U1171" s="263"/>
      <c r="V1171" s="263"/>
      <c r="W1171" s="263"/>
      <c r="X1171" s="263"/>
      <c r="Y1171" s="575"/>
      <c r="Z1171" s="575"/>
      <c r="AA1171" s="576">
        <f t="shared" si="111"/>
        <v>0</v>
      </c>
      <c r="AB1171" s="722"/>
    </row>
    <row r="1172" spans="1:28" ht="15" customHeight="1" x14ac:dyDescent="0.35">
      <c r="A1172" s="98" t="s">
        <v>4438</v>
      </c>
      <c r="C1172" s="83">
        <v>43861</v>
      </c>
      <c r="D1172" s="112">
        <v>43886</v>
      </c>
      <c r="E1172" s="570"/>
      <c r="F1172" s="99" t="s">
        <v>4440</v>
      </c>
      <c r="G1172" s="99" t="s">
        <v>179</v>
      </c>
      <c r="H1172" s="81" t="s">
        <v>220</v>
      </c>
      <c r="I1172" s="98" t="s">
        <v>665</v>
      </c>
      <c r="J1172" s="75">
        <f t="shared" si="112"/>
        <v>1</v>
      </c>
      <c r="K1172" s="76" t="s">
        <v>211</v>
      </c>
      <c r="L1172" s="99" t="s">
        <v>4442</v>
      </c>
      <c r="N1172" s="78" t="s">
        <v>17</v>
      </c>
      <c r="Q1172" s="304" t="s">
        <v>2056</v>
      </c>
      <c r="R1172" s="75">
        <f t="shared" si="113"/>
        <v>1</v>
      </c>
      <c r="S1172" s="263" t="s">
        <v>1991</v>
      </c>
      <c r="T1172" s="263"/>
      <c r="U1172" s="263"/>
      <c r="V1172" s="263"/>
      <c r="W1172" s="263"/>
      <c r="X1172" s="263"/>
      <c r="Y1172" s="575"/>
      <c r="Z1172" s="575"/>
      <c r="AA1172" s="576">
        <f t="shared" si="111"/>
        <v>0</v>
      </c>
      <c r="AB1172" s="722"/>
    </row>
    <row r="1173" spans="1:28" ht="15" customHeight="1" x14ac:dyDescent="0.35">
      <c r="A1173" s="98" t="s">
        <v>4439</v>
      </c>
      <c r="C1173" s="83">
        <v>43861</v>
      </c>
      <c r="D1173" s="112">
        <v>43886</v>
      </c>
      <c r="E1173" s="570"/>
      <c r="F1173" s="99" t="s">
        <v>4441</v>
      </c>
      <c r="G1173" s="99" t="s">
        <v>162</v>
      </c>
      <c r="H1173" s="81" t="s">
        <v>220</v>
      </c>
      <c r="I1173" s="98" t="s">
        <v>2516</v>
      </c>
      <c r="J1173" s="75">
        <f t="shared" si="112"/>
        <v>1</v>
      </c>
      <c r="K1173" s="76" t="s">
        <v>211</v>
      </c>
      <c r="L1173" s="99" t="s">
        <v>4364</v>
      </c>
      <c r="N1173" s="78" t="s">
        <v>17</v>
      </c>
      <c r="Q1173" s="78" t="s">
        <v>2056</v>
      </c>
      <c r="R1173" s="75">
        <f t="shared" si="113"/>
        <v>1</v>
      </c>
      <c r="S1173" s="263" t="s">
        <v>1991</v>
      </c>
      <c r="T1173" s="263"/>
      <c r="U1173" s="263"/>
      <c r="V1173" s="263"/>
      <c r="W1173" s="263"/>
      <c r="X1173" s="263"/>
      <c r="Y1173" s="575"/>
      <c r="Z1173" s="575"/>
      <c r="AA1173" s="576">
        <f t="shared" si="111"/>
        <v>0</v>
      </c>
      <c r="AB1173" s="722"/>
    </row>
    <row r="1174" spans="1:28" ht="15" customHeight="1" x14ac:dyDescent="0.35">
      <c r="A1174" s="98" t="s">
        <v>4443</v>
      </c>
      <c r="C1174" s="83">
        <v>43864</v>
      </c>
      <c r="D1174" s="112">
        <v>43886</v>
      </c>
      <c r="E1174" s="570"/>
      <c r="F1174" s="99" t="s">
        <v>4444</v>
      </c>
      <c r="G1174" s="99" t="s">
        <v>154</v>
      </c>
      <c r="H1174" s="98" t="s">
        <v>220</v>
      </c>
      <c r="I1174" s="98" t="s">
        <v>2516</v>
      </c>
      <c r="J1174" s="75">
        <f t="shared" si="112"/>
        <v>1</v>
      </c>
      <c r="K1174" s="76" t="s">
        <v>211</v>
      </c>
      <c r="N1174" s="78" t="s">
        <v>17</v>
      </c>
      <c r="Q1174" s="304" t="s">
        <v>2097</v>
      </c>
      <c r="R1174" s="75">
        <f t="shared" si="113"/>
        <v>1</v>
      </c>
      <c r="S1174" s="263" t="s">
        <v>1991</v>
      </c>
      <c r="T1174" s="263"/>
      <c r="U1174" s="263"/>
      <c r="V1174" s="263"/>
      <c r="W1174" s="263"/>
      <c r="X1174" s="263"/>
      <c r="Y1174" s="575"/>
      <c r="Z1174" s="575"/>
      <c r="AA1174" s="576">
        <f t="shared" si="111"/>
        <v>0</v>
      </c>
      <c r="AB1174" s="722"/>
    </row>
    <row r="1175" spans="1:28" ht="15" customHeight="1" x14ac:dyDescent="0.35">
      <c r="A1175" s="98" t="s">
        <v>4446</v>
      </c>
      <c r="C1175" s="83">
        <v>43861</v>
      </c>
      <c r="D1175" s="112">
        <v>43886</v>
      </c>
      <c r="E1175" s="570"/>
      <c r="F1175" s="127" t="s">
        <v>4445</v>
      </c>
      <c r="G1175" s="99" t="s">
        <v>160</v>
      </c>
      <c r="H1175" s="98" t="s">
        <v>220</v>
      </c>
      <c r="I1175" s="98" t="s">
        <v>4447</v>
      </c>
      <c r="J1175" s="75">
        <f t="shared" si="112"/>
        <v>1</v>
      </c>
      <c r="K1175" s="76" t="s">
        <v>211</v>
      </c>
      <c r="N1175" s="78" t="s">
        <v>18</v>
      </c>
      <c r="Q1175" s="304" t="s">
        <v>2097</v>
      </c>
      <c r="R1175" s="75">
        <f t="shared" si="113"/>
        <v>1</v>
      </c>
      <c r="S1175" s="263" t="s">
        <v>1991</v>
      </c>
      <c r="T1175" s="263"/>
      <c r="U1175" s="263"/>
      <c r="V1175" s="263"/>
      <c r="W1175" s="263"/>
      <c r="X1175" s="263"/>
      <c r="Y1175" s="575"/>
      <c r="Z1175" s="575"/>
      <c r="AA1175" s="576">
        <f t="shared" si="111"/>
        <v>0</v>
      </c>
      <c r="AB1175" s="722"/>
    </row>
    <row r="1176" spans="1:28" ht="15" customHeight="1" x14ac:dyDescent="0.35">
      <c r="A1176" s="81" t="s">
        <v>3891</v>
      </c>
      <c r="C1176" s="83">
        <v>43847</v>
      </c>
      <c r="D1176" s="83">
        <v>43882</v>
      </c>
      <c r="E1176" s="570"/>
      <c r="F1176" s="88" t="s">
        <v>3892</v>
      </c>
      <c r="G1176" s="88" t="s">
        <v>149</v>
      </c>
      <c r="H1176" s="98" t="s">
        <v>220</v>
      </c>
      <c r="J1176" s="75">
        <f t="shared" si="112"/>
        <v>1</v>
      </c>
      <c r="K1176" s="76" t="s">
        <v>221</v>
      </c>
      <c r="Q1176" s="78" t="s">
        <v>2447</v>
      </c>
      <c r="R1176" s="75">
        <f t="shared" si="113"/>
        <v>0</v>
      </c>
      <c r="S1176" s="263"/>
      <c r="T1176" s="263"/>
      <c r="U1176" s="263"/>
      <c r="V1176" s="263"/>
      <c r="W1176" s="263"/>
      <c r="X1176" s="263"/>
      <c r="Y1176" s="575"/>
      <c r="Z1176" s="575"/>
      <c r="AA1176" s="576">
        <f t="shared" si="111"/>
        <v>0</v>
      </c>
      <c r="AB1176" s="722"/>
    </row>
    <row r="1177" spans="1:28" ht="15" customHeight="1" x14ac:dyDescent="0.35">
      <c r="A1177" s="81" t="s">
        <v>4448</v>
      </c>
      <c r="C1177" s="83">
        <v>43851</v>
      </c>
      <c r="D1177" s="112">
        <v>43887</v>
      </c>
      <c r="E1177" s="570"/>
      <c r="F1177" s="88" t="s">
        <v>4449</v>
      </c>
      <c r="G1177" s="88" t="s">
        <v>162</v>
      </c>
      <c r="H1177" s="81" t="s">
        <v>220</v>
      </c>
      <c r="I1177" s="98" t="s">
        <v>863</v>
      </c>
      <c r="J1177" s="75">
        <f t="shared" si="112"/>
        <v>1</v>
      </c>
      <c r="K1177" s="76" t="s">
        <v>211</v>
      </c>
      <c r="N1177" s="78" t="s">
        <v>17</v>
      </c>
      <c r="Q1177" s="78" t="s">
        <v>2447</v>
      </c>
      <c r="R1177" s="75">
        <f t="shared" si="113"/>
        <v>1</v>
      </c>
      <c r="S1177" s="263" t="s">
        <v>1991</v>
      </c>
      <c r="T1177" s="263"/>
      <c r="U1177" s="263"/>
      <c r="V1177" s="263"/>
      <c r="W1177" s="263"/>
      <c r="X1177" s="263"/>
      <c r="Y1177" s="575"/>
      <c r="Z1177" s="575"/>
      <c r="AA1177" s="576">
        <f t="shared" si="111"/>
        <v>0</v>
      </c>
      <c r="AB1177" s="722"/>
    </row>
    <row r="1178" spans="1:28" ht="15" customHeight="1" x14ac:dyDescent="0.35">
      <c r="A1178" s="81" t="s">
        <v>4114</v>
      </c>
      <c r="C1178" s="83">
        <v>43851</v>
      </c>
      <c r="D1178" s="112">
        <v>43887</v>
      </c>
      <c r="E1178" s="570"/>
      <c r="F1178" s="88" t="s">
        <v>4115</v>
      </c>
      <c r="G1178" s="88" t="s">
        <v>152</v>
      </c>
      <c r="H1178" s="98" t="s">
        <v>220</v>
      </c>
      <c r="I1178" s="98" t="s">
        <v>722</v>
      </c>
      <c r="J1178" s="75">
        <f t="shared" si="112"/>
        <v>1</v>
      </c>
      <c r="K1178" s="76" t="s">
        <v>211</v>
      </c>
      <c r="N1178" s="78" t="s">
        <v>18</v>
      </c>
      <c r="Q1178" s="78" t="s">
        <v>2447</v>
      </c>
      <c r="R1178" s="75">
        <f t="shared" si="113"/>
        <v>1</v>
      </c>
      <c r="S1178" s="263" t="s">
        <v>1991</v>
      </c>
      <c r="T1178" s="263"/>
      <c r="U1178" s="263"/>
      <c r="V1178" s="263"/>
      <c r="W1178" s="263"/>
      <c r="X1178" s="263"/>
      <c r="Y1178" s="575"/>
      <c r="Z1178" s="575"/>
      <c r="AA1178" s="576">
        <f t="shared" si="111"/>
        <v>0</v>
      </c>
      <c r="AB1178" s="722"/>
    </row>
    <row r="1179" spans="1:28" ht="15" customHeight="1" x14ac:dyDescent="0.35">
      <c r="A1179" s="81" t="s">
        <v>4122</v>
      </c>
      <c r="C1179" s="83">
        <v>43851</v>
      </c>
      <c r="D1179" s="112">
        <v>43887</v>
      </c>
      <c r="E1179" s="570"/>
      <c r="F1179" s="88" t="s">
        <v>4123</v>
      </c>
      <c r="G1179" s="88" t="s">
        <v>158</v>
      </c>
      <c r="H1179" s="98" t="s">
        <v>220</v>
      </c>
      <c r="I1179" s="98" t="s">
        <v>722</v>
      </c>
      <c r="J1179" s="75">
        <f t="shared" si="112"/>
        <v>1</v>
      </c>
      <c r="K1179" s="76" t="s">
        <v>211</v>
      </c>
      <c r="N1179" s="78" t="s">
        <v>18</v>
      </c>
      <c r="Q1179" s="78" t="s">
        <v>2447</v>
      </c>
      <c r="R1179" s="75">
        <f t="shared" si="113"/>
        <v>1</v>
      </c>
      <c r="S1179" s="263" t="s">
        <v>1991</v>
      </c>
      <c r="T1179" s="263"/>
      <c r="U1179" s="263"/>
      <c r="V1179" s="263"/>
      <c r="W1179" s="263"/>
      <c r="X1179" s="263"/>
      <c r="Y1179" s="575"/>
      <c r="Z1179" s="575"/>
      <c r="AA1179" s="576">
        <f t="shared" si="111"/>
        <v>0</v>
      </c>
      <c r="AB1179" s="722"/>
    </row>
    <row r="1180" spans="1:28" ht="15" customHeight="1" x14ac:dyDescent="0.35">
      <c r="A1180" s="81" t="s">
        <v>4126</v>
      </c>
      <c r="C1180" s="83">
        <v>43852</v>
      </c>
      <c r="D1180" s="112">
        <v>43888</v>
      </c>
      <c r="E1180" s="570"/>
      <c r="F1180" s="88" t="s">
        <v>4127</v>
      </c>
      <c r="G1180" s="88" t="s">
        <v>154</v>
      </c>
      <c r="H1180" s="98" t="s">
        <v>220</v>
      </c>
      <c r="I1180" s="98" t="s">
        <v>3260</v>
      </c>
      <c r="J1180" s="75">
        <f t="shared" si="112"/>
        <v>1</v>
      </c>
      <c r="K1180" s="76" t="s">
        <v>211</v>
      </c>
      <c r="L1180" s="99" t="s">
        <v>4554</v>
      </c>
      <c r="N1180" s="78" t="s">
        <v>19</v>
      </c>
      <c r="Q1180" s="78" t="s">
        <v>2447</v>
      </c>
      <c r="R1180" s="75">
        <f t="shared" si="113"/>
        <v>1</v>
      </c>
      <c r="S1180" s="263" t="s">
        <v>1991</v>
      </c>
      <c r="T1180" s="263"/>
      <c r="U1180" s="263"/>
      <c r="V1180" s="263"/>
      <c r="W1180" s="263"/>
      <c r="X1180" s="263"/>
      <c r="Y1180" s="575"/>
      <c r="Z1180" s="575"/>
      <c r="AA1180" s="576">
        <f t="shared" si="111"/>
        <v>0</v>
      </c>
      <c r="AB1180" s="722"/>
    </row>
    <row r="1181" spans="1:28" ht="15" customHeight="1" x14ac:dyDescent="0.35">
      <c r="A1181" s="81" t="s">
        <v>4128</v>
      </c>
      <c r="C1181" s="83">
        <v>43852</v>
      </c>
      <c r="D1181" s="112">
        <v>43888</v>
      </c>
      <c r="E1181" s="570"/>
      <c r="F1181" s="88" t="s">
        <v>4129</v>
      </c>
      <c r="G1181" s="88" t="s">
        <v>158</v>
      </c>
      <c r="H1181" s="98" t="s">
        <v>220</v>
      </c>
      <c r="I1181" s="98" t="s">
        <v>722</v>
      </c>
      <c r="J1181" s="75">
        <f t="shared" si="112"/>
        <v>1</v>
      </c>
      <c r="K1181" s="76" t="s">
        <v>211</v>
      </c>
      <c r="N1181" s="78" t="s">
        <v>18</v>
      </c>
      <c r="Q1181" s="78" t="s">
        <v>2447</v>
      </c>
      <c r="R1181" s="75">
        <f t="shared" si="113"/>
        <v>1</v>
      </c>
      <c r="S1181" s="263" t="s">
        <v>1991</v>
      </c>
      <c r="T1181" s="263"/>
      <c r="U1181" s="263"/>
      <c r="V1181" s="263"/>
      <c r="W1181" s="263"/>
      <c r="X1181" s="263"/>
      <c r="Y1181" s="575"/>
      <c r="Z1181" s="575"/>
      <c r="AA1181" s="576">
        <f t="shared" si="111"/>
        <v>0</v>
      </c>
      <c r="AB1181" s="722"/>
    </row>
    <row r="1182" spans="1:28" ht="15" customHeight="1" x14ac:dyDescent="0.35">
      <c r="A1182" s="81" t="s">
        <v>4130</v>
      </c>
      <c r="C1182" s="83">
        <v>43852</v>
      </c>
      <c r="D1182" s="112">
        <v>43888</v>
      </c>
      <c r="E1182" s="570"/>
      <c r="F1182" s="88" t="s">
        <v>4131</v>
      </c>
      <c r="G1182" s="88" t="s">
        <v>154</v>
      </c>
      <c r="H1182" s="98" t="s">
        <v>220</v>
      </c>
      <c r="I1182" s="98" t="s">
        <v>648</v>
      </c>
      <c r="J1182" s="75">
        <f t="shared" si="112"/>
        <v>1</v>
      </c>
      <c r="K1182" s="76" t="s">
        <v>211</v>
      </c>
      <c r="N1182" s="78" t="s">
        <v>17</v>
      </c>
      <c r="Q1182" s="78" t="s">
        <v>2447</v>
      </c>
      <c r="R1182" s="75">
        <f t="shared" si="113"/>
        <v>1</v>
      </c>
      <c r="S1182" s="263" t="s">
        <v>1991</v>
      </c>
      <c r="T1182" s="263"/>
      <c r="U1182" s="263"/>
      <c r="V1182" s="263"/>
      <c r="W1182" s="263"/>
      <c r="X1182" s="263"/>
      <c r="Y1182" s="575"/>
      <c r="Z1182" s="575"/>
      <c r="AA1182" s="576">
        <f t="shared" si="111"/>
        <v>0</v>
      </c>
      <c r="AB1182" s="722"/>
    </row>
    <row r="1183" spans="1:28" ht="15" customHeight="1" x14ac:dyDescent="0.35">
      <c r="A1183" s="81" t="s">
        <v>4132</v>
      </c>
      <c r="C1183" s="83">
        <v>43853</v>
      </c>
      <c r="D1183" s="112">
        <v>43889</v>
      </c>
      <c r="E1183" s="570"/>
      <c r="F1183" s="88" t="s">
        <v>4133</v>
      </c>
      <c r="G1183" s="88" t="s">
        <v>152</v>
      </c>
      <c r="H1183" s="98" t="s">
        <v>220</v>
      </c>
      <c r="I1183" s="98" t="s">
        <v>722</v>
      </c>
      <c r="J1183" s="75">
        <f t="shared" si="112"/>
        <v>1</v>
      </c>
      <c r="K1183" s="76" t="s">
        <v>211</v>
      </c>
      <c r="N1183" s="78" t="s">
        <v>18</v>
      </c>
      <c r="Q1183" s="78" t="s">
        <v>2447</v>
      </c>
      <c r="R1183" s="75">
        <f t="shared" si="113"/>
        <v>1</v>
      </c>
      <c r="S1183" s="263" t="s">
        <v>1991</v>
      </c>
      <c r="T1183" s="263"/>
      <c r="U1183" s="263"/>
      <c r="V1183" s="263"/>
      <c r="W1183" s="263"/>
      <c r="X1183" s="263"/>
      <c r="Y1183" s="575"/>
      <c r="Z1183" s="575"/>
      <c r="AA1183" s="576">
        <f t="shared" si="111"/>
        <v>0</v>
      </c>
      <c r="AB1183" s="722"/>
    </row>
    <row r="1184" spans="1:28" ht="15" customHeight="1" x14ac:dyDescent="0.35">
      <c r="A1184" s="81" t="s">
        <v>4134</v>
      </c>
      <c r="C1184" s="83">
        <v>43853</v>
      </c>
      <c r="D1184" s="112">
        <v>43889</v>
      </c>
      <c r="E1184" s="570"/>
      <c r="F1184" s="88" t="s">
        <v>4135</v>
      </c>
      <c r="G1184" s="88" t="s">
        <v>154</v>
      </c>
      <c r="H1184" s="98" t="s">
        <v>220</v>
      </c>
      <c r="I1184" s="98" t="s">
        <v>2024</v>
      </c>
      <c r="J1184" s="75">
        <f t="shared" ref="J1184:J1211" si="114">IF(OR(K1184="Документы готовы",K1184="Запрос в ФО",K1184="ЭЗ",K1184="РЕШ",K1184="РЕШ шаблон"),0.1,IF(OR(K1184="ЭЗ согласование",K1184="РЕШ согласование"),0.3,IF(OR(K1184="ЭЗ согласовано",K1184="РЕШ согласовано",K1184="РЕШ подписано"),0.6,IF(OR(K1184="ЭЗ ПР согласование",K1184="РЕШ УВ согласование"),0.9,IF(OR(K1184="ЭЗ ПР DONE",K1184="РЕШ УВ DONE"),1,0)))))</f>
        <v>1</v>
      </c>
      <c r="K1184" s="76" t="s">
        <v>211</v>
      </c>
      <c r="N1184" s="78" t="s">
        <v>17</v>
      </c>
      <c r="Q1184" s="78" t="s">
        <v>2447</v>
      </c>
      <c r="R1184" s="75">
        <f t="shared" ref="R1184:R1211" si="115">IF(S1184="В работе",0.3,IF(S1184="Отписано",0.6,IF(S1184="На доработку",0.9,IF(S1184="Согласовано",1,0))))</f>
        <v>1</v>
      </c>
      <c r="S1184" s="263" t="s">
        <v>1991</v>
      </c>
      <c r="T1184" s="263"/>
      <c r="U1184" s="263"/>
      <c r="V1184" s="263"/>
      <c r="W1184" s="263"/>
      <c r="X1184" s="263"/>
      <c r="Y1184" s="575"/>
      <c r="Z1184" s="575"/>
      <c r="AA1184" s="576">
        <f t="shared" si="111"/>
        <v>0</v>
      </c>
      <c r="AB1184" s="722"/>
    </row>
    <row r="1185" spans="1:28" ht="15" customHeight="1" x14ac:dyDescent="0.35">
      <c r="A1185" s="81" t="s">
        <v>4450</v>
      </c>
      <c r="C1185" s="83">
        <v>43861</v>
      </c>
      <c r="D1185" s="83">
        <v>43886</v>
      </c>
      <c r="E1185" s="570"/>
      <c r="F1185" s="88" t="s">
        <v>4451</v>
      </c>
      <c r="G1185" s="88" t="s">
        <v>162</v>
      </c>
      <c r="H1185" s="81" t="s">
        <v>275</v>
      </c>
      <c r="J1185" s="75">
        <f t="shared" si="114"/>
        <v>1</v>
      </c>
      <c r="K1185" s="76" t="s">
        <v>221</v>
      </c>
      <c r="Q1185" s="78" t="s">
        <v>2447</v>
      </c>
      <c r="R1185" s="75">
        <f t="shared" si="115"/>
        <v>1</v>
      </c>
      <c r="S1185" s="263" t="s">
        <v>1991</v>
      </c>
      <c r="T1185" s="263"/>
      <c r="U1185" s="263"/>
      <c r="V1185" s="263"/>
      <c r="W1185" s="263"/>
      <c r="X1185" s="263"/>
      <c r="Y1185" s="575"/>
      <c r="Z1185" s="575"/>
      <c r="AA1185" s="576">
        <f t="shared" si="111"/>
        <v>0</v>
      </c>
      <c r="AB1185" s="722"/>
    </row>
    <row r="1186" spans="1:28" ht="15" customHeight="1" x14ac:dyDescent="0.35">
      <c r="A1186" s="81" t="s">
        <v>4452</v>
      </c>
      <c r="C1186" s="83">
        <v>43861</v>
      </c>
      <c r="D1186" s="83">
        <v>43886</v>
      </c>
      <c r="E1186" s="570"/>
      <c r="F1186" s="88" t="s">
        <v>4453</v>
      </c>
      <c r="G1186" s="88" t="s">
        <v>417</v>
      </c>
      <c r="H1186" s="81" t="s">
        <v>220</v>
      </c>
      <c r="J1186" s="75">
        <f t="shared" si="114"/>
        <v>1</v>
      </c>
      <c r="K1186" s="76" t="s">
        <v>221</v>
      </c>
      <c r="Q1186" s="78" t="s">
        <v>2447</v>
      </c>
      <c r="R1186" s="75">
        <f t="shared" si="115"/>
        <v>1</v>
      </c>
      <c r="S1186" s="263" t="s">
        <v>1991</v>
      </c>
      <c r="T1186" s="263"/>
      <c r="U1186" s="263"/>
      <c r="V1186" s="263"/>
      <c r="W1186" s="263"/>
      <c r="X1186" s="263"/>
      <c r="Y1186" s="575"/>
      <c r="Z1186" s="575"/>
      <c r="AA1186" s="576">
        <f t="shared" si="111"/>
        <v>0</v>
      </c>
      <c r="AB1186" s="722"/>
    </row>
    <row r="1187" spans="1:28" ht="15" customHeight="1" x14ac:dyDescent="0.35">
      <c r="A1187" s="81" t="s">
        <v>4454</v>
      </c>
      <c r="C1187" s="83">
        <v>43861</v>
      </c>
      <c r="D1187" s="83">
        <v>43886</v>
      </c>
      <c r="E1187" s="570"/>
      <c r="F1187" s="88" t="s">
        <v>4455</v>
      </c>
      <c r="G1187" s="88" t="s">
        <v>186</v>
      </c>
      <c r="H1187" s="81" t="s">
        <v>220</v>
      </c>
      <c r="J1187" s="75">
        <f t="shared" si="114"/>
        <v>1</v>
      </c>
      <c r="K1187" s="76" t="s">
        <v>221</v>
      </c>
      <c r="Q1187" s="78" t="s">
        <v>2447</v>
      </c>
      <c r="R1187" s="75">
        <f t="shared" si="115"/>
        <v>1</v>
      </c>
      <c r="S1187" s="263" t="s">
        <v>1991</v>
      </c>
      <c r="T1187" s="263"/>
      <c r="U1187" s="263"/>
      <c r="V1187" s="263"/>
      <c r="W1187" s="263"/>
      <c r="X1187" s="263"/>
      <c r="Y1187" s="575"/>
      <c r="Z1187" s="575"/>
      <c r="AA1187" s="576">
        <f t="shared" si="111"/>
        <v>0</v>
      </c>
      <c r="AB1187" s="722"/>
    </row>
    <row r="1188" spans="1:28" ht="15" customHeight="1" x14ac:dyDescent="0.35">
      <c r="A1188" s="81" t="s">
        <v>4456</v>
      </c>
      <c r="C1188" s="83">
        <v>43861</v>
      </c>
      <c r="D1188" s="83">
        <v>43886</v>
      </c>
      <c r="E1188" s="570"/>
      <c r="F1188" s="88" t="s">
        <v>4457</v>
      </c>
      <c r="G1188" s="88" t="s">
        <v>162</v>
      </c>
      <c r="H1188" s="81" t="s">
        <v>275</v>
      </c>
      <c r="J1188" s="75">
        <f t="shared" si="114"/>
        <v>1</v>
      </c>
      <c r="K1188" s="76" t="s">
        <v>221</v>
      </c>
      <c r="Q1188" s="78" t="s">
        <v>2447</v>
      </c>
      <c r="R1188" s="75">
        <f t="shared" si="115"/>
        <v>1</v>
      </c>
      <c r="S1188" s="263" t="s">
        <v>1991</v>
      </c>
      <c r="T1188" s="263"/>
      <c r="U1188" s="263"/>
      <c r="V1188" s="263"/>
      <c r="W1188" s="263"/>
      <c r="X1188" s="263"/>
      <c r="Y1188" s="575"/>
      <c r="Z1188" s="575"/>
      <c r="AA1188" s="576">
        <f t="shared" si="111"/>
        <v>0</v>
      </c>
      <c r="AB1188" s="722"/>
    </row>
    <row r="1189" spans="1:28" ht="15" customHeight="1" x14ac:dyDescent="0.35">
      <c r="A1189" s="81" t="s">
        <v>4458</v>
      </c>
      <c r="C1189" s="83">
        <v>43864</v>
      </c>
      <c r="D1189" s="83">
        <v>43887</v>
      </c>
      <c r="E1189" s="570"/>
      <c r="F1189" s="88" t="s">
        <v>4459</v>
      </c>
      <c r="G1189" s="88" t="s">
        <v>158</v>
      </c>
      <c r="H1189" s="81" t="s">
        <v>220</v>
      </c>
      <c r="J1189" s="75">
        <f t="shared" si="114"/>
        <v>1</v>
      </c>
      <c r="K1189" s="76" t="s">
        <v>221</v>
      </c>
      <c r="L1189" s="99" t="s">
        <v>1755</v>
      </c>
      <c r="Q1189" s="78" t="s">
        <v>2447</v>
      </c>
      <c r="R1189" s="75">
        <f t="shared" si="115"/>
        <v>1</v>
      </c>
      <c r="S1189" s="263" t="s">
        <v>1991</v>
      </c>
      <c r="T1189" s="263"/>
      <c r="U1189" s="263"/>
      <c r="V1189" s="263"/>
      <c r="W1189" s="263"/>
      <c r="X1189" s="263"/>
      <c r="Y1189" s="575"/>
      <c r="Z1189" s="575"/>
      <c r="AA1189" s="576">
        <f t="shared" si="111"/>
        <v>0</v>
      </c>
      <c r="AB1189" s="722"/>
    </row>
    <row r="1190" spans="1:28" ht="15" customHeight="1" x14ac:dyDescent="0.35">
      <c r="A1190" s="81" t="s">
        <v>4460</v>
      </c>
      <c r="C1190" s="83">
        <v>43864</v>
      </c>
      <c r="D1190" s="83">
        <v>43887</v>
      </c>
      <c r="E1190" s="570"/>
      <c r="F1190" s="88" t="s">
        <v>4461</v>
      </c>
      <c r="G1190" s="88" t="s">
        <v>156</v>
      </c>
      <c r="H1190" s="81" t="s">
        <v>220</v>
      </c>
      <c r="J1190" s="75">
        <f t="shared" si="114"/>
        <v>1</v>
      </c>
      <c r="K1190" s="76" t="s">
        <v>221</v>
      </c>
      <c r="Q1190" s="78" t="s">
        <v>2447</v>
      </c>
      <c r="R1190" s="75">
        <f t="shared" si="115"/>
        <v>1</v>
      </c>
      <c r="S1190" s="263" t="s">
        <v>1991</v>
      </c>
      <c r="T1190" s="263"/>
      <c r="U1190" s="263"/>
      <c r="V1190" s="263"/>
      <c r="W1190" s="263"/>
      <c r="X1190" s="263"/>
      <c r="Y1190" s="575"/>
      <c r="Z1190" s="575"/>
      <c r="AA1190" s="576">
        <f t="shared" si="111"/>
        <v>0</v>
      </c>
      <c r="AB1190" s="722"/>
    </row>
    <row r="1191" spans="1:28" ht="15" customHeight="1" x14ac:dyDescent="0.35">
      <c r="A1191" s="81" t="s">
        <v>4462</v>
      </c>
      <c r="C1191" s="83">
        <v>43864</v>
      </c>
      <c r="D1191" s="83">
        <v>43886</v>
      </c>
      <c r="E1191" s="570"/>
      <c r="F1191" s="88" t="s">
        <v>4463</v>
      </c>
      <c r="G1191" s="88" t="s">
        <v>183</v>
      </c>
      <c r="H1191" s="81" t="s">
        <v>220</v>
      </c>
      <c r="J1191" s="75">
        <f t="shared" si="114"/>
        <v>1</v>
      </c>
      <c r="K1191" s="76" t="s">
        <v>221</v>
      </c>
      <c r="Q1191" s="78" t="s">
        <v>2447</v>
      </c>
      <c r="R1191" s="75">
        <f t="shared" si="115"/>
        <v>1</v>
      </c>
      <c r="S1191" s="263" t="s">
        <v>1991</v>
      </c>
      <c r="T1191" s="263"/>
      <c r="U1191" s="263"/>
      <c r="V1191" s="263"/>
      <c r="W1191" s="263"/>
      <c r="X1191" s="263"/>
      <c r="Y1191" s="575"/>
      <c r="Z1191" s="575"/>
      <c r="AA1191" s="576">
        <f t="shared" si="111"/>
        <v>0</v>
      </c>
      <c r="AB1191" s="722"/>
    </row>
    <row r="1192" spans="1:28" ht="15" customHeight="1" x14ac:dyDescent="0.35">
      <c r="A1192" s="81" t="s">
        <v>4464</v>
      </c>
      <c r="C1192" s="83">
        <v>43864</v>
      </c>
      <c r="D1192" s="83">
        <v>43887</v>
      </c>
      <c r="E1192" s="570"/>
      <c r="F1192" s="88" t="s">
        <v>4465</v>
      </c>
      <c r="G1192" s="88" t="s">
        <v>195</v>
      </c>
      <c r="H1192" s="81" t="s">
        <v>220</v>
      </c>
      <c r="J1192" s="75">
        <f t="shared" si="114"/>
        <v>1</v>
      </c>
      <c r="K1192" s="76" t="s">
        <v>221</v>
      </c>
      <c r="Q1192" s="78" t="s">
        <v>2447</v>
      </c>
      <c r="R1192" s="75">
        <f t="shared" si="115"/>
        <v>1</v>
      </c>
      <c r="S1192" s="263" t="s">
        <v>1991</v>
      </c>
      <c r="T1192" s="263"/>
      <c r="U1192" s="263"/>
      <c r="V1192" s="263"/>
      <c r="W1192" s="263"/>
      <c r="X1192" s="263"/>
      <c r="Y1192" s="575"/>
      <c r="Z1192" s="575"/>
      <c r="AA1192" s="576">
        <f t="shared" si="111"/>
        <v>0</v>
      </c>
      <c r="AB1192" s="722"/>
    </row>
    <row r="1193" spans="1:28" ht="15" customHeight="1" x14ac:dyDescent="0.35">
      <c r="A1193" s="81" t="s">
        <v>4466</v>
      </c>
      <c r="C1193" s="83">
        <v>43864</v>
      </c>
      <c r="D1193" s="83">
        <v>43887</v>
      </c>
      <c r="E1193" s="570"/>
      <c r="F1193" s="88" t="s">
        <v>4467</v>
      </c>
      <c r="G1193" s="88" t="s">
        <v>152</v>
      </c>
      <c r="H1193" s="81" t="s">
        <v>220</v>
      </c>
      <c r="J1193" s="75">
        <f t="shared" si="114"/>
        <v>1</v>
      </c>
      <c r="K1193" s="76" t="s">
        <v>221</v>
      </c>
      <c r="Q1193" s="78" t="s">
        <v>2447</v>
      </c>
      <c r="R1193" s="75">
        <f t="shared" si="115"/>
        <v>1</v>
      </c>
      <c r="S1193" s="263" t="s">
        <v>1991</v>
      </c>
      <c r="T1193" s="263"/>
      <c r="U1193" s="263"/>
      <c r="V1193" s="263"/>
      <c r="W1193" s="263"/>
      <c r="X1193" s="263"/>
      <c r="Y1193" s="575"/>
      <c r="Z1193" s="575"/>
      <c r="AA1193" s="576">
        <f t="shared" si="111"/>
        <v>0</v>
      </c>
      <c r="AB1193" s="722"/>
    </row>
    <row r="1194" spans="1:28" ht="15" customHeight="1" x14ac:dyDescent="0.35">
      <c r="A1194" s="81" t="s">
        <v>4468</v>
      </c>
      <c r="C1194" s="83">
        <v>43864</v>
      </c>
      <c r="D1194" s="112">
        <v>43887</v>
      </c>
      <c r="E1194" s="570"/>
      <c r="F1194" s="88" t="s">
        <v>4469</v>
      </c>
      <c r="G1194" s="88" t="s">
        <v>154</v>
      </c>
      <c r="H1194" s="81" t="s">
        <v>275</v>
      </c>
      <c r="I1194" s="98" t="s">
        <v>656</v>
      </c>
      <c r="J1194" s="75">
        <f t="shared" si="114"/>
        <v>1</v>
      </c>
      <c r="K1194" s="76" t="s">
        <v>211</v>
      </c>
      <c r="N1194" s="78" t="s">
        <v>17</v>
      </c>
      <c r="Q1194" s="78" t="s">
        <v>2447</v>
      </c>
      <c r="R1194" s="75">
        <f t="shared" si="115"/>
        <v>1</v>
      </c>
      <c r="S1194" s="263" t="s">
        <v>1991</v>
      </c>
      <c r="T1194" s="263"/>
      <c r="U1194" s="263"/>
      <c r="V1194" s="263"/>
      <c r="W1194" s="263"/>
      <c r="X1194" s="263"/>
      <c r="Y1194" s="575"/>
      <c r="Z1194" s="575"/>
      <c r="AA1194" s="576">
        <f t="shared" si="111"/>
        <v>0</v>
      </c>
      <c r="AB1194" s="722"/>
    </row>
    <row r="1195" spans="1:28" ht="15" customHeight="1" x14ac:dyDescent="0.35">
      <c r="A1195" s="81" t="s">
        <v>4470</v>
      </c>
      <c r="C1195" s="83">
        <v>43865</v>
      </c>
      <c r="D1195" s="112">
        <v>43888</v>
      </c>
      <c r="E1195" s="570"/>
      <c r="F1195" s="88" t="s">
        <v>4471</v>
      </c>
      <c r="G1195" s="88" t="s">
        <v>162</v>
      </c>
      <c r="H1195" s="81" t="s">
        <v>220</v>
      </c>
      <c r="I1195" s="98" t="s">
        <v>656</v>
      </c>
      <c r="J1195" s="75">
        <f t="shared" si="114"/>
        <v>1</v>
      </c>
      <c r="K1195" s="76" t="s">
        <v>211</v>
      </c>
      <c r="N1195" s="78" t="s">
        <v>17</v>
      </c>
      <c r="Q1195" s="78" t="s">
        <v>2447</v>
      </c>
      <c r="R1195" s="75">
        <f t="shared" si="115"/>
        <v>1</v>
      </c>
      <c r="S1195" s="263" t="s">
        <v>1991</v>
      </c>
      <c r="T1195" s="263"/>
      <c r="U1195" s="263"/>
      <c r="V1195" s="263"/>
      <c r="W1195" s="263"/>
      <c r="X1195" s="263"/>
      <c r="Y1195" s="575"/>
      <c r="Z1195" s="575"/>
      <c r="AA1195" s="576">
        <f t="shared" si="111"/>
        <v>0</v>
      </c>
      <c r="AB1195" s="722"/>
    </row>
    <row r="1196" spans="1:28" ht="15" customHeight="1" x14ac:dyDescent="0.35">
      <c r="A1196" s="81" t="s">
        <v>4472</v>
      </c>
      <c r="C1196" s="83">
        <v>43865</v>
      </c>
      <c r="D1196" s="112">
        <v>43888</v>
      </c>
      <c r="E1196" s="570"/>
      <c r="F1196" s="88" t="s">
        <v>4473</v>
      </c>
      <c r="G1196" s="88" t="s">
        <v>181</v>
      </c>
      <c r="H1196" s="81" t="s">
        <v>220</v>
      </c>
      <c r="I1196" s="98" t="s">
        <v>1645</v>
      </c>
      <c r="J1196" s="75">
        <f t="shared" si="114"/>
        <v>1</v>
      </c>
      <c r="K1196" s="76" t="s">
        <v>211</v>
      </c>
      <c r="N1196" s="78" t="s">
        <v>18</v>
      </c>
      <c r="Q1196" s="78" t="s">
        <v>2447</v>
      </c>
      <c r="R1196" s="75">
        <f t="shared" si="115"/>
        <v>1</v>
      </c>
      <c r="S1196" s="263" t="s">
        <v>1991</v>
      </c>
      <c r="T1196" s="263"/>
      <c r="U1196" s="263"/>
      <c r="V1196" s="263"/>
      <c r="W1196" s="263"/>
      <c r="X1196" s="263"/>
      <c r="Y1196" s="575"/>
      <c r="Z1196" s="575"/>
      <c r="AA1196" s="576">
        <f t="shared" si="111"/>
        <v>0</v>
      </c>
      <c r="AB1196" s="722"/>
    </row>
    <row r="1197" spans="1:28" ht="15" customHeight="1" x14ac:dyDescent="0.35">
      <c r="A1197" s="81" t="s">
        <v>4474</v>
      </c>
      <c r="C1197" s="83">
        <v>43865</v>
      </c>
      <c r="D1197" s="83">
        <v>43888</v>
      </c>
      <c r="E1197" s="570"/>
      <c r="F1197" s="88" t="s">
        <v>4475</v>
      </c>
      <c r="G1197" s="88" t="s">
        <v>162</v>
      </c>
      <c r="H1197" s="81" t="s">
        <v>220</v>
      </c>
      <c r="J1197" s="75">
        <f t="shared" si="114"/>
        <v>1</v>
      </c>
      <c r="K1197" s="76" t="s">
        <v>221</v>
      </c>
      <c r="Q1197" s="78" t="s">
        <v>2447</v>
      </c>
      <c r="R1197" s="75">
        <f t="shared" si="115"/>
        <v>1</v>
      </c>
      <c r="S1197" s="263" t="s">
        <v>1991</v>
      </c>
      <c r="T1197" s="263"/>
      <c r="U1197" s="263"/>
      <c r="V1197" s="263"/>
      <c r="W1197" s="263"/>
      <c r="X1197" s="263"/>
      <c r="Y1197" s="575"/>
      <c r="Z1197" s="575"/>
      <c r="AA1197" s="576">
        <f t="shared" si="111"/>
        <v>0</v>
      </c>
      <c r="AB1197" s="722"/>
    </row>
    <row r="1198" spans="1:28" ht="15" customHeight="1" x14ac:dyDescent="0.35">
      <c r="A1198" s="81" t="s">
        <v>4476</v>
      </c>
      <c r="C1198" s="83">
        <v>43866</v>
      </c>
      <c r="D1198" s="83">
        <v>43889</v>
      </c>
      <c r="E1198" s="570"/>
      <c r="F1198" s="88" t="s">
        <v>4477</v>
      </c>
      <c r="G1198" s="88" t="s">
        <v>195</v>
      </c>
      <c r="H1198" s="81" t="s">
        <v>220</v>
      </c>
      <c r="J1198" s="75">
        <f t="shared" si="114"/>
        <v>1</v>
      </c>
      <c r="K1198" s="76" t="s">
        <v>221</v>
      </c>
      <c r="Q1198" s="78" t="s">
        <v>2447</v>
      </c>
      <c r="R1198" s="75">
        <f t="shared" si="115"/>
        <v>1</v>
      </c>
      <c r="S1198" s="263" t="s">
        <v>1991</v>
      </c>
      <c r="T1198" s="263"/>
      <c r="U1198" s="263"/>
      <c r="V1198" s="263"/>
      <c r="W1198" s="263"/>
      <c r="X1198" s="263"/>
      <c r="Y1198" s="575"/>
      <c r="Z1198" s="575"/>
      <c r="AA1198" s="576">
        <f t="shared" si="111"/>
        <v>0</v>
      </c>
      <c r="AB1198" s="722"/>
    </row>
    <row r="1199" spans="1:28" ht="15" customHeight="1" x14ac:dyDescent="0.35">
      <c r="A1199" s="81" t="s">
        <v>4478</v>
      </c>
      <c r="C1199" s="83">
        <v>43866</v>
      </c>
      <c r="D1199" s="112">
        <v>43889</v>
      </c>
      <c r="E1199" s="570"/>
      <c r="F1199" s="88" t="s">
        <v>4479</v>
      </c>
      <c r="G1199" s="88" t="s">
        <v>417</v>
      </c>
      <c r="H1199" s="81" t="s">
        <v>220</v>
      </c>
      <c r="I1199" s="98" t="s">
        <v>2215</v>
      </c>
      <c r="J1199" s="75">
        <f t="shared" si="114"/>
        <v>1</v>
      </c>
      <c r="K1199" s="76" t="s">
        <v>211</v>
      </c>
      <c r="N1199" s="78" t="s">
        <v>17</v>
      </c>
      <c r="Q1199" s="78" t="s">
        <v>2447</v>
      </c>
      <c r="R1199" s="75">
        <f t="shared" si="115"/>
        <v>1</v>
      </c>
      <c r="S1199" s="263" t="s">
        <v>1991</v>
      </c>
      <c r="T1199" s="263"/>
      <c r="U1199" s="263"/>
      <c r="V1199" s="263"/>
      <c r="W1199" s="263"/>
      <c r="X1199" s="263"/>
      <c r="Y1199" s="575"/>
      <c r="Z1199" s="575"/>
      <c r="AA1199" s="576">
        <f t="shared" si="111"/>
        <v>0</v>
      </c>
      <c r="AB1199" s="722"/>
    </row>
    <row r="1200" spans="1:28" ht="15" customHeight="1" x14ac:dyDescent="0.35">
      <c r="A1200" s="81" t="s">
        <v>4480</v>
      </c>
      <c r="C1200" s="83">
        <v>43866</v>
      </c>
      <c r="D1200" s="112">
        <v>43889</v>
      </c>
      <c r="E1200" s="570"/>
      <c r="F1200" s="88" t="s">
        <v>4481</v>
      </c>
      <c r="G1200" s="88" t="s">
        <v>149</v>
      </c>
      <c r="H1200" s="81" t="s">
        <v>220</v>
      </c>
      <c r="I1200" s="98" t="s">
        <v>3725</v>
      </c>
      <c r="J1200" s="75">
        <f t="shared" si="114"/>
        <v>1</v>
      </c>
      <c r="K1200" s="76" t="s">
        <v>211</v>
      </c>
      <c r="N1200" s="78" t="s">
        <v>19</v>
      </c>
      <c r="Q1200" s="78" t="s">
        <v>2447</v>
      </c>
      <c r="R1200" s="75">
        <f t="shared" si="115"/>
        <v>1</v>
      </c>
      <c r="S1200" s="263" t="s">
        <v>1991</v>
      </c>
      <c r="T1200" s="263"/>
      <c r="U1200" s="263"/>
      <c r="V1200" s="263"/>
      <c r="W1200" s="263"/>
      <c r="X1200" s="263"/>
      <c r="Y1200" s="575"/>
      <c r="Z1200" s="575"/>
      <c r="AA1200" s="576">
        <f t="shared" si="111"/>
        <v>0</v>
      </c>
      <c r="AB1200" s="722"/>
    </row>
    <row r="1201" spans="1:28" ht="15" customHeight="1" x14ac:dyDescent="0.35">
      <c r="A1201" s="81" t="s">
        <v>4482</v>
      </c>
      <c r="C1201" s="83">
        <v>43866</v>
      </c>
      <c r="D1201" s="112">
        <v>43889</v>
      </c>
      <c r="E1201" s="570"/>
      <c r="F1201" s="255" t="s">
        <v>4483</v>
      </c>
      <c r="G1201" s="88" t="s">
        <v>156</v>
      </c>
      <c r="H1201" s="81" t="s">
        <v>220</v>
      </c>
      <c r="I1201" s="98" t="s">
        <v>4561</v>
      </c>
      <c r="J1201" s="75">
        <f t="shared" si="114"/>
        <v>1</v>
      </c>
      <c r="K1201" s="76" t="s">
        <v>211</v>
      </c>
      <c r="L1201" s="99" t="s">
        <v>4562</v>
      </c>
      <c r="N1201" s="78" t="s">
        <v>17</v>
      </c>
      <c r="Q1201" s="78" t="s">
        <v>2447</v>
      </c>
      <c r="R1201" s="75">
        <f t="shared" si="115"/>
        <v>1</v>
      </c>
      <c r="S1201" s="263" t="s">
        <v>1991</v>
      </c>
      <c r="T1201" s="263"/>
      <c r="U1201" s="263"/>
      <c r="V1201" s="263"/>
      <c r="W1201" s="263"/>
      <c r="X1201" s="263"/>
      <c r="Y1201" s="575"/>
      <c r="Z1201" s="575"/>
      <c r="AA1201" s="576">
        <f t="shared" si="111"/>
        <v>0</v>
      </c>
      <c r="AB1201" s="722"/>
    </row>
    <row r="1202" spans="1:28" ht="15" customHeight="1" x14ac:dyDescent="0.35">
      <c r="A1202" s="81" t="s">
        <v>4006</v>
      </c>
      <c r="C1202" s="83">
        <v>43850</v>
      </c>
      <c r="D1202" s="112">
        <v>43887</v>
      </c>
      <c r="E1202" s="570"/>
      <c r="F1202" s="88" t="s">
        <v>4007</v>
      </c>
      <c r="G1202" s="88" t="s">
        <v>158</v>
      </c>
      <c r="H1202" s="98" t="s">
        <v>220</v>
      </c>
      <c r="I1202" s="98" t="s">
        <v>722</v>
      </c>
      <c r="J1202" s="75">
        <f t="shared" si="114"/>
        <v>1</v>
      </c>
      <c r="K1202" s="76" t="s">
        <v>211</v>
      </c>
      <c r="N1202" s="78" t="s">
        <v>17</v>
      </c>
      <c r="Q1202" s="78" t="s">
        <v>2056</v>
      </c>
      <c r="R1202" s="75">
        <f t="shared" si="115"/>
        <v>1</v>
      </c>
      <c r="S1202" s="263" t="s">
        <v>1991</v>
      </c>
      <c r="T1202" s="263"/>
      <c r="U1202" s="263"/>
      <c r="V1202" s="263"/>
      <c r="W1202" s="263"/>
      <c r="X1202" s="263"/>
      <c r="Y1202" s="575"/>
      <c r="Z1202" s="575"/>
      <c r="AA1202" s="576">
        <f t="shared" si="111"/>
        <v>0</v>
      </c>
      <c r="AB1202" s="722"/>
    </row>
    <row r="1203" spans="1:28" ht="15" customHeight="1" x14ac:dyDescent="0.35">
      <c r="A1203" s="81" t="s">
        <v>4008</v>
      </c>
      <c r="C1203" s="83">
        <v>43850</v>
      </c>
      <c r="D1203" s="112">
        <v>43887</v>
      </c>
      <c r="E1203" s="570"/>
      <c r="F1203" s="88" t="s">
        <v>4009</v>
      </c>
      <c r="G1203" s="88" t="s">
        <v>158</v>
      </c>
      <c r="H1203" s="98" t="s">
        <v>220</v>
      </c>
      <c r="I1203" s="98" t="s">
        <v>649</v>
      </c>
      <c r="J1203" s="75">
        <f t="shared" si="114"/>
        <v>1</v>
      </c>
      <c r="K1203" s="76" t="s">
        <v>211</v>
      </c>
      <c r="N1203" s="78" t="s">
        <v>18</v>
      </c>
      <c r="Q1203" s="78" t="s">
        <v>2056</v>
      </c>
      <c r="R1203" s="75">
        <f t="shared" si="115"/>
        <v>1</v>
      </c>
      <c r="S1203" s="263" t="s">
        <v>1991</v>
      </c>
      <c r="T1203" s="263"/>
      <c r="U1203" s="263"/>
      <c r="V1203" s="263"/>
      <c r="W1203" s="263"/>
      <c r="X1203" s="263"/>
      <c r="Y1203" s="575"/>
      <c r="Z1203" s="575"/>
      <c r="AA1203" s="576">
        <f t="shared" si="111"/>
        <v>0</v>
      </c>
      <c r="AB1203" s="722"/>
    </row>
    <row r="1204" spans="1:28" ht="15" customHeight="1" x14ac:dyDescent="0.35">
      <c r="A1204" s="81" t="s">
        <v>4012</v>
      </c>
      <c r="C1204" s="83">
        <v>43850</v>
      </c>
      <c r="D1204" s="112">
        <v>43887</v>
      </c>
      <c r="E1204" s="570"/>
      <c r="F1204" s="88" t="s">
        <v>4013</v>
      </c>
      <c r="G1204" s="88" t="s">
        <v>162</v>
      </c>
      <c r="H1204" s="98" t="s">
        <v>220</v>
      </c>
      <c r="I1204" s="98" t="s">
        <v>1004</v>
      </c>
      <c r="J1204" s="75">
        <f t="shared" si="114"/>
        <v>1</v>
      </c>
      <c r="K1204" s="76" t="s">
        <v>211</v>
      </c>
      <c r="L1204" s="99" t="s">
        <v>1759</v>
      </c>
      <c r="N1204" s="78" t="s">
        <v>19</v>
      </c>
      <c r="Q1204" s="78" t="s">
        <v>2056</v>
      </c>
      <c r="R1204" s="75">
        <f t="shared" si="115"/>
        <v>1</v>
      </c>
      <c r="S1204" s="263" t="s">
        <v>1991</v>
      </c>
      <c r="T1204" s="263"/>
      <c r="U1204" s="263"/>
      <c r="V1204" s="263"/>
      <c r="W1204" s="263"/>
      <c r="X1204" s="263"/>
      <c r="Y1204" s="575"/>
      <c r="Z1204" s="575"/>
      <c r="AA1204" s="576">
        <f t="shared" si="111"/>
        <v>0</v>
      </c>
      <c r="AB1204" s="722"/>
    </row>
    <row r="1205" spans="1:28" ht="15" customHeight="1" x14ac:dyDescent="0.35">
      <c r="A1205" s="81" t="s">
        <v>4014</v>
      </c>
      <c r="C1205" s="83">
        <v>43852</v>
      </c>
      <c r="D1205" s="112">
        <v>43888</v>
      </c>
      <c r="E1205" s="570"/>
      <c r="F1205" s="88" t="s">
        <v>4015</v>
      </c>
      <c r="G1205" s="88" t="s">
        <v>149</v>
      </c>
      <c r="H1205" s="98" t="s">
        <v>220</v>
      </c>
      <c r="I1205" s="98" t="s">
        <v>648</v>
      </c>
      <c r="J1205" s="75">
        <f t="shared" si="114"/>
        <v>1</v>
      </c>
      <c r="K1205" s="76" t="s">
        <v>211</v>
      </c>
      <c r="N1205" s="78" t="s">
        <v>18</v>
      </c>
      <c r="Q1205" s="78" t="s">
        <v>2056</v>
      </c>
      <c r="R1205" s="75">
        <f t="shared" si="115"/>
        <v>1</v>
      </c>
      <c r="S1205" s="263" t="s">
        <v>1991</v>
      </c>
      <c r="T1205" s="263"/>
      <c r="U1205" s="263"/>
      <c r="V1205" s="263"/>
      <c r="W1205" s="263"/>
      <c r="X1205" s="263"/>
      <c r="Y1205" s="575"/>
      <c r="Z1205" s="575"/>
      <c r="AA1205" s="576">
        <f t="shared" si="111"/>
        <v>0</v>
      </c>
      <c r="AB1205" s="722"/>
    </row>
    <row r="1206" spans="1:28" ht="15" customHeight="1" x14ac:dyDescent="0.35">
      <c r="A1206" s="98" t="s">
        <v>4018</v>
      </c>
      <c r="C1206" s="83">
        <v>43852</v>
      </c>
      <c r="D1206" s="112">
        <v>43888</v>
      </c>
      <c r="E1206" s="570"/>
      <c r="F1206" s="88" t="s">
        <v>4019</v>
      </c>
      <c r="G1206" s="88" t="s">
        <v>156</v>
      </c>
      <c r="H1206" s="98" t="s">
        <v>220</v>
      </c>
      <c r="I1206" s="98" t="s">
        <v>722</v>
      </c>
      <c r="J1206" s="75">
        <f t="shared" si="114"/>
        <v>1</v>
      </c>
      <c r="K1206" s="76" t="s">
        <v>211</v>
      </c>
      <c r="N1206" s="78" t="s">
        <v>18</v>
      </c>
      <c r="Q1206" s="78" t="s">
        <v>2056</v>
      </c>
      <c r="R1206" s="75">
        <f t="shared" si="115"/>
        <v>1</v>
      </c>
      <c r="S1206" s="263" t="s">
        <v>1991</v>
      </c>
      <c r="T1206" s="263"/>
      <c r="U1206" s="263"/>
      <c r="V1206" s="263"/>
      <c r="W1206" s="263"/>
      <c r="X1206" s="263"/>
      <c r="Y1206" s="575"/>
      <c r="Z1206" s="575"/>
      <c r="AA1206" s="576">
        <f t="shared" si="111"/>
        <v>0</v>
      </c>
      <c r="AB1206" s="722"/>
    </row>
    <row r="1207" spans="1:28" ht="15" customHeight="1" x14ac:dyDescent="0.35">
      <c r="A1207" s="81" t="s">
        <v>4020</v>
      </c>
      <c r="C1207" s="83">
        <v>43852</v>
      </c>
      <c r="D1207" s="112">
        <v>43888</v>
      </c>
      <c r="E1207" s="570"/>
      <c r="F1207" s="88" t="s">
        <v>4021</v>
      </c>
      <c r="G1207" s="88" t="s">
        <v>170</v>
      </c>
      <c r="H1207" s="98" t="s">
        <v>220</v>
      </c>
      <c r="I1207" s="98" t="s">
        <v>722</v>
      </c>
      <c r="J1207" s="75">
        <f t="shared" si="114"/>
        <v>1</v>
      </c>
      <c r="K1207" s="76" t="s">
        <v>211</v>
      </c>
      <c r="L1207" s="99" t="s">
        <v>4552</v>
      </c>
      <c r="N1207" s="78" t="s">
        <v>17</v>
      </c>
      <c r="Q1207" s="78" t="s">
        <v>2056</v>
      </c>
      <c r="R1207" s="75">
        <f t="shared" si="115"/>
        <v>1</v>
      </c>
      <c r="S1207" s="263" t="s">
        <v>1991</v>
      </c>
      <c r="T1207" s="263"/>
      <c r="U1207" s="263"/>
      <c r="V1207" s="263"/>
      <c r="W1207" s="263"/>
      <c r="X1207" s="263"/>
      <c r="Y1207" s="575"/>
      <c r="Z1207" s="575"/>
      <c r="AA1207" s="576">
        <f t="shared" si="111"/>
        <v>0</v>
      </c>
      <c r="AB1207" s="722"/>
    </row>
    <row r="1208" spans="1:28" ht="15" customHeight="1" x14ac:dyDescent="0.35">
      <c r="A1208" s="98" t="s">
        <v>4024</v>
      </c>
      <c r="C1208" s="83">
        <v>43853</v>
      </c>
      <c r="D1208" s="112">
        <v>43889</v>
      </c>
      <c r="E1208" s="570"/>
      <c r="F1208" s="88" t="s">
        <v>4025</v>
      </c>
      <c r="G1208" s="88" t="s">
        <v>152</v>
      </c>
      <c r="H1208" s="98" t="s">
        <v>220</v>
      </c>
      <c r="I1208" s="98" t="s">
        <v>722</v>
      </c>
      <c r="J1208" s="75">
        <f t="shared" si="114"/>
        <v>1</v>
      </c>
      <c r="K1208" s="76" t="s">
        <v>211</v>
      </c>
      <c r="N1208" s="78" t="s">
        <v>17</v>
      </c>
      <c r="Q1208" s="78" t="s">
        <v>2056</v>
      </c>
      <c r="R1208" s="75">
        <f t="shared" si="115"/>
        <v>1</v>
      </c>
      <c r="S1208" s="263" t="s">
        <v>1991</v>
      </c>
      <c r="T1208" s="263"/>
      <c r="U1208" s="263"/>
      <c r="V1208" s="263"/>
      <c r="W1208" s="263"/>
      <c r="X1208" s="263"/>
      <c r="Y1208" s="575"/>
      <c r="Z1208" s="575"/>
      <c r="AA1208" s="576">
        <f t="shared" si="111"/>
        <v>0</v>
      </c>
      <c r="AB1208" s="722"/>
    </row>
    <row r="1209" spans="1:28" ht="15" customHeight="1" x14ac:dyDescent="0.35">
      <c r="A1209" s="98" t="s">
        <v>4026</v>
      </c>
      <c r="C1209" s="83">
        <v>43853</v>
      </c>
      <c r="D1209" s="112">
        <v>43889</v>
      </c>
      <c r="E1209" s="570"/>
      <c r="F1209" s="88" t="s">
        <v>4027</v>
      </c>
      <c r="G1209" s="88" t="s">
        <v>162</v>
      </c>
      <c r="H1209" s="81" t="s">
        <v>275</v>
      </c>
      <c r="I1209" s="98" t="s">
        <v>650</v>
      </c>
      <c r="J1209" s="75">
        <f t="shared" si="114"/>
        <v>1</v>
      </c>
      <c r="K1209" s="76" t="s">
        <v>211</v>
      </c>
      <c r="L1209" s="99" t="s">
        <v>4565</v>
      </c>
      <c r="N1209" s="78" t="s">
        <v>17</v>
      </c>
      <c r="Q1209" s="78" t="s">
        <v>2056</v>
      </c>
      <c r="R1209" s="75">
        <f t="shared" si="115"/>
        <v>1</v>
      </c>
      <c r="S1209" s="263" t="s">
        <v>1991</v>
      </c>
      <c r="T1209" s="263"/>
      <c r="U1209" s="263"/>
      <c r="V1209" s="263"/>
      <c r="W1209" s="263"/>
      <c r="X1209" s="263"/>
      <c r="Y1209" s="575"/>
      <c r="Z1209" s="575"/>
      <c r="AA1209" s="576">
        <f t="shared" si="111"/>
        <v>0</v>
      </c>
      <c r="AB1209" s="722"/>
    </row>
    <row r="1210" spans="1:28" ht="15" customHeight="1" x14ac:dyDescent="0.35">
      <c r="A1210" s="81" t="s">
        <v>4484</v>
      </c>
      <c r="C1210" s="83">
        <v>43859</v>
      </c>
      <c r="D1210" s="83">
        <v>43881</v>
      </c>
      <c r="E1210" s="570"/>
      <c r="F1210" s="88" t="s">
        <v>4485</v>
      </c>
      <c r="G1210" s="88" t="s">
        <v>154</v>
      </c>
      <c r="H1210" s="81" t="s">
        <v>3964</v>
      </c>
      <c r="J1210" s="75">
        <f t="shared" si="114"/>
        <v>1</v>
      </c>
      <c r="K1210" s="76" t="s">
        <v>221</v>
      </c>
      <c r="Q1210" s="78" t="s">
        <v>2056</v>
      </c>
      <c r="R1210" s="75">
        <f t="shared" si="115"/>
        <v>0</v>
      </c>
      <c r="S1210" s="263"/>
      <c r="T1210" s="263"/>
      <c r="U1210" s="263"/>
      <c r="V1210" s="263"/>
      <c r="W1210" s="263"/>
      <c r="X1210" s="263"/>
      <c r="Y1210" s="575"/>
      <c r="Z1210" s="575"/>
      <c r="AA1210" s="576">
        <f t="shared" ref="AA1210:AA1273" si="116">Z1210-Y1210</f>
        <v>0</v>
      </c>
      <c r="AB1210" s="722"/>
    </row>
    <row r="1211" spans="1:28" ht="15" customHeight="1" x14ac:dyDescent="0.35">
      <c r="A1211" s="81" t="s">
        <v>4488</v>
      </c>
      <c r="C1211" s="83">
        <v>43861</v>
      </c>
      <c r="D1211" s="83">
        <v>43886</v>
      </c>
      <c r="E1211" s="570"/>
      <c r="F1211" s="88" t="s">
        <v>4489</v>
      </c>
      <c r="G1211" s="88" t="s">
        <v>154</v>
      </c>
      <c r="H1211" s="81" t="s">
        <v>220</v>
      </c>
      <c r="J1211" s="75">
        <f t="shared" si="114"/>
        <v>1</v>
      </c>
      <c r="K1211" s="76" t="s">
        <v>221</v>
      </c>
      <c r="Q1211" s="78" t="s">
        <v>2056</v>
      </c>
      <c r="R1211" s="75">
        <f t="shared" si="115"/>
        <v>1</v>
      </c>
      <c r="S1211" s="263" t="s">
        <v>1991</v>
      </c>
      <c r="T1211" s="263"/>
      <c r="U1211" s="263"/>
      <c r="V1211" s="263"/>
      <c r="W1211" s="263"/>
      <c r="X1211" s="263"/>
      <c r="Y1211" s="575"/>
      <c r="Z1211" s="575"/>
      <c r="AA1211" s="576">
        <f t="shared" si="116"/>
        <v>0</v>
      </c>
      <c r="AB1211" s="722"/>
    </row>
    <row r="1212" spans="1:28" ht="15" customHeight="1" x14ac:dyDescent="0.35">
      <c r="A1212" s="81" t="s">
        <v>4496</v>
      </c>
      <c r="C1212" s="83">
        <v>43864</v>
      </c>
      <c r="D1212" s="83">
        <v>43887</v>
      </c>
      <c r="E1212" s="570"/>
      <c r="F1212" s="88" t="s">
        <v>4497</v>
      </c>
      <c r="G1212" s="88" t="s">
        <v>162</v>
      </c>
      <c r="H1212" s="98" t="s">
        <v>220</v>
      </c>
      <c r="J1212" s="75">
        <f t="shared" ref="J1212:J1237" si="117">IF(OR(K1212="Документы готовы",K1212="Запрос в ФО",K1212="ЭЗ",K1212="РЕШ",K1212="РЕШ шаблон"),0.1,IF(OR(K1212="ЭЗ согласование",K1212="РЕШ согласование"),0.3,IF(OR(K1212="ЭЗ согласовано",K1212="РЕШ согласовано",K1212="РЕШ подписано"),0.6,IF(OR(K1212="ЭЗ ПР согласование",K1212="РЕШ УВ согласование"),0.9,IF(OR(K1212="ЭЗ ПР DONE",K1212="РЕШ УВ DONE"),1,0)))))</f>
        <v>1</v>
      </c>
      <c r="K1212" s="76" t="s">
        <v>221</v>
      </c>
      <c r="Q1212" s="78" t="s">
        <v>2056</v>
      </c>
      <c r="R1212" s="75">
        <f t="shared" ref="R1212:R1237" si="118">IF(S1212="В работе",0.3,IF(S1212="Отписано",0.6,IF(S1212="На доработку",0.9,IF(S1212="Согласовано",1,0))))</f>
        <v>1</v>
      </c>
      <c r="S1212" s="263" t="s">
        <v>1991</v>
      </c>
      <c r="T1212" s="263"/>
      <c r="U1212" s="263"/>
      <c r="V1212" s="263"/>
      <c r="W1212" s="263"/>
      <c r="X1212" s="263"/>
      <c r="Y1212" s="575"/>
      <c r="Z1212" s="575"/>
      <c r="AA1212" s="576">
        <f t="shared" si="116"/>
        <v>0</v>
      </c>
      <c r="AB1212" s="722"/>
    </row>
    <row r="1213" spans="1:28" ht="15" customHeight="1" x14ac:dyDescent="0.35">
      <c r="A1213" s="81" t="s">
        <v>4498</v>
      </c>
      <c r="C1213" s="83">
        <v>43864</v>
      </c>
      <c r="D1213" s="112">
        <v>43887</v>
      </c>
      <c r="E1213" s="570"/>
      <c r="F1213" s="88" t="s">
        <v>4499</v>
      </c>
      <c r="G1213" s="88" t="s">
        <v>154</v>
      </c>
      <c r="H1213" s="98" t="s">
        <v>220</v>
      </c>
      <c r="I1213" s="98" t="s">
        <v>656</v>
      </c>
      <c r="J1213" s="75">
        <f t="shared" si="117"/>
        <v>1</v>
      </c>
      <c r="K1213" s="76" t="s">
        <v>211</v>
      </c>
      <c r="N1213" s="78" t="s">
        <v>17</v>
      </c>
      <c r="Q1213" s="78" t="s">
        <v>2056</v>
      </c>
      <c r="R1213" s="75">
        <f t="shared" si="118"/>
        <v>1</v>
      </c>
      <c r="S1213" s="263" t="s">
        <v>1991</v>
      </c>
      <c r="T1213" s="263"/>
      <c r="U1213" s="263"/>
      <c r="V1213" s="263"/>
      <c r="W1213" s="263"/>
      <c r="X1213" s="263"/>
      <c r="Y1213" s="575"/>
      <c r="Z1213" s="575"/>
      <c r="AA1213" s="576">
        <f t="shared" si="116"/>
        <v>0</v>
      </c>
      <c r="AB1213" s="722"/>
    </row>
    <row r="1214" spans="1:28" ht="15" customHeight="1" x14ac:dyDescent="0.35">
      <c r="A1214" s="81" t="s">
        <v>4500</v>
      </c>
      <c r="C1214" s="83">
        <v>43865</v>
      </c>
      <c r="D1214" s="112">
        <v>43888</v>
      </c>
      <c r="E1214" s="570"/>
      <c r="F1214" s="88" t="s">
        <v>4501</v>
      </c>
      <c r="G1214" s="88" t="s">
        <v>152</v>
      </c>
      <c r="H1214" s="98" t="s">
        <v>220</v>
      </c>
      <c r="J1214" s="75">
        <f t="shared" si="117"/>
        <v>1</v>
      </c>
      <c r="K1214" s="76" t="s">
        <v>211</v>
      </c>
      <c r="L1214" s="99" t="s">
        <v>4558</v>
      </c>
      <c r="N1214" s="78" t="s">
        <v>19</v>
      </c>
      <c r="Q1214" s="78" t="s">
        <v>2056</v>
      </c>
      <c r="R1214" s="75">
        <f t="shared" si="118"/>
        <v>1</v>
      </c>
      <c r="S1214" s="263" t="s">
        <v>1991</v>
      </c>
      <c r="T1214" s="263"/>
      <c r="U1214" s="263"/>
      <c r="V1214" s="263"/>
      <c r="W1214" s="263"/>
      <c r="X1214" s="263"/>
      <c r="Y1214" s="575"/>
      <c r="Z1214" s="575"/>
      <c r="AA1214" s="576">
        <f t="shared" si="116"/>
        <v>0</v>
      </c>
      <c r="AB1214" s="722"/>
    </row>
    <row r="1215" spans="1:28" ht="15" customHeight="1" x14ac:dyDescent="0.35">
      <c r="A1215" s="81" t="s">
        <v>4505</v>
      </c>
      <c r="C1215" s="83">
        <v>43866</v>
      </c>
      <c r="D1215" s="112">
        <v>43888</v>
      </c>
      <c r="E1215" s="570"/>
      <c r="F1215" s="88" t="s">
        <v>4506</v>
      </c>
      <c r="G1215" s="88" t="s">
        <v>149</v>
      </c>
      <c r="H1215" s="98" t="s">
        <v>220</v>
      </c>
      <c r="I1215" s="98" t="s">
        <v>656</v>
      </c>
      <c r="J1215" s="75">
        <f t="shared" si="117"/>
        <v>1</v>
      </c>
      <c r="K1215" s="76" t="s">
        <v>211</v>
      </c>
      <c r="N1215" s="78" t="s">
        <v>17</v>
      </c>
      <c r="Q1215" s="78" t="s">
        <v>2056</v>
      </c>
      <c r="R1215" s="75">
        <f t="shared" si="118"/>
        <v>1</v>
      </c>
      <c r="S1215" s="263" t="s">
        <v>1991</v>
      </c>
      <c r="T1215" s="263"/>
      <c r="U1215" s="263"/>
      <c r="V1215" s="263"/>
      <c r="W1215" s="263"/>
      <c r="X1215" s="263"/>
      <c r="Y1215" s="575"/>
      <c r="Z1215" s="575"/>
      <c r="AA1215" s="576">
        <f t="shared" si="116"/>
        <v>0</v>
      </c>
      <c r="AB1215" s="722"/>
    </row>
    <row r="1216" spans="1:28" ht="15" customHeight="1" x14ac:dyDescent="0.35">
      <c r="A1216" s="98" t="s">
        <v>4509</v>
      </c>
      <c r="C1216" s="83">
        <v>43866</v>
      </c>
      <c r="D1216" s="112">
        <v>43889</v>
      </c>
      <c r="E1216" s="570"/>
      <c r="F1216" s="88" t="s">
        <v>4510</v>
      </c>
      <c r="G1216" s="88" t="s">
        <v>162</v>
      </c>
      <c r="H1216" s="98" t="s">
        <v>220</v>
      </c>
      <c r="I1216" s="98" t="s">
        <v>3295</v>
      </c>
      <c r="J1216" s="75">
        <f t="shared" si="117"/>
        <v>1</v>
      </c>
      <c r="K1216" s="76" t="s">
        <v>211</v>
      </c>
      <c r="L1216" s="99" t="s">
        <v>4560</v>
      </c>
      <c r="N1216" s="78" t="s">
        <v>18</v>
      </c>
      <c r="Q1216" s="78" t="s">
        <v>2056</v>
      </c>
      <c r="R1216" s="75">
        <f t="shared" si="118"/>
        <v>1</v>
      </c>
      <c r="S1216" s="263" t="s">
        <v>1991</v>
      </c>
      <c r="T1216" s="263"/>
      <c r="U1216" s="263"/>
      <c r="V1216" s="263"/>
      <c r="W1216" s="263"/>
      <c r="X1216" s="263"/>
      <c r="Y1216" s="575"/>
      <c r="Z1216" s="575"/>
      <c r="AA1216" s="576">
        <f t="shared" si="116"/>
        <v>0</v>
      </c>
      <c r="AB1216" s="722"/>
    </row>
    <row r="1217" spans="1:28" ht="15" customHeight="1" x14ac:dyDescent="0.35">
      <c r="A1217" s="98" t="s">
        <v>4515</v>
      </c>
      <c r="C1217" s="83">
        <v>43866</v>
      </c>
      <c r="D1217" s="112">
        <v>43889</v>
      </c>
      <c r="E1217" s="570"/>
      <c r="F1217" s="255" t="s">
        <v>4516</v>
      </c>
      <c r="G1217" s="88" t="s">
        <v>154</v>
      </c>
      <c r="H1217" s="98" t="s">
        <v>220</v>
      </c>
      <c r="I1217" s="98" t="s">
        <v>730</v>
      </c>
      <c r="J1217" s="75">
        <f t="shared" si="117"/>
        <v>1</v>
      </c>
      <c r="K1217" s="76" t="s">
        <v>211</v>
      </c>
      <c r="N1217" s="78" t="s">
        <v>18</v>
      </c>
      <c r="Q1217" s="78" t="s">
        <v>2056</v>
      </c>
      <c r="R1217" s="75">
        <f t="shared" si="118"/>
        <v>1</v>
      </c>
      <c r="S1217" s="263" t="s">
        <v>1991</v>
      </c>
      <c r="T1217" s="263"/>
      <c r="U1217" s="263"/>
      <c r="V1217" s="263"/>
      <c r="W1217" s="263"/>
      <c r="X1217" s="263"/>
      <c r="Y1217" s="575"/>
      <c r="Z1217" s="575"/>
      <c r="AA1217" s="576">
        <f t="shared" si="116"/>
        <v>0</v>
      </c>
      <c r="AB1217" s="722"/>
    </row>
    <row r="1218" spans="1:28" ht="15" customHeight="1" x14ac:dyDescent="0.35">
      <c r="A1218" s="81" t="s">
        <v>3975</v>
      </c>
      <c r="C1218" s="83">
        <v>43850</v>
      </c>
      <c r="D1218" s="112">
        <v>43887</v>
      </c>
      <c r="E1218" s="570"/>
      <c r="F1218" s="88" t="s">
        <v>3976</v>
      </c>
      <c r="G1218" s="88" t="s">
        <v>160</v>
      </c>
      <c r="H1218" s="81" t="s">
        <v>220</v>
      </c>
      <c r="I1218" s="98" t="s">
        <v>1308</v>
      </c>
      <c r="J1218" s="75">
        <f t="shared" si="117"/>
        <v>1</v>
      </c>
      <c r="K1218" s="76" t="s">
        <v>211</v>
      </c>
      <c r="L1218" s="99" t="s">
        <v>4551</v>
      </c>
      <c r="N1218" s="78" t="s">
        <v>17</v>
      </c>
      <c r="Q1218" s="78" t="s">
        <v>2097</v>
      </c>
      <c r="R1218" s="75">
        <f t="shared" si="118"/>
        <v>1</v>
      </c>
      <c r="S1218" s="263" t="s">
        <v>1991</v>
      </c>
      <c r="T1218" s="263"/>
      <c r="U1218" s="263"/>
      <c r="V1218" s="263"/>
      <c r="W1218" s="263"/>
      <c r="X1218" s="263"/>
      <c r="Y1218" s="575"/>
      <c r="Z1218" s="575"/>
      <c r="AA1218" s="576">
        <f t="shared" si="116"/>
        <v>0</v>
      </c>
      <c r="AB1218" s="722"/>
    </row>
    <row r="1219" spans="1:28" ht="15" customHeight="1" x14ac:dyDescent="0.35">
      <c r="A1219" s="81" t="s">
        <v>3981</v>
      </c>
      <c r="C1219" s="83">
        <v>43850</v>
      </c>
      <c r="D1219" s="112">
        <v>43887</v>
      </c>
      <c r="E1219" s="570"/>
      <c r="F1219" s="88" t="s">
        <v>3982</v>
      </c>
      <c r="G1219" s="88" t="s">
        <v>162</v>
      </c>
      <c r="H1219" s="81" t="s">
        <v>275</v>
      </c>
      <c r="I1219" s="98" t="s">
        <v>4550</v>
      </c>
      <c r="J1219" s="75">
        <f t="shared" si="117"/>
        <v>1</v>
      </c>
      <c r="K1219" s="76" t="s">
        <v>211</v>
      </c>
      <c r="N1219" s="78" t="s">
        <v>17</v>
      </c>
      <c r="Q1219" s="78" t="s">
        <v>2097</v>
      </c>
      <c r="R1219" s="75">
        <f t="shared" si="118"/>
        <v>1</v>
      </c>
      <c r="S1219" s="263" t="s">
        <v>1991</v>
      </c>
      <c r="T1219" s="263"/>
      <c r="U1219" s="263"/>
      <c r="V1219" s="263"/>
      <c r="W1219" s="263"/>
      <c r="X1219" s="263"/>
      <c r="Y1219" s="575"/>
      <c r="Z1219" s="575"/>
      <c r="AA1219" s="576">
        <f t="shared" si="116"/>
        <v>0</v>
      </c>
      <c r="AB1219" s="722"/>
    </row>
    <row r="1220" spans="1:28" ht="15" customHeight="1" x14ac:dyDescent="0.35">
      <c r="A1220" s="81" t="s">
        <v>3983</v>
      </c>
      <c r="C1220" s="83">
        <v>43851</v>
      </c>
      <c r="D1220" s="112">
        <v>43887</v>
      </c>
      <c r="E1220" s="570"/>
      <c r="F1220" s="88" t="s">
        <v>3984</v>
      </c>
      <c r="G1220" s="88" t="s">
        <v>160</v>
      </c>
      <c r="H1220" s="81" t="s">
        <v>220</v>
      </c>
      <c r="I1220" s="98" t="s">
        <v>722</v>
      </c>
      <c r="J1220" s="75">
        <f t="shared" si="117"/>
        <v>1</v>
      </c>
      <c r="K1220" s="76" t="s">
        <v>211</v>
      </c>
      <c r="N1220" s="78" t="s">
        <v>18</v>
      </c>
      <c r="Q1220" s="78" t="s">
        <v>2097</v>
      </c>
      <c r="R1220" s="75">
        <f t="shared" si="118"/>
        <v>1</v>
      </c>
      <c r="S1220" s="263" t="s">
        <v>1991</v>
      </c>
      <c r="T1220" s="263"/>
      <c r="U1220" s="263"/>
      <c r="V1220" s="263"/>
      <c r="W1220" s="263"/>
      <c r="X1220" s="263"/>
      <c r="Y1220" s="575"/>
      <c r="Z1220" s="575"/>
      <c r="AA1220" s="576">
        <f t="shared" si="116"/>
        <v>0</v>
      </c>
      <c r="AB1220" s="722"/>
    </row>
    <row r="1221" spans="1:28" ht="15" customHeight="1" x14ac:dyDescent="0.35">
      <c r="A1221" s="81" t="s">
        <v>3985</v>
      </c>
      <c r="C1221" s="83">
        <v>43852</v>
      </c>
      <c r="D1221" s="112">
        <v>43888</v>
      </c>
      <c r="E1221" s="570"/>
      <c r="F1221" s="88" t="s">
        <v>3986</v>
      </c>
      <c r="G1221" s="88" t="s">
        <v>176</v>
      </c>
      <c r="H1221" s="81" t="s">
        <v>220</v>
      </c>
      <c r="I1221" s="98" t="s">
        <v>1308</v>
      </c>
      <c r="J1221" s="75">
        <f t="shared" si="117"/>
        <v>1</v>
      </c>
      <c r="K1221" s="76" t="s">
        <v>211</v>
      </c>
      <c r="N1221" s="78" t="s">
        <v>17</v>
      </c>
      <c r="Q1221" s="78" t="s">
        <v>2097</v>
      </c>
      <c r="R1221" s="75">
        <f t="shared" si="118"/>
        <v>1</v>
      </c>
      <c r="S1221" s="263" t="s">
        <v>1991</v>
      </c>
      <c r="T1221" s="263"/>
      <c r="U1221" s="263"/>
      <c r="V1221" s="263"/>
      <c r="W1221" s="263"/>
      <c r="X1221" s="263"/>
      <c r="Y1221" s="575"/>
      <c r="Z1221" s="575"/>
      <c r="AA1221" s="576">
        <f t="shared" si="116"/>
        <v>0</v>
      </c>
      <c r="AB1221" s="722"/>
    </row>
    <row r="1222" spans="1:28" ht="15" customHeight="1" x14ac:dyDescent="0.35">
      <c r="A1222" s="81" t="s">
        <v>3987</v>
      </c>
      <c r="C1222" s="83">
        <v>43852</v>
      </c>
      <c r="D1222" s="112">
        <v>43888</v>
      </c>
      <c r="E1222" s="570"/>
      <c r="F1222" s="88" t="s">
        <v>3988</v>
      </c>
      <c r="G1222" s="88" t="s">
        <v>154</v>
      </c>
      <c r="H1222" s="81" t="s">
        <v>220</v>
      </c>
      <c r="I1222" s="98" t="s">
        <v>649</v>
      </c>
      <c r="J1222" s="75">
        <f t="shared" si="117"/>
        <v>1</v>
      </c>
      <c r="K1222" s="76" t="s">
        <v>211</v>
      </c>
      <c r="N1222" s="78" t="s">
        <v>18</v>
      </c>
      <c r="Q1222" s="78" t="s">
        <v>2097</v>
      </c>
      <c r="R1222" s="75">
        <f t="shared" si="118"/>
        <v>1</v>
      </c>
      <c r="S1222" s="263" t="s">
        <v>1991</v>
      </c>
      <c r="T1222" s="263"/>
      <c r="U1222" s="263"/>
      <c r="V1222" s="263"/>
      <c r="W1222" s="263"/>
      <c r="X1222" s="263"/>
      <c r="Y1222" s="575"/>
      <c r="Z1222" s="575"/>
      <c r="AA1222" s="576">
        <f t="shared" si="116"/>
        <v>0</v>
      </c>
      <c r="AB1222" s="722"/>
    </row>
    <row r="1223" spans="1:28" ht="15" customHeight="1" x14ac:dyDescent="0.35">
      <c r="A1223" s="81" t="s">
        <v>3991</v>
      </c>
      <c r="C1223" s="83">
        <v>43852</v>
      </c>
      <c r="D1223" s="112">
        <v>43888</v>
      </c>
      <c r="E1223" s="570"/>
      <c r="F1223" s="88" t="s">
        <v>3992</v>
      </c>
      <c r="G1223" s="88" t="s">
        <v>179</v>
      </c>
      <c r="H1223" s="81" t="s">
        <v>220</v>
      </c>
      <c r="I1223" s="98" t="s">
        <v>722</v>
      </c>
      <c r="J1223" s="75">
        <f t="shared" si="117"/>
        <v>1</v>
      </c>
      <c r="K1223" s="76" t="s">
        <v>211</v>
      </c>
      <c r="N1223" s="78" t="s">
        <v>17</v>
      </c>
      <c r="Q1223" s="78" t="s">
        <v>2097</v>
      </c>
      <c r="R1223" s="75">
        <f t="shared" si="118"/>
        <v>1</v>
      </c>
      <c r="S1223" s="263" t="s">
        <v>1991</v>
      </c>
      <c r="T1223" s="263"/>
      <c r="U1223" s="263"/>
      <c r="V1223" s="263"/>
      <c r="W1223" s="263"/>
      <c r="X1223" s="263"/>
      <c r="Y1223" s="575"/>
      <c r="Z1223" s="575"/>
      <c r="AA1223" s="576">
        <f t="shared" si="116"/>
        <v>0</v>
      </c>
      <c r="AB1223" s="722"/>
    </row>
    <row r="1224" spans="1:28" ht="15" customHeight="1" x14ac:dyDescent="0.35">
      <c r="A1224" s="81" t="s">
        <v>4519</v>
      </c>
      <c r="C1224" s="83">
        <v>43853</v>
      </c>
      <c r="D1224" s="112">
        <v>43889</v>
      </c>
      <c r="E1224" s="570"/>
      <c r="F1224" s="88" t="s">
        <v>4520</v>
      </c>
      <c r="G1224" s="88" t="s">
        <v>195</v>
      </c>
      <c r="H1224" s="98" t="s">
        <v>220</v>
      </c>
      <c r="I1224" s="98" t="s">
        <v>722</v>
      </c>
      <c r="J1224" s="75">
        <f t="shared" si="117"/>
        <v>1</v>
      </c>
      <c r="K1224" s="76" t="s">
        <v>211</v>
      </c>
      <c r="L1224" s="99" t="s">
        <v>4567</v>
      </c>
      <c r="N1224" s="78" t="s">
        <v>17</v>
      </c>
      <c r="Q1224" s="78" t="s">
        <v>2097</v>
      </c>
      <c r="R1224" s="75">
        <f t="shared" si="118"/>
        <v>1</v>
      </c>
      <c r="S1224" s="263" t="s">
        <v>1991</v>
      </c>
      <c r="T1224" s="263"/>
      <c r="U1224" s="263"/>
      <c r="V1224" s="263"/>
      <c r="W1224" s="263"/>
      <c r="X1224" s="263"/>
      <c r="Y1224" s="575"/>
      <c r="Z1224" s="575"/>
      <c r="AA1224" s="576">
        <f t="shared" si="116"/>
        <v>0</v>
      </c>
      <c r="AB1224" s="722"/>
    </row>
    <row r="1225" spans="1:28" ht="15" customHeight="1" x14ac:dyDescent="0.35">
      <c r="A1225" s="81" t="s">
        <v>4521</v>
      </c>
      <c r="C1225" s="83">
        <v>43853</v>
      </c>
      <c r="D1225" s="112">
        <v>43889</v>
      </c>
      <c r="E1225" s="570"/>
      <c r="F1225" s="88" t="s">
        <v>4522</v>
      </c>
      <c r="G1225" s="88" t="s">
        <v>158</v>
      </c>
      <c r="H1225" s="98" t="s">
        <v>220</v>
      </c>
      <c r="I1225" s="98" t="s">
        <v>722</v>
      </c>
      <c r="J1225" s="75">
        <f t="shared" si="117"/>
        <v>1</v>
      </c>
      <c r="K1225" s="76" t="s">
        <v>211</v>
      </c>
      <c r="L1225" s="99" t="s">
        <v>4566</v>
      </c>
      <c r="N1225" s="78" t="s">
        <v>18</v>
      </c>
      <c r="Q1225" s="78" t="s">
        <v>2097</v>
      </c>
      <c r="R1225" s="75">
        <f t="shared" si="118"/>
        <v>1</v>
      </c>
      <c r="S1225" s="263" t="s">
        <v>1991</v>
      </c>
      <c r="T1225" s="263"/>
      <c r="U1225" s="263"/>
      <c r="V1225" s="263"/>
      <c r="W1225" s="263"/>
      <c r="X1225" s="263"/>
      <c r="Y1225" s="575"/>
      <c r="Z1225" s="575"/>
      <c r="AA1225" s="576">
        <f t="shared" si="116"/>
        <v>0</v>
      </c>
      <c r="AB1225" s="722"/>
    </row>
    <row r="1226" spans="1:28" ht="15" customHeight="1" x14ac:dyDescent="0.35">
      <c r="A1226" s="81" t="s">
        <v>4523</v>
      </c>
      <c r="C1226" s="83">
        <v>43861</v>
      </c>
      <c r="D1226" s="112">
        <v>43886</v>
      </c>
      <c r="E1226" s="570"/>
      <c r="F1226" s="88" t="s">
        <v>4524</v>
      </c>
      <c r="G1226" s="88" t="s">
        <v>154</v>
      </c>
      <c r="H1226" s="81" t="s">
        <v>220</v>
      </c>
      <c r="I1226" s="98" t="s">
        <v>656</v>
      </c>
      <c r="J1226" s="75">
        <f t="shared" si="117"/>
        <v>1</v>
      </c>
      <c r="K1226" s="76" t="s">
        <v>211</v>
      </c>
      <c r="N1226" s="78" t="s">
        <v>17</v>
      </c>
      <c r="Q1226" s="78" t="s">
        <v>2097</v>
      </c>
      <c r="R1226" s="75">
        <f t="shared" si="118"/>
        <v>1</v>
      </c>
      <c r="S1226" s="263" t="s">
        <v>1991</v>
      </c>
      <c r="T1226" s="263"/>
      <c r="U1226" s="263"/>
      <c r="V1226" s="263"/>
      <c r="W1226" s="263"/>
      <c r="X1226" s="263"/>
      <c r="Y1226" s="575"/>
      <c r="Z1226" s="575"/>
      <c r="AA1226" s="576">
        <f t="shared" si="116"/>
        <v>0</v>
      </c>
      <c r="AB1226" s="722"/>
    </row>
    <row r="1227" spans="1:28" ht="15" customHeight="1" x14ac:dyDescent="0.35">
      <c r="A1227" s="81" t="s">
        <v>4527</v>
      </c>
      <c r="C1227" s="83">
        <v>43864</v>
      </c>
      <c r="D1227" s="83">
        <v>43887</v>
      </c>
      <c r="E1227" s="570"/>
      <c r="F1227" s="88" t="s">
        <v>4528</v>
      </c>
      <c r="G1227" s="88" t="s">
        <v>158</v>
      </c>
      <c r="H1227" s="81" t="s">
        <v>220</v>
      </c>
      <c r="J1227" s="75">
        <f t="shared" si="117"/>
        <v>1</v>
      </c>
      <c r="K1227" s="76" t="s">
        <v>211</v>
      </c>
      <c r="Q1227" s="78" t="s">
        <v>2097</v>
      </c>
      <c r="R1227" s="75">
        <f t="shared" si="118"/>
        <v>1</v>
      </c>
      <c r="S1227" s="263" t="s">
        <v>1991</v>
      </c>
      <c r="T1227" s="263"/>
      <c r="U1227" s="263"/>
      <c r="V1227" s="263"/>
      <c r="W1227" s="263"/>
      <c r="X1227" s="263"/>
      <c r="Y1227" s="575"/>
      <c r="Z1227" s="575"/>
      <c r="AA1227" s="576">
        <f t="shared" si="116"/>
        <v>0</v>
      </c>
      <c r="AB1227" s="722"/>
    </row>
    <row r="1228" spans="1:28" ht="15" customHeight="1" x14ac:dyDescent="0.35">
      <c r="A1228" s="81" t="s">
        <v>4531</v>
      </c>
      <c r="C1228" s="83">
        <v>43864</v>
      </c>
      <c r="D1228" s="112">
        <v>43887</v>
      </c>
      <c r="E1228" s="570"/>
      <c r="F1228" s="88" t="s">
        <v>4532</v>
      </c>
      <c r="G1228" s="88" t="s">
        <v>154</v>
      </c>
      <c r="H1228" s="81" t="s">
        <v>220</v>
      </c>
      <c r="I1228" s="98" t="s">
        <v>2516</v>
      </c>
      <c r="J1228" s="75">
        <f t="shared" si="117"/>
        <v>1</v>
      </c>
      <c r="K1228" s="76" t="s">
        <v>211</v>
      </c>
      <c r="N1228" s="78" t="s">
        <v>17</v>
      </c>
      <c r="Q1228" s="78" t="s">
        <v>2097</v>
      </c>
      <c r="R1228" s="75">
        <f t="shared" si="118"/>
        <v>1</v>
      </c>
      <c r="S1228" s="263" t="s">
        <v>1991</v>
      </c>
      <c r="T1228" s="263"/>
      <c r="U1228" s="263"/>
      <c r="V1228" s="263"/>
      <c r="W1228" s="263"/>
      <c r="X1228" s="263"/>
      <c r="Y1228" s="575"/>
      <c r="Z1228" s="575"/>
      <c r="AA1228" s="576">
        <f t="shared" si="116"/>
        <v>0</v>
      </c>
      <c r="AB1228" s="722"/>
    </row>
    <row r="1229" spans="1:28" ht="15" customHeight="1" x14ac:dyDescent="0.35">
      <c r="A1229" s="81" t="s">
        <v>4535</v>
      </c>
      <c r="C1229" s="83">
        <v>43865</v>
      </c>
      <c r="D1229" s="112">
        <v>43888</v>
      </c>
      <c r="E1229" s="570"/>
      <c r="F1229" s="88" t="s">
        <v>4536</v>
      </c>
      <c r="G1229" s="88" t="s">
        <v>158</v>
      </c>
      <c r="H1229" s="81" t="s">
        <v>220</v>
      </c>
      <c r="I1229" s="98" t="s">
        <v>4556</v>
      </c>
      <c r="J1229" s="75">
        <f t="shared" si="117"/>
        <v>1</v>
      </c>
      <c r="K1229" s="76" t="s">
        <v>211</v>
      </c>
      <c r="L1229" s="99" t="s">
        <v>4555</v>
      </c>
      <c r="N1229" s="78" t="s">
        <v>17</v>
      </c>
      <c r="Q1229" s="78" t="s">
        <v>2097</v>
      </c>
      <c r="R1229" s="75">
        <f t="shared" si="118"/>
        <v>1</v>
      </c>
      <c r="S1229" s="263" t="s">
        <v>1991</v>
      </c>
      <c r="T1229" s="263"/>
      <c r="U1229" s="263"/>
      <c r="V1229" s="263"/>
      <c r="W1229" s="263"/>
      <c r="X1229" s="263"/>
      <c r="Y1229" s="575"/>
      <c r="Z1229" s="575"/>
      <c r="AA1229" s="576">
        <f t="shared" si="116"/>
        <v>0</v>
      </c>
      <c r="AB1229" s="722"/>
    </row>
    <row r="1230" spans="1:28" ht="15" customHeight="1" x14ac:dyDescent="0.35">
      <c r="A1230" s="81" t="s">
        <v>4539</v>
      </c>
      <c r="C1230" s="83">
        <v>43865</v>
      </c>
      <c r="D1230" s="112">
        <v>43888</v>
      </c>
      <c r="E1230" s="570"/>
      <c r="F1230" s="88" t="s">
        <v>4540</v>
      </c>
      <c r="G1230" s="88" t="s">
        <v>152</v>
      </c>
      <c r="H1230" s="81" t="s">
        <v>220</v>
      </c>
      <c r="I1230" s="98" t="s">
        <v>2516</v>
      </c>
      <c r="J1230" s="75">
        <f t="shared" si="117"/>
        <v>1</v>
      </c>
      <c r="K1230" s="76" t="s">
        <v>211</v>
      </c>
      <c r="N1230" s="78" t="s">
        <v>17</v>
      </c>
      <c r="Q1230" s="78" t="s">
        <v>2097</v>
      </c>
      <c r="R1230" s="75">
        <f t="shared" si="118"/>
        <v>1</v>
      </c>
      <c r="S1230" s="263" t="s">
        <v>1991</v>
      </c>
      <c r="T1230" s="263"/>
      <c r="U1230" s="263"/>
      <c r="V1230" s="263"/>
      <c r="W1230" s="263"/>
      <c r="X1230" s="263"/>
      <c r="Y1230" s="575"/>
      <c r="Z1230" s="575"/>
      <c r="AA1230" s="576">
        <f t="shared" si="116"/>
        <v>0</v>
      </c>
      <c r="AB1230" s="722"/>
    </row>
    <row r="1231" spans="1:28" ht="15" customHeight="1" x14ac:dyDescent="0.35">
      <c r="A1231" s="81" t="s">
        <v>4545</v>
      </c>
      <c r="C1231" s="83">
        <v>43866</v>
      </c>
      <c r="D1231" s="83">
        <v>43889</v>
      </c>
      <c r="E1231" s="570"/>
      <c r="F1231" s="88" t="s">
        <v>4546</v>
      </c>
      <c r="G1231" s="88" t="s">
        <v>162</v>
      </c>
      <c r="H1231" s="98" t="s">
        <v>220</v>
      </c>
      <c r="J1231" s="75">
        <f t="shared" si="117"/>
        <v>1</v>
      </c>
      <c r="K1231" s="76" t="s">
        <v>221</v>
      </c>
      <c r="Q1231" s="78" t="s">
        <v>2097</v>
      </c>
      <c r="R1231" s="75">
        <f t="shared" si="118"/>
        <v>1</v>
      </c>
      <c r="S1231" s="263" t="s">
        <v>1991</v>
      </c>
      <c r="T1231" s="263"/>
      <c r="U1231" s="263"/>
      <c r="V1231" s="263"/>
      <c r="W1231" s="263"/>
      <c r="X1231" s="263"/>
      <c r="Y1231" s="575"/>
      <c r="Z1231" s="575"/>
      <c r="AA1231" s="576">
        <f t="shared" si="116"/>
        <v>0</v>
      </c>
      <c r="AB1231" s="722"/>
    </row>
    <row r="1232" spans="1:28" ht="15" customHeight="1" x14ac:dyDescent="0.35">
      <c r="A1232" s="98" t="s">
        <v>3715</v>
      </c>
      <c r="C1232" s="118">
        <v>43839</v>
      </c>
      <c r="D1232" s="318">
        <v>43892</v>
      </c>
      <c r="E1232" s="570"/>
      <c r="F1232" s="255" t="s">
        <v>3716</v>
      </c>
      <c r="G1232" s="88" t="s">
        <v>186</v>
      </c>
      <c r="H1232" s="98" t="s">
        <v>220</v>
      </c>
      <c r="I1232" s="98" t="s">
        <v>649</v>
      </c>
      <c r="J1232" s="75">
        <f t="shared" si="117"/>
        <v>1</v>
      </c>
      <c r="K1232" s="76" t="s">
        <v>211</v>
      </c>
      <c r="M1232" s="81">
        <v>1</v>
      </c>
      <c r="N1232" s="78" t="s">
        <v>17</v>
      </c>
      <c r="Q1232" s="78" t="s">
        <v>2447</v>
      </c>
      <c r="R1232" s="75">
        <f t="shared" si="118"/>
        <v>1</v>
      </c>
      <c r="S1232" s="263" t="s">
        <v>1991</v>
      </c>
      <c r="T1232" s="263"/>
      <c r="U1232" s="263"/>
      <c r="V1232" s="263"/>
      <c r="W1232" s="263"/>
      <c r="X1232" s="263"/>
      <c r="Y1232" s="575"/>
      <c r="Z1232" s="575"/>
      <c r="AA1232" s="576">
        <f t="shared" si="116"/>
        <v>0</v>
      </c>
      <c r="AB1232" s="722"/>
    </row>
    <row r="1233" spans="1:28" ht="15" customHeight="1" x14ac:dyDescent="0.35">
      <c r="A1233" s="98" t="s">
        <v>4568</v>
      </c>
      <c r="C1233" s="118">
        <v>43843</v>
      </c>
      <c r="D1233" s="318">
        <v>43893</v>
      </c>
      <c r="E1233" s="570"/>
      <c r="F1233" s="88" t="s">
        <v>4663</v>
      </c>
      <c r="G1233" s="88" t="s">
        <v>162</v>
      </c>
      <c r="H1233" s="98" t="s">
        <v>220</v>
      </c>
      <c r="I1233" s="98" t="s">
        <v>652</v>
      </c>
      <c r="J1233" s="75">
        <f t="shared" si="117"/>
        <v>1</v>
      </c>
      <c r="K1233" s="76" t="s">
        <v>211</v>
      </c>
      <c r="N1233" s="78" t="s">
        <v>18</v>
      </c>
      <c r="Q1233" s="78" t="s">
        <v>2056</v>
      </c>
      <c r="R1233" s="75">
        <f t="shared" si="118"/>
        <v>1</v>
      </c>
      <c r="S1233" s="263" t="s">
        <v>1991</v>
      </c>
      <c r="T1233" s="263"/>
      <c r="U1233" s="263"/>
      <c r="V1233" s="263"/>
      <c r="W1233" s="263"/>
      <c r="X1233" s="263"/>
      <c r="Y1233" s="575"/>
      <c r="Z1233" s="575"/>
      <c r="AA1233" s="576">
        <f t="shared" si="116"/>
        <v>0</v>
      </c>
      <c r="AB1233" s="722"/>
    </row>
    <row r="1234" spans="1:28" ht="15" customHeight="1" x14ac:dyDescent="0.35">
      <c r="A1234" s="81" t="s">
        <v>4570</v>
      </c>
      <c r="C1234" s="118">
        <v>43847</v>
      </c>
      <c r="D1234" s="318">
        <v>43893</v>
      </c>
      <c r="E1234" s="570"/>
      <c r="F1234" s="88" t="s">
        <v>4665</v>
      </c>
      <c r="G1234" s="88" t="s">
        <v>154</v>
      </c>
      <c r="H1234" s="98" t="s">
        <v>220</v>
      </c>
      <c r="I1234" s="98" t="s">
        <v>4761</v>
      </c>
      <c r="J1234" s="75">
        <f t="shared" si="117"/>
        <v>1</v>
      </c>
      <c r="K1234" s="76" t="s">
        <v>211</v>
      </c>
      <c r="N1234" s="78" t="s">
        <v>17</v>
      </c>
      <c r="Q1234" s="304" t="s">
        <v>2097</v>
      </c>
      <c r="R1234" s="75">
        <f t="shared" si="118"/>
        <v>1</v>
      </c>
      <c r="S1234" s="263" t="s">
        <v>1991</v>
      </c>
      <c r="T1234" s="263"/>
      <c r="U1234" s="263"/>
      <c r="V1234" s="263"/>
      <c r="W1234" s="263"/>
      <c r="X1234" s="263"/>
      <c r="Y1234" s="575"/>
      <c r="Z1234" s="575"/>
      <c r="AA1234" s="576">
        <f t="shared" si="116"/>
        <v>0</v>
      </c>
      <c r="AB1234" s="722"/>
    </row>
    <row r="1235" spans="1:28" ht="15" customHeight="1" x14ac:dyDescent="0.35">
      <c r="A1235" s="81" t="s">
        <v>4571</v>
      </c>
      <c r="C1235" s="118">
        <v>43852</v>
      </c>
      <c r="D1235" s="118">
        <v>43896</v>
      </c>
      <c r="E1235" s="570"/>
      <c r="F1235" s="88" t="s">
        <v>4666</v>
      </c>
      <c r="G1235" s="88" t="s">
        <v>158</v>
      </c>
      <c r="H1235" s="98" t="s">
        <v>220</v>
      </c>
      <c r="J1235" s="75">
        <f t="shared" si="117"/>
        <v>1</v>
      </c>
      <c r="K1235" s="76" t="s">
        <v>221</v>
      </c>
      <c r="Q1235" s="78" t="s">
        <v>2163</v>
      </c>
      <c r="R1235" s="75">
        <f t="shared" si="118"/>
        <v>1</v>
      </c>
      <c r="S1235" s="263" t="s">
        <v>1991</v>
      </c>
      <c r="T1235" s="263"/>
      <c r="U1235" s="263"/>
      <c r="V1235" s="263"/>
      <c r="W1235" s="263"/>
      <c r="X1235" s="263"/>
      <c r="Y1235" s="575"/>
      <c r="Z1235" s="575"/>
      <c r="AA1235" s="576">
        <f t="shared" si="116"/>
        <v>0</v>
      </c>
      <c r="AB1235" s="722"/>
    </row>
    <row r="1236" spans="1:28" ht="15" customHeight="1" x14ac:dyDescent="0.35">
      <c r="A1236" s="98" t="s">
        <v>4028</v>
      </c>
      <c r="C1236" s="118">
        <v>43853</v>
      </c>
      <c r="D1236" s="318">
        <v>43892</v>
      </c>
      <c r="E1236" s="570"/>
      <c r="F1236" s="88" t="s">
        <v>4029</v>
      </c>
      <c r="G1236" s="88" t="s">
        <v>162</v>
      </c>
      <c r="H1236" s="98" t="s">
        <v>220</v>
      </c>
      <c r="I1236" s="98" t="s">
        <v>722</v>
      </c>
      <c r="J1236" s="75">
        <f t="shared" si="117"/>
        <v>1</v>
      </c>
      <c r="K1236" s="76" t="s">
        <v>211</v>
      </c>
      <c r="N1236" s="78" t="s">
        <v>17</v>
      </c>
      <c r="Q1236" s="78" t="s">
        <v>2056</v>
      </c>
      <c r="R1236" s="75">
        <f t="shared" si="118"/>
        <v>1</v>
      </c>
      <c r="S1236" s="263" t="s">
        <v>1991</v>
      </c>
      <c r="T1236" s="263"/>
      <c r="U1236" s="263"/>
      <c r="V1236" s="263"/>
      <c r="W1236" s="263"/>
      <c r="X1236" s="263"/>
      <c r="Y1236" s="575"/>
      <c r="Z1236" s="575"/>
      <c r="AA1236" s="576">
        <f t="shared" si="116"/>
        <v>0</v>
      </c>
      <c r="AB1236" s="722"/>
    </row>
    <row r="1237" spans="1:28" ht="15" customHeight="1" x14ac:dyDescent="0.35">
      <c r="A1237" s="81" t="s">
        <v>4030</v>
      </c>
      <c r="C1237" s="118">
        <v>43853</v>
      </c>
      <c r="D1237" s="318">
        <v>43892</v>
      </c>
      <c r="E1237" s="570"/>
      <c r="F1237" s="88" t="s">
        <v>4031</v>
      </c>
      <c r="G1237" s="88" t="s">
        <v>162</v>
      </c>
      <c r="H1237" s="98" t="s">
        <v>220</v>
      </c>
      <c r="I1237" s="98" t="s">
        <v>722</v>
      </c>
      <c r="J1237" s="75">
        <f t="shared" si="117"/>
        <v>1</v>
      </c>
      <c r="K1237" s="76" t="s">
        <v>211</v>
      </c>
      <c r="N1237" s="78" t="s">
        <v>17</v>
      </c>
      <c r="Q1237" s="78" t="s">
        <v>2056</v>
      </c>
      <c r="R1237" s="75">
        <f t="shared" si="118"/>
        <v>1</v>
      </c>
      <c r="S1237" s="263" t="s">
        <v>1991</v>
      </c>
      <c r="T1237" s="263"/>
      <c r="U1237" s="263"/>
      <c r="V1237" s="263"/>
      <c r="W1237" s="263"/>
      <c r="X1237" s="263"/>
      <c r="Y1237" s="575"/>
      <c r="Z1237" s="575"/>
      <c r="AA1237" s="576">
        <f t="shared" si="116"/>
        <v>0</v>
      </c>
      <c r="AB1237" s="722"/>
    </row>
    <row r="1238" spans="1:28" ht="15" customHeight="1" x14ac:dyDescent="0.35">
      <c r="A1238" s="98" t="s">
        <v>4572</v>
      </c>
      <c r="C1238" s="118">
        <v>43854</v>
      </c>
      <c r="D1238" s="318">
        <v>43893</v>
      </c>
      <c r="E1238" s="570"/>
      <c r="F1238" s="88" t="s">
        <v>4667</v>
      </c>
      <c r="G1238" s="88" t="s">
        <v>160</v>
      </c>
      <c r="H1238" s="98" t="s">
        <v>220</v>
      </c>
      <c r="I1238" s="98" t="s">
        <v>4764</v>
      </c>
      <c r="J1238" s="75">
        <f t="shared" ref="J1238:J1292" si="119">IF(OR(K1238="Документы готовы",K1238="Запрос в ФО",K1238="ЭЗ",K1238="РЕШ",K1238="РЕШ шаблон"),0.1,IF(OR(K1238="ЭЗ согласование",K1238="РЕШ согласование"),0.3,IF(OR(K1238="ЭЗ согласовано",K1238="РЕШ согласовано",K1238="РЕШ подписано"),0.6,IF(OR(K1238="ЭЗ ПР согласование",K1238="РЕШ УВ согласование"),0.9,IF(OR(K1238="ЭЗ ПР DONE",K1238="РЕШ УВ DONE"),1,0)))))</f>
        <v>1</v>
      </c>
      <c r="K1238" s="76" t="s">
        <v>211</v>
      </c>
      <c r="L1238" s="99" t="s">
        <v>4765</v>
      </c>
      <c r="N1238" s="78" t="s">
        <v>18</v>
      </c>
      <c r="Q1238" s="78" t="s">
        <v>2056</v>
      </c>
      <c r="R1238" s="75">
        <f t="shared" ref="R1238:R1292" si="120">IF(S1238="В работе",0.3,IF(S1238="Отписано",0.6,IF(S1238="На доработку",0.9,IF(S1238="Согласовано",1,0))))</f>
        <v>1</v>
      </c>
      <c r="S1238" s="263" t="s">
        <v>1991</v>
      </c>
      <c r="T1238" s="263"/>
      <c r="U1238" s="263"/>
      <c r="V1238" s="263"/>
      <c r="W1238" s="263"/>
      <c r="X1238" s="263"/>
      <c r="Y1238" s="575"/>
      <c r="Z1238" s="575"/>
      <c r="AA1238" s="576">
        <f t="shared" si="116"/>
        <v>0</v>
      </c>
      <c r="AB1238" s="722"/>
    </row>
    <row r="1239" spans="1:28" ht="15" customHeight="1" x14ac:dyDescent="0.35">
      <c r="A1239" s="81" t="s">
        <v>3995</v>
      </c>
      <c r="C1239" s="118">
        <v>43854</v>
      </c>
      <c r="D1239" s="318">
        <v>43892</v>
      </c>
      <c r="E1239" s="570"/>
      <c r="F1239" s="88" t="s">
        <v>3996</v>
      </c>
      <c r="G1239" s="88" t="s">
        <v>154</v>
      </c>
      <c r="H1239" s="98" t="s">
        <v>220</v>
      </c>
      <c r="I1239" s="98" t="s">
        <v>722</v>
      </c>
      <c r="J1239" s="75">
        <f t="shared" si="119"/>
        <v>1</v>
      </c>
      <c r="K1239" s="76" t="s">
        <v>211</v>
      </c>
      <c r="N1239" s="78" t="s">
        <v>17</v>
      </c>
      <c r="Q1239" s="78" t="s">
        <v>2097</v>
      </c>
      <c r="R1239" s="75">
        <f t="shared" si="120"/>
        <v>1</v>
      </c>
      <c r="S1239" s="263" t="s">
        <v>1991</v>
      </c>
      <c r="T1239" s="263"/>
      <c r="U1239" s="263"/>
      <c r="V1239" s="263"/>
      <c r="W1239" s="263"/>
      <c r="X1239" s="263"/>
      <c r="Y1239" s="575"/>
      <c r="Z1239" s="575"/>
      <c r="AA1239" s="576">
        <f t="shared" si="116"/>
        <v>0</v>
      </c>
      <c r="AB1239" s="722"/>
    </row>
    <row r="1240" spans="1:28" ht="15" customHeight="1" x14ac:dyDescent="0.35">
      <c r="A1240" s="81" t="s">
        <v>3997</v>
      </c>
      <c r="C1240" s="118">
        <v>43854</v>
      </c>
      <c r="D1240" s="318">
        <v>43892</v>
      </c>
      <c r="E1240" s="570"/>
      <c r="F1240" s="88" t="s">
        <v>3998</v>
      </c>
      <c r="G1240" s="88" t="s">
        <v>149</v>
      </c>
      <c r="H1240" s="98" t="s">
        <v>220</v>
      </c>
      <c r="I1240" s="98" t="s">
        <v>722</v>
      </c>
      <c r="J1240" s="75">
        <f t="shared" si="119"/>
        <v>1</v>
      </c>
      <c r="K1240" s="76" t="s">
        <v>211</v>
      </c>
      <c r="N1240" s="78" t="s">
        <v>17</v>
      </c>
      <c r="Q1240" s="78" t="s">
        <v>2097</v>
      </c>
      <c r="R1240" s="75">
        <f t="shared" si="120"/>
        <v>1</v>
      </c>
      <c r="S1240" s="263" t="s">
        <v>1991</v>
      </c>
      <c r="T1240" s="263"/>
      <c r="U1240" s="263"/>
      <c r="V1240" s="263"/>
      <c r="W1240" s="263"/>
      <c r="X1240" s="263"/>
      <c r="Y1240" s="575"/>
      <c r="Z1240" s="575"/>
      <c r="AA1240" s="576">
        <f t="shared" si="116"/>
        <v>0</v>
      </c>
      <c r="AB1240" s="722"/>
    </row>
    <row r="1241" spans="1:28" ht="15" customHeight="1" x14ac:dyDescent="0.35">
      <c r="A1241" s="98" t="s">
        <v>4096</v>
      </c>
      <c r="C1241" s="118">
        <v>43854</v>
      </c>
      <c r="D1241" s="318">
        <v>43892</v>
      </c>
      <c r="E1241" s="570"/>
      <c r="F1241" s="88" t="s">
        <v>4097</v>
      </c>
      <c r="G1241" s="88" t="s">
        <v>158</v>
      </c>
      <c r="H1241" s="98" t="s">
        <v>220</v>
      </c>
      <c r="I1241" s="98" t="s">
        <v>722</v>
      </c>
      <c r="J1241" s="75">
        <f t="shared" si="119"/>
        <v>1</v>
      </c>
      <c r="K1241" s="76" t="s">
        <v>211</v>
      </c>
      <c r="N1241" s="78" t="s">
        <v>18</v>
      </c>
      <c r="Q1241" s="78" t="s">
        <v>2163</v>
      </c>
      <c r="R1241" s="75">
        <f t="shared" si="120"/>
        <v>1</v>
      </c>
      <c r="S1241" s="263" t="s">
        <v>1991</v>
      </c>
      <c r="T1241" s="263"/>
      <c r="U1241" s="263"/>
      <c r="V1241" s="263"/>
      <c r="W1241" s="263"/>
      <c r="X1241" s="263"/>
      <c r="Y1241" s="575"/>
      <c r="Z1241" s="575"/>
      <c r="AA1241" s="576">
        <f t="shared" si="116"/>
        <v>0</v>
      </c>
      <c r="AB1241" s="722"/>
    </row>
    <row r="1242" spans="1:28" ht="15" customHeight="1" x14ac:dyDescent="0.35">
      <c r="A1242" s="98" t="s">
        <v>4272</v>
      </c>
      <c r="C1242" s="118">
        <v>43854</v>
      </c>
      <c r="D1242" s="318">
        <v>43893</v>
      </c>
      <c r="E1242" s="570"/>
      <c r="F1242" s="88" t="s">
        <v>4273</v>
      </c>
      <c r="G1242" s="88" t="s">
        <v>162</v>
      </c>
      <c r="H1242" s="98" t="s">
        <v>220</v>
      </c>
      <c r="I1242" s="98" t="s">
        <v>649</v>
      </c>
      <c r="J1242" s="75">
        <f t="shared" si="119"/>
        <v>1</v>
      </c>
      <c r="K1242" s="76" t="s">
        <v>211</v>
      </c>
      <c r="N1242" s="78" t="s">
        <v>18</v>
      </c>
      <c r="Q1242" s="78" t="s">
        <v>2163</v>
      </c>
      <c r="R1242" s="75">
        <f t="shared" si="120"/>
        <v>1</v>
      </c>
      <c r="S1242" s="263" t="s">
        <v>1991</v>
      </c>
      <c r="T1242" s="263"/>
      <c r="U1242" s="263"/>
      <c r="V1242" s="263"/>
      <c r="W1242" s="263"/>
      <c r="X1242" s="263"/>
      <c r="Y1242" s="575"/>
      <c r="Z1242" s="575"/>
      <c r="AA1242" s="576">
        <f t="shared" si="116"/>
        <v>0</v>
      </c>
      <c r="AB1242" s="722"/>
    </row>
    <row r="1243" spans="1:28" ht="15" customHeight="1" x14ac:dyDescent="0.35">
      <c r="A1243" s="98" t="s">
        <v>4098</v>
      </c>
      <c r="C1243" s="118">
        <v>43854</v>
      </c>
      <c r="D1243" s="318">
        <v>43892</v>
      </c>
      <c r="E1243" s="570"/>
      <c r="F1243" s="88" t="s">
        <v>4099</v>
      </c>
      <c r="G1243" s="88" t="s">
        <v>2125</v>
      </c>
      <c r="H1243" s="98" t="s">
        <v>220</v>
      </c>
      <c r="I1243" s="98" t="s">
        <v>722</v>
      </c>
      <c r="J1243" s="75">
        <f t="shared" si="119"/>
        <v>1</v>
      </c>
      <c r="K1243" s="76" t="s">
        <v>211</v>
      </c>
      <c r="L1243" s="99" t="s">
        <v>4758</v>
      </c>
      <c r="N1243" s="78" t="s">
        <v>17</v>
      </c>
      <c r="Q1243" s="78" t="s">
        <v>2163</v>
      </c>
      <c r="R1243" s="75">
        <f t="shared" si="120"/>
        <v>1</v>
      </c>
      <c r="S1243" s="263" t="s">
        <v>1991</v>
      </c>
      <c r="T1243" s="263"/>
      <c r="U1243" s="263"/>
      <c r="V1243" s="263"/>
      <c r="W1243" s="263"/>
      <c r="X1243" s="263"/>
      <c r="Y1243" s="575"/>
      <c r="Z1243" s="575"/>
      <c r="AA1243" s="576">
        <f t="shared" si="116"/>
        <v>0</v>
      </c>
      <c r="AB1243" s="722"/>
    </row>
    <row r="1244" spans="1:28" ht="15" customHeight="1" x14ac:dyDescent="0.35">
      <c r="A1244" s="81" t="s">
        <v>4064</v>
      </c>
      <c r="C1244" s="118">
        <v>43854</v>
      </c>
      <c r="D1244" s="318">
        <v>43892</v>
      </c>
      <c r="E1244" s="570"/>
      <c r="F1244" s="88" t="s">
        <v>4065</v>
      </c>
      <c r="G1244" s="88" t="s">
        <v>162</v>
      </c>
      <c r="H1244" s="98" t="s">
        <v>220</v>
      </c>
      <c r="I1244" s="98" t="s">
        <v>722</v>
      </c>
      <c r="J1244" s="75">
        <f t="shared" si="119"/>
        <v>1</v>
      </c>
      <c r="K1244" s="76" t="s">
        <v>211</v>
      </c>
      <c r="N1244" s="78" t="s">
        <v>17</v>
      </c>
      <c r="Q1244" s="78" t="s">
        <v>2130</v>
      </c>
      <c r="R1244" s="75">
        <f t="shared" si="120"/>
        <v>1</v>
      </c>
      <c r="S1244" s="263" t="s">
        <v>1991</v>
      </c>
      <c r="T1244" s="263"/>
      <c r="U1244" s="263"/>
      <c r="V1244" s="263"/>
      <c r="W1244" s="263"/>
      <c r="X1244" s="263"/>
      <c r="Y1244" s="575"/>
      <c r="Z1244" s="575"/>
      <c r="AA1244" s="576">
        <f t="shared" si="116"/>
        <v>0</v>
      </c>
      <c r="AB1244" s="722"/>
    </row>
    <row r="1245" spans="1:28" ht="15" customHeight="1" x14ac:dyDescent="0.35">
      <c r="A1245" s="81" t="s">
        <v>4066</v>
      </c>
      <c r="C1245" s="118">
        <v>43854</v>
      </c>
      <c r="D1245" s="318">
        <v>43892</v>
      </c>
      <c r="E1245" s="570"/>
      <c r="F1245" s="88" t="s">
        <v>4067</v>
      </c>
      <c r="G1245" s="88" t="s">
        <v>149</v>
      </c>
      <c r="H1245" s="98" t="s">
        <v>220</v>
      </c>
      <c r="I1245" s="98" t="s">
        <v>722</v>
      </c>
      <c r="J1245" s="75">
        <f t="shared" si="119"/>
        <v>1</v>
      </c>
      <c r="K1245" s="76" t="s">
        <v>211</v>
      </c>
      <c r="N1245" s="78" t="s">
        <v>17</v>
      </c>
      <c r="Q1245" s="78" t="s">
        <v>2130</v>
      </c>
      <c r="R1245" s="75">
        <f t="shared" si="120"/>
        <v>1</v>
      </c>
      <c r="S1245" s="263" t="s">
        <v>1991</v>
      </c>
      <c r="T1245" s="263"/>
      <c r="U1245" s="263"/>
      <c r="V1245" s="263"/>
      <c r="W1245" s="263"/>
      <c r="X1245" s="263"/>
      <c r="Y1245" s="575"/>
      <c r="Z1245" s="575"/>
      <c r="AA1245" s="576">
        <f t="shared" si="116"/>
        <v>0</v>
      </c>
      <c r="AB1245" s="722"/>
    </row>
    <row r="1246" spans="1:28" ht="15" customHeight="1" x14ac:dyDescent="0.35">
      <c r="A1246" s="98" t="s">
        <v>4573</v>
      </c>
      <c r="C1246" s="118">
        <v>43854</v>
      </c>
      <c r="D1246" s="318">
        <v>43893</v>
      </c>
      <c r="E1246" s="570"/>
      <c r="F1246" s="88" t="s">
        <v>4668</v>
      </c>
      <c r="G1246" s="88" t="s">
        <v>154</v>
      </c>
      <c r="H1246" s="98" t="s">
        <v>220</v>
      </c>
      <c r="I1246" s="98" t="s">
        <v>1645</v>
      </c>
      <c r="J1246" s="75">
        <f t="shared" si="119"/>
        <v>1</v>
      </c>
      <c r="K1246" s="76" t="s">
        <v>211</v>
      </c>
      <c r="L1246" s="99" t="s">
        <v>4759</v>
      </c>
      <c r="M1246" s="81">
        <v>1</v>
      </c>
      <c r="N1246" s="78" t="s">
        <v>18</v>
      </c>
      <c r="Q1246" s="78" t="s">
        <v>2447</v>
      </c>
      <c r="R1246" s="75">
        <f t="shared" si="120"/>
        <v>1</v>
      </c>
      <c r="S1246" s="263" t="s">
        <v>1991</v>
      </c>
      <c r="T1246" s="263"/>
      <c r="U1246" s="263"/>
      <c r="V1246" s="263"/>
      <c r="W1246" s="263"/>
      <c r="X1246" s="263"/>
      <c r="Y1246" s="575"/>
      <c r="Z1246" s="575"/>
      <c r="AA1246" s="576">
        <f t="shared" si="116"/>
        <v>0</v>
      </c>
      <c r="AB1246" s="722"/>
    </row>
    <row r="1247" spans="1:28" ht="15" customHeight="1" x14ac:dyDescent="0.35">
      <c r="A1247" s="98" t="s">
        <v>4234</v>
      </c>
      <c r="C1247" s="118">
        <v>43854</v>
      </c>
      <c r="D1247" s="318">
        <v>43893</v>
      </c>
      <c r="E1247" s="570"/>
      <c r="F1247" s="88" t="s">
        <v>4235</v>
      </c>
      <c r="G1247" s="88" t="s">
        <v>158</v>
      </c>
      <c r="H1247" s="98" t="s">
        <v>220</v>
      </c>
      <c r="I1247" s="98" t="s">
        <v>722</v>
      </c>
      <c r="J1247" s="75">
        <f t="shared" si="119"/>
        <v>1</v>
      </c>
      <c r="K1247" s="76" t="s">
        <v>211</v>
      </c>
      <c r="N1247" s="78" t="s">
        <v>17</v>
      </c>
      <c r="Q1247" s="78" t="s">
        <v>2130</v>
      </c>
      <c r="R1247" s="75">
        <f t="shared" si="120"/>
        <v>1</v>
      </c>
      <c r="S1247" s="263" t="s">
        <v>1991</v>
      </c>
      <c r="T1247" s="263"/>
      <c r="U1247" s="263"/>
      <c r="V1247" s="263"/>
      <c r="W1247" s="263"/>
      <c r="X1247" s="263"/>
      <c r="Y1247" s="575"/>
      <c r="Z1247" s="575"/>
      <c r="AA1247" s="576">
        <f t="shared" si="116"/>
        <v>0</v>
      </c>
      <c r="AB1247" s="722"/>
    </row>
    <row r="1248" spans="1:28" ht="15" customHeight="1" x14ac:dyDescent="0.35">
      <c r="A1248" s="81" t="s">
        <v>4323</v>
      </c>
      <c r="C1248" s="118">
        <v>43854</v>
      </c>
      <c r="D1248" s="318">
        <v>43893</v>
      </c>
      <c r="E1248" s="570"/>
      <c r="F1248" s="88" t="s">
        <v>4324</v>
      </c>
      <c r="G1248" s="88" t="s">
        <v>162</v>
      </c>
      <c r="H1248" s="98" t="s">
        <v>220</v>
      </c>
      <c r="I1248" s="98" t="s">
        <v>722</v>
      </c>
      <c r="J1248" s="75">
        <f t="shared" si="119"/>
        <v>1</v>
      </c>
      <c r="K1248" s="76" t="s">
        <v>211</v>
      </c>
      <c r="N1248" s="78" t="s">
        <v>17</v>
      </c>
      <c r="Q1248" s="78" t="s">
        <v>2097</v>
      </c>
      <c r="R1248" s="75">
        <f t="shared" si="120"/>
        <v>1</v>
      </c>
      <c r="S1248" s="263" t="s">
        <v>1991</v>
      </c>
      <c r="T1248" s="263"/>
      <c r="U1248" s="263"/>
      <c r="V1248" s="263"/>
      <c r="W1248" s="263"/>
      <c r="X1248" s="263"/>
      <c r="Y1248" s="575"/>
      <c r="Z1248" s="575"/>
      <c r="AA1248" s="576">
        <f t="shared" si="116"/>
        <v>0</v>
      </c>
      <c r="AB1248" s="722"/>
    </row>
    <row r="1249" spans="1:28" ht="15" customHeight="1" x14ac:dyDescent="0.35">
      <c r="A1249" s="98" t="s">
        <v>4574</v>
      </c>
      <c r="C1249" s="118">
        <v>43854</v>
      </c>
      <c r="D1249" s="318">
        <v>43893</v>
      </c>
      <c r="E1249" s="570"/>
      <c r="F1249" s="88" t="s">
        <v>4669</v>
      </c>
      <c r="G1249" s="88" t="s">
        <v>149</v>
      </c>
      <c r="H1249" s="98" t="s">
        <v>220</v>
      </c>
      <c r="I1249" s="98" t="s">
        <v>652</v>
      </c>
      <c r="J1249" s="75">
        <f t="shared" si="119"/>
        <v>1</v>
      </c>
      <c r="K1249" s="76" t="s">
        <v>211</v>
      </c>
      <c r="M1249" s="81">
        <v>1</v>
      </c>
      <c r="N1249" s="78" t="s">
        <v>18</v>
      </c>
      <c r="Q1249" s="78" t="s">
        <v>2447</v>
      </c>
      <c r="R1249" s="75">
        <f t="shared" si="120"/>
        <v>1</v>
      </c>
      <c r="S1249" s="263" t="s">
        <v>1991</v>
      </c>
      <c r="T1249" s="263"/>
      <c r="U1249" s="263"/>
      <c r="V1249" s="263"/>
      <c r="W1249" s="263"/>
      <c r="X1249" s="263"/>
      <c r="Y1249" s="575"/>
      <c r="Z1249" s="575"/>
      <c r="AA1249" s="576">
        <f t="shared" si="116"/>
        <v>0</v>
      </c>
      <c r="AB1249" s="722"/>
    </row>
    <row r="1250" spans="1:28" ht="15" customHeight="1" x14ac:dyDescent="0.35">
      <c r="A1250" s="98" t="s">
        <v>4136</v>
      </c>
      <c r="C1250" s="118">
        <v>43854</v>
      </c>
      <c r="D1250" s="318">
        <v>43892</v>
      </c>
      <c r="E1250" s="570"/>
      <c r="F1250" s="88" t="s">
        <v>4137</v>
      </c>
      <c r="G1250" s="88" t="s">
        <v>158</v>
      </c>
      <c r="H1250" s="98" t="s">
        <v>220</v>
      </c>
      <c r="I1250" s="98" t="s">
        <v>649</v>
      </c>
      <c r="J1250" s="75">
        <f t="shared" si="119"/>
        <v>1</v>
      </c>
      <c r="K1250" s="76" t="s">
        <v>211</v>
      </c>
      <c r="M1250" s="81">
        <v>1</v>
      </c>
      <c r="N1250" s="78" t="s">
        <v>18</v>
      </c>
      <c r="Q1250" s="78" t="s">
        <v>2447</v>
      </c>
      <c r="R1250" s="75">
        <f t="shared" si="120"/>
        <v>1</v>
      </c>
      <c r="S1250" s="263" t="s">
        <v>1991</v>
      </c>
      <c r="T1250" s="263"/>
      <c r="U1250" s="263"/>
      <c r="V1250" s="263"/>
      <c r="W1250" s="263"/>
      <c r="X1250" s="263"/>
      <c r="Y1250" s="575"/>
      <c r="Z1250" s="575"/>
      <c r="AA1250" s="576">
        <f t="shared" si="116"/>
        <v>0</v>
      </c>
      <c r="AB1250" s="722"/>
    </row>
    <row r="1251" spans="1:28" ht="15" customHeight="1" x14ac:dyDescent="0.35">
      <c r="A1251" s="98" t="s">
        <v>4138</v>
      </c>
      <c r="C1251" s="118">
        <v>43854</v>
      </c>
      <c r="D1251" s="318">
        <v>43892</v>
      </c>
      <c r="E1251" s="570"/>
      <c r="F1251" s="88" t="s">
        <v>4139</v>
      </c>
      <c r="G1251" s="88" t="s">
        <v>149</v>
      </c>
      <c r="H1251" s="98" t="s">
        <v>220</v>
      </c>
      <c r="I1251" s="98" t="s">
        <v>763</v>
      </c>
      <c r="J1251" s="75">
        <f t="shared" si="119"/>
        <v>1</v>
      </c>
      <c r="K1251" s="76" t="s">
        <v>211</v>
      </c>
      <c r="M1251" s="81">
        <v>1</v>
      </c>
      <c r="N1251" s="78" t="s">
        <v>17</v>
      </c>
      <c r="Q1251" s="78" t="s">
        <v>2447</v>
      </c>
      <c r="R1251" s="75">
        <f t="shared" si="120"/>
        <v>1</v>
      </c>
      <c r="S1251" s="263" t="s">
        <v>1991</v>
      </c>
      <c r="T1251" s="263"/>
      <c r="U1251" s="263"/>
      <c r="V1251" s="263"/>
      <c r="W1251" s="263"/>
      <c r="X1251" s="263"/>
      <c r="Y1251" s="575"/>
      <c r="Z1251" s="575"/>
      <c r="AA1251" s="576">
        <f t="shared" si="116"/>
        <v>0</v>
      </c>
      <c r="AB1251" s="722"/>
    </row>
    <row r="1252" spans="1:28" ht="15" customHeight="1" x14ac:dyDescent="0.35">
      <c r="A1252" s="98" t="s">
        <v>4236</v>
      </c>
      <c r="C1252" s="118">
        <v>43857</v>
      </c>
      <c r="D1252" s="318">
        <v>43894</v>
      </c>
      <c r="E1252" s="570"/>
      <c r="F1252" s="88" t="s">
        <v>4237</v>
      </c>
      <c r="G1252" s="88" t="s">
        <v>152</v>
      </c>
      <c r="H1252" s="98" t="s">
        <v>220</v>
      </c>
      <c r="I1252" s="98" t="s">
        <v>722</v>
      </c>
      <c r="J1252" s="75">
        <f t="shared" si="119"/>
        <v>1</v>
      </c>
      <c r="K1252" s="76" t="s">
        <v>211</v>
      </c>
      <c r="N1252" s="78" t="s">
        <v>17</v>
      </c>
      <c r="Q1252" s="78" t="s">
        <v>2130</v>
      </c>
      <c r="R1252" s="75">
        <f t="shared" si="120"/>
        <v>1</v>
      </c>
      <c r="S1252" s="263" t="s">
        <v>1991</v>
      </c>
      <c r="T1252" s="263"/>
      <c r="U1252" s="263"/>
      <c r="V1252" s="263"/>
      <c r="W1252" s="263"/>
      <c r="X1252" s="263"/>
      <c r="Y1252" s="575"/>
      <c r="Z1252" s="575"/>
      <c r="AA1252" s="576">
        <f t="shared" si="116"/>
        <v>0</v>
      </c>
      <c r="AB1252" s="722"/>
    </row>
    <row r="1253" spans="1:28" ht="15" customHeight="1" x14ac:dyDescent="0.35">
      <c r="A1253" s="98" t="s">
        <v>4575</v>
      </c>
      <c r="C1253" s="118">
        <v>43857</v>
      </c>
      <c r="D1253" s="318">
        <v>43894</v>
      </c>
      <c r="E1253" s="570"/>
      <c r="F1253" s="88" t="s">
        <v>4670</v>
      </c>
      <c r="G1253" s="88" t="s">
        <v>149</v>
      </c>
      <c r="H1253" s="98" t="s">
        <v>220</v>
      </c>
      <c r="I1253" s="98" t="s">
        <v>649</v>
      </c>
      <c r="J1253" s="75">
        <f t="shared" si="119"/>
        <v>1</v>
      </c>
      <c r="K1253" s="76" t="s">
        <v>211</v>
      </c>
      <c r="N1253" s="78" t="s">
        <v>18</v>
      </c>
      <c r="Q1253" s="78" t="s">
        <v>2056</v>
      </c>
      <c r="R1253" s="75">
        <f t="shared" si="120"/>
        <v>1</v>
      </c>
      <c r="S1253" s="263" t="s">
        <v>1991</v>
      </c>
      <c r="T1253" s="263"/>
      <c r="U1253" s="263"/>
      <c r="V1253" s="263"/>
      <c r="W1253" s="263"/>
      <c r="X1253" s="263"/>
      <c r="Y1253" s="575"/>
      <c r="Z1253" s="575"/>
      <c r="AA1253" s="576">
        <f t="shared" si="116"/>
        <v>0</v>
      </c>
      <c r="AB1253" s="722"/>
    </row>
    <row r="1254" spans="1:28" ht="15" customHeight="1" x14ac:dyDescent="0.35">
      <c r="A1254" s="98" t="s">
        <v>4274</v>
      </c>
      <c r="C1254" s="118">
        <v>43857</v>
      </c>
      <c r="D1254" s="318">
        <v>43893</v>
      </c>
      <c r="E1254" s="570"/>
      <c r="F1254" s="88" t="s">
        <v>4275</v>
      </c>
      <c r="G1254" s="88" t="s">
        <v>154</v>
      </c>
      <c r="H1254" s="98" t="s">
        <v>220</v>
      </c>
      <c r="I1254" s="98" t="s">
        <v>722</v>
      </c>
      <c r="J1254" s="75">
        <f t="shared" si="119"/>
        <v>1</v>
      </c>
      <c r="K1254" s="76" t="s">
        <v>211</v>
      </c>
      <c r="N1254" s="78" t="s">
        <v>17</v>
      </c>
      <c r="Q1254" s="78" t="s">
        <v>2163</v>
      </c>
      <c r="R1254" s="75">
        <f t="shared" si="120"/>
        <v>1</v>
      </c>
      <c r="S1254" s="263" t="s">
        <v>1991</v>
      </c>
      <c r="T1254" s="263"/>
      <c r="U1254" s="263"/>
      <c r="V1254" s="263"/>
      <c r="W1254" s="263"/>
      <c r="X1254" s="263"/>
      <c r="Y1254" s="575"/>
      <c r="Z1254" s="575"/>
      <c r="AA1254" s="576">
        <f t="shared" si="116"/>
        <v>0</v>
      </c>
      <c r="AB1254" s="722"/>
    </row>
    <row r="1255" spans="1:28" ht="15" customHeight="1" x14ac:dyDescent="0.35">
      <c r="A1255" s="81" t="s">
        <v>4325</v>
      </c>
      <c r="C1255" s="118">
        <v>43857</v>
      </c>
      <c r="D1255" s="318">
        <v>43893</v>
      </c>
      <c r="E1255" s="570"/>
      <c r="F1255" s="88" t="s">
        <v>4326</v>
      </c>
      <c r="G1255" s="88" t="s">
        <v>195</v>
      </c>
      <c r="H1255" s="98" t="s">
        <v>220</v>
      </c>
      <c r="I1255" s="98" t="s">
        <v>722</v>
      </c>
      <c r="J1255" s="75">
        <f t="shared" si="119"/>
        <v>1</v>
      </c>
      <c r="K1255" s="76" t="s">
        <v>211</v>
      </c>
      <c r="N1255" s="78" t="s">
        <v>17</v>
      </c>
      <c r="Q1255" s="78" t="s">
        <v>2097</v>
      </c>
      <c r="R1255" s="75">
        <f t="shared" si="120"/>
        <v>1</v>
      </c>
      <c r="S1255" s="263" t="s">
        <v>1991</v>
      </c>
      <c r="T1255" s="263"/>
      <c r="U1255" s="263"/>
      <c r="V1255" s="263"/>
      <c r="W1255" s="263"/>
      <c r="X1255" s="263"/>
      <c r="Y1255" s="575"/>
      <c r="Z1255" s="575"/>
      <c r="AA1255" s="576">
        <f t="shared" si="116"/>
        <v>0</v>
      </c>
      <c r="AB1255" s="722"/>
    </row>
    <row r="1256" spans="1:28" ht="15" customHeight="1" x14ac:dyDescent="0.35">
      <c r="A1256" s="98" t="s">
        <v>4276</v>
      </c>
      <c r="C1256" s="118">
        <v>43857</v>
      </c>
      <c r="D1256" s="318">
        <v>43894</v>
      </c>
      <c r="E1256" s="570"/>
      <c r="F1256" s="88" t="s">
        <v>4277</v>
      </c>
      <c r="G1256" s="88" t="s">
        <v>1393</v>
      </c>
      <c r="H1256" s="98" t="s">
        <v>220</v>
      </c>
      <c r="I1256" s="98" t="s">
        <v>722</v>
      </c>
      <c r="J1256" s="75">
        <f t="shared" si="119"/>
        <v>1</v>
      </c>
      <c r="K1256" s="76" t="s">
        <v>211</v>
      </c>
      <c r="N1256" s="78" t="s">
        <v>18</v>
      </c>
      <c r="Q1256" s="78" t="s">
        <v>2163</v>
      </c>
      <c r="R1256" s="75">
        <f t="shared" si="120"/>
        <v>1</v>
      </c>
      <c r="S1256" s="263" t="s">
        <v>1991</v>
      </c>
      <c r="T1256" s="263"/>
      <c r="U1256" s="263"/>
      <c r="V1256" s="263"/>
      <c r="W1256" s="263"/>
      <c r="X1256" s="263"/>
      <c r="Y1256" s="575"/>
      <c r="Z1256" s="575"/>
      <c r="AA1256" s="576">
        <f t="shared" si="116"/>
        <v>0</v>
      </c>
      <c r="AB1256" s="722"/>
    </row>
    <row r="1257" spans="1:28" ht="15" customHeight="1" x14ac:dyDescent="0.35">
      <c r="A1257" s="98" t="s">
        <v>4238</v>
      </c>
      <c r="C1257" s="118">
        <v>43857</v>
      </c>
      <c r="D1257" s="318">
        <v>43893</v>
      </c>
      <c r="E1257" s="570"/>
      <c r="F1257" s="88" t="s">
        <v>4239</v>
      </c>
      <c r="G1257" s="88" t="s">
        <v>154</v>
      </c>
      <c r="H1257" s="98" t="s">
        <v>220</v>
      </c>
      <c r="I1257" s="98" t="s">
        <v>730</v>
      </c>
      <c r="J1257" s="75">
        <f t="shared" si="119"/>
        <v>1</v>
      </c>
      <c r="K1257" s="76" t="s">
        <v>211</v>
      </c>
      <c r="N1257" s="78" t="s">
        <v>17</v>
      </c>
      <c r="Q1257" s="78" t="s">
        <v>2130</v>
      </c>
      <c r="R1257" s="75">
        <f t="shared" si="120"/>
        <v>1</v>
      </c>
      <c r="S1257" s="263" t="s">
        <v>1991</v>
      </c>
      <c r="T1257" s="263"/>
      <c r="U1257" s="263"/>
      <c r="V1257" s="263"/>
      <c r="W1257" s="263"/>
      <c r="X1257" s="263"/>
      <c r="Y1257" s="575"/>
      <c r="Z1257" s="575"/>
      <c r="AA1257" s="576">
        <f t="shared" si="116"/>
        <v>0</v>
      </c>
      <c r="AB1257" s="722"/>
    </row>
    <row r="1258" spans="1:28" ht="15" customHeight="1" x14ac:dyDescent="0.35">
      <c r="A1258" s="98" t="s">
        <v>4278</v>
      </c>
      <c r="C1258" s="118">
        <v>43857</v>
      </c>
      <c r="D1258" s="318">
        <v>43893</v>
      </c>
      <c r="E1258" s="570"/>
      <c r="F1258" s="88" t="s">
        <v>4279</v>
      </c>
      <c r="G1258" s="88" t="s">
        <v>162</v>
      </c>
      <c r="H1258" s="98" t="s">
        <v>220</v>
      </c>
      <c r="I1258" s="98" t="s">
        <v>722</v>
      </c>
      <c r="J1258" s="75">
        <f t="shared" si="119"/>
        <v>1</v>
      </c>
      <c r="K1258" s="76" t="s">
        <v>211</v>
      </c>
      <c r="N1258" s="78" t="s">
        <v>17</v>
      </c>
      <c r="Q1258" s="78" t="s">
        <v>2163</v>
      </c>
      <c r="R1258" s="75">
        <f t="shared" si="120"/>
        <v>1</v>
      </c>
      <c r="S1258" s="263" t="s">
        <v>1991</v>
      </c>
      <c r="T1258" s="263"/>
      <c r="U1258" s="263"/>
      <c r="V1258" s="263"/>
      <c r="W1258" s="263"/>
      <c r="X1258" s="263"/>
      <c r="Y1258" s="575"/>
      <c r="Z1258" s="575"/>
      <c r="AA1258" s="576">
        <f t="shared" si="116"/>
        <v>0</v>
      </c>
      <c r="AB1258" s="722"/>
    </row>
    <row r="1259" spans="1:28" ht="15" customHeight="1" x14ac:dyDescent="0.35">
      <c r="A1259" s="81" t="s">
        <v>4240</v>
      </c>
      <c r="C1259" s="118">
        <v>43857</v>
      </c>
      <c r="D1259" s="318">
        <v>43893</v>
      </c>
      <c r="E1259" s="570"/>
      <c r="F1259" s="88" t="s">
        <v>4241</v>
      </c>
      <c r="G1259" s="88" t="s">
        <v>417</v>
      </c>
      <c r="H1259" s="98" t="s">
        <v>220</v>
      </c>
      <c r="I1259" s="98" t="s">
        <v>649</v>
      </c>
      <c r="J1259" s="75">
        <f t="shared" si="119"/>
        <v>1</v>
      </c>
      <c r="K1259" s="76" t="s">
        <v>211</v>
      </c>
      <c r="N1259" s="78" t="s">
        <v>18</v>
      </c>
      <c r="Q1259" s="78" t="s">
        <v>2130</v>
      </c>
      <c r="R1259" s="75">
        <f t="shared" si="120"/>
        <v>1</v>
      </c>
      <c r="S1259" s="263" t="s">
        <v>1991</v>
      </c>
      <c r="T1259" s="263"/>
      <c r="U1259" s="263"/>
      <c r="V1259" s="263"/>
      <c r="W1259" s="263"/>
      <c r="X1259" s="263"/>
      <c r="Y1259" s="575"/>
      <c r="Z1259" s="575"/>
      <c r="AA1259" s="576">
        <f t="shared" si="116"/>
        <v>0</v>
      </c>
      <c r="AB1259" s="722"/>
    </row>
    <row r="1260" spans="1:28" ht="15" customHeight="1" x14ac:dyDescent="0.35">
      <c r="A1260" s="81" t="s">
        <v>4327</v>
      </c>
      <c r="C1260" s="118">
        <v>43857</v>
      </c>
      <c r="D1260" s="318">
        <v>43894</v>
      </c>
      <c r="E1260" s="570"/>
      <c r="F1260" s="88" t="s">
        <v>4328</v>
      </c>
      <c r="G1260" s="88" t="s">
        <v>149</v>
      </c>
      <c r="H1260" s="98" t="s">
        <v>220</v>
      </c>
      <c r="I1260" s="98" t="s">
        <v>649</v>
      </c>
      <c r="J1260" s="75">
        <f t="shared" si="119"/>
        <v>1</v>
      </c>
      <c r="K1260" s="76" t="s">
        <v>211</v>
      </c>
      <c r="N1260" s="78" t="s">
        <v>18</v>
      </c>
      <c r="Q1260" s="78" t="s">
        <v>2097</v>
      </c>
      <c r="R1260" s="75">
        <f t="shared" si="120"/>
        <v>1</v>
      </c>
      <c r="S1260" s="263" t="s">
        <v>1991</v>
      </c>
      <c r="T1260" s="263"/>
      <c r="U1260" s="263"/>
      <c r="V1260" s="263"/>
      <c r="W1260" s="263"/>
      <c r="X1260" s="263"/>
      <c r="Y1260" s="575"/>
      <c r="Z1260" s="575"/>
      <c r="AA1260" s="576">
        <f t="shared" si="116"/>
        <v>0</v>
      </c>
      <c r="AB1260" s="722"/>
    </row>
    <row r="1261" spans="1:28" ht="15" customHeight="1" x14ac:dyDescent="0.35">
      <c r="A1261" s="81" t="s">
        <v>4307</v>
      </c>
      <c r="C1261" s="118">
        <v>43857</v>
      </c>
      <c r="D1261" s="318">
        <v>43894</v>
      </c>
      <c r="E1261" s="570"/>
      <c r="F1261" s="88" t="s">
        <v>4308</v>
      </c>
      <c r="G1261" s="88" t="s">
        <v>156</v>
      </c>
      <c r="H1261" s="98" t="s">
        <v>220</v>
      </c>
      <c r="I1261" s="98" t="s">
        <v>4769</v>
      </c>
      <c r="J1261" s="75">
        <f t="shared" si="119"/>
        <v>1</v>
      </c>
      <c r="K1261" s="76" t="s">
        <v>211</v>
      </c>
      <c r="L1261" s="99" t="s">
        <v>4768</v>
      </c>
      <c r="N1261" s="78" t="s">
        <v>17</v>
      </c>
      <c r="Q1261" s="304" t="s">
        <v>2056</v>
      </c>
      <c r="R1261" s="75">
        <f t="shared" si="120"/>
        <v>1</v>
      </c>
      <c r="S1261" s="263" t="s">
        <v>1991</v>
      </c>
      <c r="T1261" s="263"/>
      <c r="U1261" s="263"/>
      <c r="V1261" s="263"/>
      <c r="W1261" s="263"/>
      <c r="X1261" s="263"/>
      <c r="Y1261" s="575"/>
      <c r="Z1261" s="575"/>
      <c r="AA1261" s="576">
        <f t="shared" si="116"/>
        <v>0</v>
      </c>
      <c r="AB1261" s="722"/>
    </row>
    <row r="1262" spans="1:28" ht="15" customHeight="1" x14ac:dyDescent="0.35">
      <c r="A1262" s="81" t="s">
        <v>4282</v>
      </c>
      <c r="C1262" s="118">
        <v>43857</v>
      </c>
      <c r="D1262" s="318">
        <v>43894</v>
      </c>
      <c r="E1262" s="570"/>
      <c r="F1262" s="88" t="s">
        <v>4283</v>
      </c>
      <c r="G1262" s="88" t="s">
        <v>152</v>
      </c>
      <c r="H1262" s="98" t="s">
        <v>220</v>
      </c>
      <c r="I1262" s="98" t="s">
        <v>722</v>
      </c>
      <c r="J1262" s="75">
        <f t="shared" si="119"/>
        <v>1</v>
      </c>
      <c r="K1262" s="76" t="s">
        <v>211</v>
      </c>
      <c r="N1262" s="78" t="s">
        <v>18</v>
      </c>
      <c r="Q1262" s="78" t="s">
        <v>2163</v>
      </c>
      <c r="R1262" s="75">
        <f t="shared" si="120"/>
        <v>1</v>
      </c>
      <c r="S1262" s="263" t="s">
        <v>1991</v>
      </c>
      <c r="T1262" s="263"/>
      <c r="U1262" s="263"/>
      <c r="V1262" s="263"/>
      <c r="W1262" s="263"/>
      <c r="X1262" s="263"/>
      <c r="Y1262" s="575"/>
      <c r="Z1262" s="575"/>
      <c r="AA1262" s="576">
        <f t="shared" si="116"/>
        <v>0</v>
      </c>
      <c r="AB1262" s="722"/>
    </row>
    <row r="1263" spans="1:28" ht="15" customHeight="1" x14ac:dyDescent="0.35">
      <c r="A1263" s="98" t="s">
        <v>4284</v>
      </c>
      <c r="C1263" s="118">
        <v>43857</v>
      </c>
      <c r="D1263" s="318">
        <v>43894</v>
      </c>
      <c r="E1263" s="570"/>
      <c r="F1263" s="88" t="s">
        <v>4285</v>
      </c>
      <c r="G1263" s="88" t="s">
        <v>154</v>
      </c>
      <c r="H1263" s="98" t="s">
        <v>220</v>
      </c>
      <c r="I1263" s="98" t="s">
        <v>648</v>
      </c>
      <c r="J1263" s="75">
        <f t="shared" si="119"/>
        <v>1</v>
      </c>
      <c r="K1263" s="76" t="s">
        <v>211</v>
      </c>
      <c r="N1263" s="78" t="s">
        <v>17</v>
      </c>
      <c r="Q1263" s="78" t="s">
        <v>2163</v>
      </c>
      <c r="R1263" s="75">
        <f t="shared" si="120"/>
        <v>1</v>
      </c>
      <c r="S1263" s="263" t="s">
        <v>1991</v>
      </c>
      <c r="T1263" s="263"/>
      <c r="U1263" s="263"/>
      <c r="V1263" s="263"/>
      <c r="W1263" s="263"/>
      <c r="X1263" s="263"/>
      <c r="Y1263" s="575"/>
      <c r="Z1263" s="575"/>
      <c r="AA1263" s="576">
        <f t="shared" si="116"/>
        <v>0</v>
      </c>
      <c r="AB1263" s="722"/>
    </row>
    <row r="1264" spans="1:28" ht="15" customHeight="1" x14ac:dyDescent="0.35">
      <c r="A1264" s="81" t="s">
        <v>4331</v>
      </c>
      <c r="C1264" s="118">
        <v>43857</v>
      </c>
      <c r="D1264" s="318">
        <v>43894</v>
      </c>
      <c r="E1264" s="570"/>
      <c r="F1264" s="88" t="s">
        <v>4332</v>
      </c>
      <c r="G1264" s="88" t="s">
        <v>152</v>
      </c>
      <c r="H1264" s="98" t="s">
        <v>220</v>
      </c>
      <c r="I1264" s="98" t="s">
        <v>722</v>
      </c>
      <c r="J1264" s="75">
        <f t="shared" si="119"/>
        <v>1</v>
      </c>
      <c r="K1264" s="76" t="s">
        <v>211</v>
      </c>
      <c r="N1264" s="78" t="s">
        <v>18</v>
      </c>
      <c r="Q1264" s="78" t="s">
        <v>2097</v>
      </c>
      <c r="R1264" s="75">
        <f t="shared" si="120"/>
        <v>1</v>
      </c>
      <c r="S1264" s="263" t="s">
        <v>1991</v>
      </c>
      <c r="T1264" s="263"/>
      <c r="U1264" s="263"/>
      <c r="V1264" s="263"/>
      <c r="W1264" s="263"/>
      <c r="X1264" s="263"/>
      <c r="Y1264" s="575"/>
      <c r="Z1264" s="575"/>
      <c r="AA1264" s="576">
        <f t="shared" si="116"/>
        <v>0</v>
      </c>
      <c r="AB1264" s="722"/>
    </row>
    <row r="1265" spans="1:28" ht="15" customHeight="1" x14ac:dyDescent="0.35">
      <c r="A1265" s="98" t="s">
        <v>4244</v>
      </c>
      <c r="C1265" s="118">
        <v>43857</v>
      </c>
      <c r="D1265" s="318">
        <v>43894</v>
      </c>
      <c r="E1265" s="570"/>
      <c r="F1265" s="88" t="s">
        <v>4245</v>
      </c>
      <c r="G1265" s="88" t="s">
        <v>152</v>
      </c>
      <c r="H1265" s="98" t="s">
        <v>220</v>
      </c>
      <c r="I1265" s="98" t="s">
        <v>722</v>
      </c>
      <c r="J1265" s="75">
        <f t="shared" si="119"/>
        <v>1</v>
      </c>
      <c r="K1265" s="76" t="s">
        <v>211</v>
      </c>
      <c r="N1265" s="78" t="s">
        <v>17</v>
      </c>
      <c r="Q1265" s="78" t="s">
        <v>2130</v>
      </c>
      <c r="R1265" s="75">
        <f t="shared" si="120"/>
        <v>1</v>
      </c>
      <c r="S1265" s="263" t="s">
        <v>1991</v>
      </c>
      <c r="T1265" s="263"/>
      <c r="U1265" s="263"/>
      <c r="V1265" s="263"/>
      <c r="W1265" s="263"/>
      <c r="X1265" s="263"/>
      <c r="Y1265" s="575"/>
      <c r="Z1265" s="575"/>
      <c r="AA1265" s="576">
        <f t="shared" si="116"/>
        <v>0</v>
      </c>
      <c r="AB1265" s="722"/>
    </row>
    <row r="1266" spans="1:28" ht="15" customHeight="1" x14ac:dyDescent="0.35">
      <c r="A1266" s="81" t="s">
        <v>4200</v>
      </c>
      <c r="C1266" s="118">
        <v>43857</v>
      </c>
      <c r="D1266" s="318">
        <v>43894</v>
      </c>
      <c r="E1266" s="570"/>
      <c r="F1266" s="88" t="s">
        <v>4201</v>
      </c>
      <c r="G1266" s="88" t="s">
        <v>152</v>
      </c>
      <c r="H1266" s="98" t="s">
        <v>220</v>
      </c>
      <c r="J1266" s="75">
        <f t="shared" si="119"/>
        <v>1</v>
      </c>
      <c r="K1266" s="76" t="s">
        <v>211</v>
      </c>
      <c r="Q1266" s="78" t="s">
        <v>2056</v>
      </c>
      <c r="R1266" s="75">
        <f t="shared" si="120"/>
        <v>1</v>
      </c>
      <c r="S1266" s="263" t="s">
        <v>1991</v>
      </c>
      <c r="T1266" s="263"/>
      <c r="U1266" s="263"/>
      <c r="V1266" s="263"/>
      <c r="W1266" s="263"/>
      <c r="X1266" s="263"/>
      <c r="Y1266" s="575"/>
      <c r="Z1266" s="575"/>
      <c r="AA1266" s="576">
        <f t="shared" si="116"/>
        <v>0</v>
      </c>
      <c r="AB1266" s="722"/>
    </row>
    <row r="1267" spans="1:28" ht="15" customHeight="1" x14ac:dyDescent="0.35">
      <c r="A1267" s="98" t="s">
        <v>4246</v>
      </c>
      <c r="C1267" s="118">
        <v>43857</v>
      </c>
      <c r="D1267" s="318">
        <v>43894</v>
      </c>
      <c r="E1267" s="570"/>
      <c r="F1267" s="88" t="s">
        <v>4247</v>
      </c>
      <c r="G1267" s="88" t="s">
        <v>154</v>
      </c>
      <c r="H1267" s="98" t="s">
        <v>220</v>
      </c>
      <c r="I1267" s="98" t="s">
        <v>730</v>
      </c>
      <c r="J1267" s="75">
        <f t="shared" si="119"/>
        <v>1</v>
      </c>
      <c r="K1267" s="76" t="s">
        <v>211</v>
      </c>
      <c r="N1267" s="78" t="s">
        <v>17</v>
      </c>
      <c r="Q1267" s="78" t="s">
        <v>2130</v>
      </c>
      <c r="R1267" s="75">
        <f t="shared" si="120"/>
        <v>1</v>
      </c>
      <c r="S1267" s="263" t="s">
        <v>1991</v>
      </c>
      <c r="T1267" s="263"/>
      <c r="U1267" s="263"/>
      <c r="V1267" s="263"/>
      <c r="W1267" s="263"/>
      <c r="X1267" s="263"/>
      <c r="Y1267" s="575"/>
      <c r="Z1267" s="575"/>
      <c r="AA1267" s="576">
        <f t="shared" si="116"/>
        <v>0</v>
      </c>
      <c r="AB1267" s="722"/>
    </row>
    <row r="1268" spans="1:28" ht="15" customHeight="1" x14ac:dyDescent="0.35">
      <c r="A1268" s="81" t="s">
        <v>4335</v>
      </c>
      <c r="C1268" s="118">
        <v>43858</v>
      </c>
      <c r="D1268" s="318">
        <v>43895</v>
      </c>
      <c r="E1268" s="570"/>
      <c r="F1268" s="88" t="s">
        <v>4336</v>
      </c>
      <c r="G1268" s="88" t="s">
        <v>154</v>
      </c>
      <c r="H1268" s="98" t="s">
        <v>220</v>
      </c>
      <c r="I1268" s="98" t="s">
        <v>649</v>
      </c>
      <c r="J1268" s="75">
        <f t="shared" si="119"/>
        <v>1</v>
      </c>
      <c r="K1268" s="76" t="s">
        <v>211</v>
      </c>
      <c r="N1268" s="78" t="s">
        <v>18</v>
      </c>
      <c r="Q1268" s="78" t="s">
        <v>2097</v>
      </c>
      <c r="R1268" s="75">
        <f t="shared" si="120"/>
        <v>1</v>
      </c>
      <c r="S1268" s="263" t="s">
        <v>1991</v>
      </c>
      <c r="T1268" s="263"/>
      <c r="U1268" s="263"/>
      <c r="V1268" s="263"/>
      <c r="W1268" s="263"/>
      <c r="X1268" s="263"/>
      <c r="Y1268" s="575"/>
      <c r="Z1268" s="575"/>
      <c r="AA1268" s="576">
        <f t="shared" si="116"/>
        <v>0</v>
      </c>
      <c r="AB1268" s="722"/>
    </row>
    <row r="1269" spans="1:28" ht="15" customHeight="1" x14ac:dyDescent="0.35">
      <c r="A1269" s="98" t="s">
        <v>4248</v>
      </c>
      <c r="C1269" s="118">
        <v>43858</v>
      </c>
      <c r="D1269" s="318">
        <v>43895</v>
      </c>
      <c r="E1269" s="570"/>
      <c r="F1269" s="88" t="s">
        <v>4249</v>
      </c>
      <c r="G1269" s="88" t="s">
        <v>156</v>
      </c>
      <c r="H1269" s="98" t="s">
        <v>220</v>
      </c>
      <c r="I1269" s="98" t="s">
        <v>665</v>
      </c>
      <c r="J1269" s="75">
        <f t="shared" si="119"/>
        <v>1</v>
      </c>
      <c r="K1269" s="76" t="s">
        <v>211</v>
      </c>
      <c r="L1269" s="99" t="s">
        <v>4776</v>
      </c>
      <c r="N1269" s="78" t="s">
        <v>17</v>
      </c>
      <c r="Q1269" s="78" t="s">
        <v>2130</v>
      </c>
      <c r="R1269" s="75">
        <f t="shared" si="120"/>
        <v>1</v>
      </c>
      <c r="S1269" s="263" t="s">
        <v>1991</v>
      </c>
      <c r="T1269" s="263"/>
      <c r="U1269" s="263"/>
      <c r="V1269" s="263"/>
      <c r="W1269" s="263"/>
      <c r="X1269" s="263"/>
      <c r="Y1269" s="575"/>
      <c r="Z1269" s="575"/>
      <c r="AA1269" s="576">
        <f t="shared" si="116"/>
        <v>0</v>
      </c>
      <c r="AB1269" s="722"/>
    </row>
    <row r="1270" spans="1:28" ht="15" customHeight="1" x14ac:dyDescent="0.35">
      <c r="A1270" s="81" t="s">
        <v>4337</v>
      </c>
      <c r="C1270" s="118">
        <v>43858</v>
      </c>
      <c r="D1270" s="318">
        <v>43894</v>
      </c>
      <c r="E1270" s="570"/>
      <c r="F1270" s="88" t="s">
        <v>4338</v>
      </c>
      <c r="G1270" s="88" t="s">
        <v>154</v>
      </c>
      <c r="H1270" s="98" t="s">
        <v>220</v>
      </c>
      <c r="I1270" s="98" t="s">
        <v>648</v>
      </c>
      <c r="J1270" s="75">
        <f t="shared" si="119"/>
        <v>1</v>
      </c>
      <c r="K1270" s="76" t="s">
        <v>211</v>
      </c>
      <c r="N1270" s="78" t="s">
        <v>17</v>
      </c>
      <c r="Q1270" s="78" t="s">
        <v>2097</v>
      </c>
      <c r="R1270" s="75">
        <f t="shared" si="120"/>
        <v>1</v>
      </c>
      <c r="S1270" s="263" t="s">
        <v>1991</v>
      </c>
      <c r="T1270" s="263"/>
      <c r="U1270" s="263"/>
      <c r="V1270" s="263"/>
      <c r="W1270" s="263"/>
      <c r="X1270" s="263"/>
      <c r="Y1270" s="575"/>
      <c r="Z1270" s="575"/>
      <c r="AA1270" s="576">
        <f t="shared" si="116"/>
        <v>0</v>
      </c>
      <c r="AB1270" s="722"/>
    </row>
    <row r="1271" spans="1:28" ht="15" customHeight="1" x14ac:dyDescent="0.35">
      <c r="A1271" s="98" t="s">
        <v>4286</v>
      </c>
      <c r="C1271" s="118">
        <v>43858</v>
      </c>
      <c r="D1271" s="318">
        <v>43895</v>
      </c>
      <c r="E1271" s="570"/>
      <c r="F1271" s="88" t="s">
        <v>4287</v>
      </c>
      <c r="G1271" s="88" t="s">
        <v>4288</v>
      </c>
      <c r="H1271" s="81" t="s">
        <v>275</v>
      </c>
      <c r="I1271" s="98" t="s">
        <v>4550</v>
      </c>
      <c r="J1271" s="75">
        <f t="shared" si="119"/>
        <v>1</v>
      </c>
      <c r="K1271" s="76" t="s">
        <v>211</v>
      </c>
      <c r="N1271" s="78" t="s">
        <v>18</v>
      </c>
      <c r="Q1271" s="78" t="s">
        <v>2163</v>
      </c>
      <c r="R1271" s="75">
        <f t="shared" si="120"/>
        <v>1</v>
      </c>
      <c r="S1271" s="263" t="s">
        <v>1991</v>
      </c>
      <c r="T1271" s="263"/>
      <c r="U1271" s="263"/>
      <c r="V1271" s="263"/>
      <c r="W1271" s="263"/>
      <c r="X1271" s="263"/>
      <c r="Y1271" s="575"/>
      <c r="Z1271" s="575"/>
      <c r="AA1271" s="576">
        <f t="shared" si="116"/>
        <v>0</v>
      </c>
      <c r="AB1271" s="722"/>
    </row>
    <row r="1272" spans="1:28" ht="15" customHeight="1" x14ac:dyDescent="0.35">
      <c r="A1272" s="81" t="s">
        <v>4339</v>
      </c>
      <c r="C1272" s="118">
        <v>43858</v>
      </c>
      <c r="D1272" s="318">
        <v>43895</v>
      </c>
      <c r="E1272" s="570"/>
      <c r="F1272" s="88" t="s">
        <v>4340</v>
      </c>
      <c r="G1272" s="88" t="s">
        <v>1337</v>
      </c>
      <c r="H1272" s="98" t="s">
        <v>220</v>
      </c>
      <c r="I1272" s="98" t="s">
        <v>656</v>
      </c>
      <c r="J1272" s="75">
        <f t="shared" si="119"/>
        <v>1</v>
      </c>
      <c r="K1272" s="76" t="s">
        <v>211</v>
      </c>
      <c r="L1272" s="99" t="s">
        <v>4772</v>
      </c>
      <c r="N1272" s="78" t="s">
        <v>17</v>
      </c>
      <c r="Q1272" s="78" t="s">
        <v>2097</v>
      </c>
      <c r="R1272" s="75">
        <f t="shared" si="120"/>
        <v>1</v>
      </c>
      <c r="S1272" s="263" t="s">
        <v>1991</v>
      </c>
      <c r="T1272" s="263"/>
      <c r="U1272" s="263"/>
      <c r="V1272" s="263"/>
      <c r="W1272" s="263"/>
      <c r="X1272" s="263"/>
      <c r="Y1272" s="575"/>
      <c r="Z1272" s="575"/>
      <c r="AA1272" s="576">
        <f t="shared" si="116"/>
        <v>0</v>
      </c>
      <c r="AB1272" s="722"/>
    </row>
    <row r="1273" spans="1:28" ht="15" customHeight="1" x14ac:dyDescent="0.35">
      <c r="A1273" s="98" t="s">
        <v>4313</v>
      </c>
      <c r="C1273" s="118">
        <v>43858</v>
      </c>
      <c r="D1273" s="318">
        <v>43895</v>
      </c>
      <c r="E1273" s="570"/>
      <c r="F1273" s="88" t="s">
        <v>4314</v>
      </c>
      <c r="G1273" s="88" t="s">
        <v>1051</v>
      </c>
      <c r="H1273" s="98" t="s">
        <v>220</v>
      </c>
      <c r="I1273" s="98" t="s">
        <v>730</v>
      </c>
      <c r="J1273" s="75">
        <f t="shared" si="119"/>
        <v>1</v>
      </c>
      <c r="K1273" s="76" t="s">
        <v>211</v>
      </c>
      <c r="N1273" s="78" t="s">
        <v>17</v>
      </c>
      <c r="Q1273" s="304" t="s">
        <v>2056</v>
      </c>
      <c r="R1273" s="75">
        <f t="shared" si="120"/>
        <v>1</v>
      </c>
      <c r="S1273" s="263" t="s">
        <v>1991</v>
      </c>
      <c r="T1273" s="263"/>
      <c r="U1273" s="263"/>
      <c r="V1273" s="263"/>
      <c r="W1273" s="263"/>
      <c r="X1273" s="263"/>
      <c r="Y1273" s="575"/>
      <c r="Z1273" s="575"/>
      <c r="AA1273" s="576">
        <f t="shared" si="116"/>
        <v>0</v>
      </c>
      <c r="AB1273" s="722"/>
    </row>
    <row r="1274" spans="1:28" ht="15" customHeight="1" x14ac:dyDescent="0.35">
      <c r="A1274" s="98" t="s">
        <v>4252</v>
      </c>
      <c r="C1274" s="118">
        <v>43858</v>
      </c>
      <c r="D1274" s="318">
        <v>43895</v>
      </c>
      <c r="E1274" s="570"/>
      <c r="F1274" s="88" t="s">
        <v>4253</v>
      </c>
      <c r="G1274" s="88" t="s">
        <v>158</v>
      </c>
      <c r="H1274" s="98" t="s">
        <v>220</v>
      </c>
      <c r="I1274" s="98" t="s">
        <v>649</v>
      </c>
      <c r="J1274" s="75">
        <f t="shared" si="119"/>
        <v>1</v>
      </c>
      <c r="K1274" s="76" t="s">
        <v>211</v>
      </c>
      <c r="N1274" s="78" t="s">
        <v>18</v>
      </c>
      <c r="Q1274" s="78" t="s">
        <v>2130</v>
      </c>
      <c r="R1274" s="75">
        <f t="shared" si="120"/>
        <v>1</v>
      </c>
      <c r="S1274" s="263" t="s">
        <v>1991</v>
      </c>
      <c r="T1274" s="263"/>
      <c r="U1274" s="263"/>
      <c r="V1274" s="263"/>
      <c r="W1274" s="263"/>
      <c r="X1274" s="263"/>
      <c r="Y1274" s="575"/>
      <c r="Z1274" s="575"/>
      <c r="AA1274" s="576">
        <f t="shared" ref="AA1274:AA1337" si="121">Z1274-Y1274</f>
        <v>0</v>
      </c>
      <c r="AB1274" s="722"/>
    </row>
    <row r="1275" spans="1:28" ht="15" customHeight="1" x14ac:dyDescent="0.35">
      <c r="A1275" s="98" t="s">
        <v>4208</v>
      </c>
      <c r="C1275" s="118">
        <v>43858</v>
      </c>
      <c r="D1275" s="318">
        <v>43895</v>
      </c>
      <c r="E1275" s="570"/>
      <c r="F1275" s="88" t="s">
        <v>4209</v>
      </c>
      <c r="G1275" s="88" t="s">
        <v>3866</v>
      </c>
      <c r="H1275" s="98" t="s">
        <v>220</v>
      </c>
      <c r="I1275" s="98" t="s">
        <v>722</v>
      </c>
      <c r="J1275" s="75">
        <f t="shared" si="119"/>
        <v>1</v>
      </c>
      <c r="K1275" s="76" t="s">
        <v>211</v>
      </c>
      <c r="N1275" s="78" t="s">
        <v>18</v>
      </c>
      <c r="Q1275" s="78" t="s">
        <v>2056</v>
      </c>
      <c r="R1275" s="75">
        <f t="shared" si="120"/>
        <v>1</v>
      </c>
      <c r="S1275" s="263" t="s">
        <v>1991</v>
      </c>
      <c r="T1275" s="263"/>
      <c r="U1275" s="263"/>
      <c r="V1275" s="263"/>
      <c r="W1275" s="263"/>
      <c r="X1275" s="263"/>
      <c r="Y1275" s="575"/>
      <c r="Z1275" s="575"/>
      <c r="AA1275" s="576">
        <f t="shared" si="121"/>
        <v>0</v>
      </c>
      <c r="AB1275" s="722"/>
    </row>
    <row r="1276" spans="1:28" ht="15" customHeight="1" x14ac:dyDescent="0.35">
      <c r="A1276" s="98" t="s">
        <v>4210</v>
      </c>
      <c r="C1276" s="118">
        <v>43859</v>
      </c>
      <c r="D1276" s="318">
        <v>43895</v>
      </c>
      <c r="E1276" s="570"/>
      <c r="F1276" s="88" t="s">
        <v>4211</v>
      </c>
      <c r="G1276" s="88" t="s">
        <v>545</v>
      </c>
      <c r="H1276" s="98" t="s">
        <v>220</v>
      </c>
      <c r="I1276" s="98" t="s">
        <v>722</v>
      </c>
      <c r="J1276" s="75">
        <f t="shared" si="119"/>
        <v>1</v>
      </c>
      <c r="K1276" s="76" t="s">
        <v>211</v>
      </c>
      <c r="N1276" s="78" t="s">
        <v>18</v>
      </c>
      <c r="Q1276" s="78" t="s">
        <v>2056</v>
      </c>
      <c r="R1276" s="75">
        <f t="shared" si="120"/>
        <v>1</v>
      </c>
      <c r="S1276" s="263" t="s">
        <v>1991</v>
      </c>
      <c r="T1276" s="263"/>
      <c r="U1276" s="263"/>
      <c r="V1276" s="263"/>
      <c r="W1276" s="263"/>
      <c r="X1276" s="263"/>
      <c r="Y1276" s="575"/>
      <c r="Z1276" s="575"/>
      <c r="AA1276" s="576">
        <f t="shared" si="121"/>
        <v>0</v>
      </c>
      <c r="AB1276" s="722"/>
    </row>
    <row r="1277" spans="1:28" ht="15" customHeight="1" x14ac:dyDescent="0.35">
      <c r="A1277" s="81" t="s">
        <v>4291</v>
      </c>
      <c r="C1277" s="118">
        <v>43859</v>
      </c>
      <c r="D1277" s="318">
        <v>43895</v>
      </c>
      <c r="E1277" s="570"/>
      <c r="F1277" s="88" t="s">
        <v>4292</v>
      </c>
      <c r="G1277" s="88" t="s">
        <v>154</v>
      </c>
      <c r="H1277" s="98" t="s">
        <v>220</v>
      </c>
      <c r="I1277" s="98" t="s">
        <v>648</v>
      </c>
      <c r="J1277" s="75">
        <f t="shared" si="119"/>
        <v>1</v>
      </c>
      <c r="K1277" s="76" t="s">
        <v>211</v>
      </c>
      <c r="N1277" s="78" t="s">
        <v>17</v>
      </c>
      <c r="Q1277" s="78" t="s">
        <v>2163</v>
      </c>
      <c r="R1277" s="75">
        <f t="shared" si="120"/>
        <v>1</v>
      </c>
      <c r="S1277" s="263" t="s">
        <v>1991</v>
      </c>
      <c r="T1277" s="263"/>
      <c r="U1277" s="263"/>
      <c r="V1277" s="263"/>
      <c r="W1277" s="263"/>
      <c r="X1277" s="263"/>
      <c r="Y1277" s="575"/>
      <c r="Z1277" s="575"/>
      <c r="AA1277" s="576">
        <f t="shared" si="121"/>
        <v>0</v>
      </c>
      <c r="AB1277" s="722"/>
    </row>
    <row r="1278" spans="1:28" ht="15" customHeight="1" x14ac:dyDescent="0.35">
      <c r="A1278" s="81" t="s">
        <v>4341</v>
      </c>
      <c r="C1278" s="118">
        <v>43859</v>
      </c>
      <c r="D1278" s="318">
        <v>43895</v>
      </c>
      <c r="E1278" s="570"/>
      <c r="F1278" s="88" t="s">
        <v>4342</v>
      </c>
      <c r="G1278" s="88" t="s">
        <v>152</v>
      </c>
      <c r="H1278" s="98" t="s">
        <v>220</v>
      </c>
      <c r="I1278" s="98" t="s">
        <v>722</v>
      </c>
      <c r="J1278" s="75">
        <f t="shared" si="119"/>
        <v>1</v>
      </c>
      <c r="K1278" s="76" t="s">
        <v>211</v>
      </c>
      <c r="N1278" s="78" t="s">
        <v>17</v>
      </c>
      <c r="Q1278" s="78" t="s">
        <v>2097</v>
      </c>
      <c r="R1278" s="75">
        <f t="shared" si="120"/>
        <v>1</v>
      </c>
      <c r="S1278" s="263" t="s">
        <v>1991</v>
      </c>
      <c r="T1278" s="263"/>
      <c r="U1278" s="263"/>
      <c r="V1278" s="263"/>
      <c r="W1278" s="263"/>
      <c r="X1278" s="263"/>
      <c r="Y1278" s="575"/>
      <c r="Z1278" s="575"/>
      <c r="AA1278" s="576">
        <f t="shared" si="121"/>
        <v>0</v>
      </c>
      <c r="AB1278" s="722"/>
    </row>
    <row r="1279" spans="1:28" ht="15" customHeight="1" x14ac:dyDescent="0.35">
      <c r="A1279" s="98" t="s">
        <v>4345</v>
      </c>
      <c r="C1279" s="118">
        <v>43859</v>
      </c>
      <c r="D1279" s="318">
        <v>43896</v>
      </c>
      <c r="E1279" s="570"/>
      <c r="F1279" s="88" t="s">
        <v>4346</v>
      </c>
      <c r="G1279" s="88" t="s">
        <v>156</v>
      </c>
      <c r="H1279" s="98" t="s">
        <v>220</v>
      </c>
      <c r="I1279" s="98" t="s">
        <v>649</v>
      </c>
      <c r="J1279" s="75">
        <f t="shared" si="119"/>
        <v>1</v>
      </c>
      <c r="K1279" s="76" t="s">
        <v>211</v>
      </c>
      <c r="N1279" s="78" t="s">
        <v>18</v>
      </c>
      <c r="Q1279" s="78" t="s">
        <v>2097</v>
      </c>
      <c r="R1279" s="75">
        <f t="shared" si="120"/>
        <v>1</v>
      </c>
      <c r="S1279" s="263" t="s">
        <v>1991</v>
      </c>
      <c r="T1279" s="263"/>
      <c r="U1279" s="263"/>
      <c r="V1279" s="263"/>
      <c r="W1279" s="263"/>
      <c r="X1279" s="263"/>
      <c r="Y1279" s="575"/>
      <c r="Z1279" s="575"/>
      <c r="AA1279" s="576">
        <f t="shared" si="121"/>
        <v>0</v>
      </c>
      <c r="AB1279" s="722"/>
    </row>
    <row r="1280" spans="1:28" ht="15" customHeight="1" x14ac:dyDescent="0.35">
      <c r="A1280" s="98" t="s">
        <v>4214</v>
      </c>
      <c r="C1280" s="118">
        <v>43859</v>
      </c>
      <c r="D1280" s="318">
        <v>43896</v>
      </c>
      <c r="E1280" s="570"/>
      <c r="F1280" s="88" t="s">
        <v>4215</v>
      </c>
      <c r="G1280" s="88" t="s">
        <v>162</v>
      </c>
      <c r="H1280" s="98" t="s">
        <v>220</v>
      </c>
      <c r="I1280" s="98" t="s">
        <v>722</v>
      </c>
      <c r="J1280" s="75">
        <f t="shared" si="119"/>
        <v>1</v>
      </c>
      <c r="K1280" s="76" t="s">
        <v>211</v>
      </c>
      <c r="N1280" s="78" t="s">
        <v>17</v>
      </c>
      <c r="Q1280" s="78" t="s">
        <v>2056</v>
      </c>
      <c r="R1280" s="75">
        <f t="shared" si="120"/>
        <v>1</v>
      </c>
      <c r="S1280" s="263" t="s">
        <v>1991</v>
      </c>
      <c r="T1280" s="263"/>
      <c r="U1280" s="263"/>
      <c r="V1280" s="263"/>
      <c r="W1280" s="263"/>
      <c r="X1280" s="263"/>
      <c r="Y1280" s="575"/>
      <c r="Z1280" s="575"/>
      <c r="AA1280" s="576">
        <f t="shared" si="121"/>
        <v>0</v>
      </c>
      <c r="AB1280" s="722"/>
    </row>
    <row r="1281" spans="1:28" ht="15" customHeight="1" x14ac:dyDescent="0.35">
      <c r="A1281" s="98" t="s">
        <v>4295</v>
      </c>
      <c r="C1281" s="118">
        <v>43859</v>
      </c>
      <c r="D1281" s="318">
        <v>43896</v>
      </c>
      <c r="E1281" s="570"/>
      <c r="F1281" s="88" t="s">
        <v>4296</v>
      </c>
      <c r="G1281" s="88" t="s">
        <v>154</v>
      </c>
      <c r="H1281" s="98" t="s">
        <v>220</v>
      </c>
      <c r="I1281" s="98" t="s">
        <v>722</v>
      </c>
      <c r="J1281" s="75">
        <f t="shared" si="119"/>
        <v>1</v>
      </c>
      <c r="K1281" s="76" t="s">
        <v>211</v>
      </c>
      <c r="L1281" s="99" t="s">
        <v>4783</v>
      </c>
      <c r="N1281" s="78" t="s">
        <v>18</v>
      </c>
      <c r="Q1281" s="78" t="s">
        <v>2163</v>
      </c>
      <c r="R1281" s="75">
        <f t="shared" si="120"/>
        <v>1</v>
      </c>
      <c r="S1281" s="263" t="s">
        <v>1991</v>
      </c>
      <c r="T1281" s="263"/>
      <c r="U1281" s="263"/>
      <c r="V1281" s="263"/>
      <c r="W1281" s="263"/>
      <c r="X1281" s="263"/>
      <c r="Y1281" s="575"/>
      <c r="Z1281" s="575"/>
      <c r="AA1281" s="576">
        <f t="shared" si="121"/>
        <v>0</v>
      </c>
      <c r="AB1281" s="722"/>
    </row>
    <row r="1282" spans="1:28" ht="15" customHeight="1" x14ac:dyDescent="0.35">
      <c r="A1282" s="98" t="s">
        <v>4347</v>
      </c>
      <c r="C1282" s="118">
        <v>43859</v>
      </c>
      <c r="D1282" s="318">
        <v>43896</v>
      </c>
      <c r="E1282" s="570"/>
      <c r="F1282" s="88" t="s">
        <v>4348</v>
      </c>
      <c r="G1282" s="88" t="s">
        <v>152</v>
      </c>
      <c r="H1282" s="98" t="s">
        <v>220</v>
      </c>
      <c r="I1282" s="98" t="s">
        <v>722</v>
      </c>
      <c r="J1282" s="75">
        <f t="shared" si="119"/>
        <v>1</v>
      </c>
      <c r="K1282" s="76" t="s">
        <v>211</v>
      </c>
      <c r="N1282" s="78" t="s">
        <v>17</v>
      </c>
      <c r="Q1282" s="78" t="s">
        <v>2097</v>
      </c>
      <c r="R1282" s="75">
        <f t="shared" si="120"/>
        <v>1</v>
      </c>
      <c r="S1282" s="263" t="s">
        <v>1991</v>
      </c>
      <c r="T1282" s="263"/>
      <c r="U1282" s="263"/>
      <c r="V1282" s="263"/>
      <c r="W1282" s="263"/>
      <c r="X1282" s="263"/>
      <c r="Y1282" s="575"/>
      <c r="Z1282" s="575"/>
      <c r="AA1282" s="576">
        <f t="shared" si="121"/>
        <v>0</v>
      </c>
      <c r="AB1282" s="722"/>
    </row>
    <row r="1283" spans="1:28" ht="15" customHeight="1" x14ac:dyDescent="0.35">
      <c r="A1283" s="98" t="s">
        <v>4254</v>
      </c>
      <c r="C1283" s="118">
        <v>43859</v>
      </c>
      <c r="D1283" s="318">
        <v>43896</v>
      </c>
      <c r="E1283" s="570"/>
      <c r="F1283" s="88" t="s">
        <v>4255</v>
      </c>
      <c r="G1283" s="88" t="s">
        <v>195</v>
      </c>
      <c r="H1283" s="98" t="s">
        <v>220</v>
      </c>
      <c r="I1283" s="98" t="s">
        <v>722</v>
      </c>
      <c r="J1283" s="75">
        <f t="shared" si="119"/>
        <v>1</v>
      </c>
      <c r="K1283" s="76" t="s">
        <v>211</v>
      </c>
      <c r="N1283" s="78" t="s">
        <v>18</v>
      </c>
      <c r="Q1283" s="78" t="s">
        <v>2130</v>
      </c>
      <c r="R1283" s="75">
        <f t="shared" si="120"/>
        <v>1</v>
      </c>
      <c r="S1283" s="263" t="s">
        <v>1991</v>
      </c>
      <c r="T1283" s="263"/>
      <c r="U1283" s="263"/>
      <c r="V1283" s="263"/>
      <c r="W1283" s="263"/>
      <c r="X1283" s="263"/>
      <c r="Y1283" s="575"/>
      <c r="Z1283" s="575"/>
      <c r="AA1283" s="576">
        <f t="shared" si="121"/>
        <v>0</v>
      </c>
      <c r="AB1283" s="722"/>
    </row>
    <row r="1284" spans="1:28" ht="15" customHeight="1" x14ac:dyDescent="0.35">
      <c r="A1284" s="98" t="s">
        <v>4216</v>
      </c>
      <c r="C1284" s="118">
        <v>43859</v>
      </c>
      <c r="D1284" s="318">
        <v>43896</v>
      </c>
      <c r="E1284" s="570"/>
      <c r="F1284" s="88" t="s">
        <v>4217</v>
      </c>
      <c r="G1284" s="88" t="s">
        <v>152</v>
      </c>
      <c r="H1284" s="98" t="s">
        <v>220</v>
      </c>
      <c r="I1284" s="98" t="s">
        <v>722</v>
      </c>
      <c r="J1284" s="75">
        <f t="shared" si="119"/>
        <v>1</v>
      </c>
      <c r="K1284" s="76" t="s">
        <v>211</v>
      </c>
      <c r="N1284" s="78" t="s">
        <v>18</v>
      </c>
      <c r="Q1284" s="78" t="s">
        <v>2056</v>
      </c>
      <c r="R1284" s="75">
        <f t="shared" si="120"/>
        <v>1</v>
      </c>
      <c r="S1284" s="263" t="s">
        <v>1991</v>
      </c>
      <c r="T1284" s="263"/>
      <c r="U1284" s="263"/>
      <c r="V1284" s="263"/>
      <c r="W1284" s="263"/>
      <c r="X1284" s="263"/>
      <c r="Y1284" s="575"/>
      <c r="Z1284" s="575"/>
      <c r="AA1284" s="576">
        <f t="shared" si="121"/>
        <v>0</v>
      </c>
      <c r="AB1284" s="722"/>
    </row>
    <row r="1285" spans="1:28" ht="15" customHeight="1" x14ac:dyDescent="0.35">
      <c r="A1285" s="98" t="s">
        <v>4256</v>
      </c>
      <c r="C1285" s="118">
        <v>43859</v>
      </c>
      <c r="D1285" s="318">
        <v>43896</v>
      </c>
      <c r="E1285" s="570"/>
      <c r="F1285" s="88" t="s">
        <v>4257</v>
      </c>
      <c r="G1285" s="88" t="s">
        <v>162</v>
      </c>
      <c r="H1285" s="98" t="s">
        <v>220</v>
      </c>
      <c r="I1285" s="98" t="s">
        <v>722</v>
      </c>
      <c r="J1285" s="75">
        <f t="shared" si="119"/>
        <v>1</v>
      </c>
      <c r="K1285" s="76" t="s">
        <v>211</v>
      </c>
      <c r="N1285" s="78" t="s">
        <v>18</v>
      </c>
      <c r="Q1285" s="78" t="s">
        <v>2130</v>
      </c>
      <c r="R1285" s="75">
        <f t="shared" si="120"/>
        <v>1</v>
      </c>
      <c r="S1285" s="263" t="s">
        <v>1991</v>
      </c>
      <c r="T1285" s="263"/>
      <c r="U1285" s="263"/>
      <c r="V1285" s="263"/>
      <c r="W1285" s="263"/>
      <c r="X1285" s="263"/>
      <c r="Y1285" s="575"/>
      <c r="Z1285" s="575"/>
      <c r="AA1285" s="576">
        <f t="shared" si="121"/>
        <v>0</v>
      </c>
      <c r="AB1285" s="722"/>
    </row>
    <row r="1286" spans="1:28" ht="15" customHeight="1" x14ac:dyDescent="0.35">
      <c r="A1286" s="98" t="s">
        <v>4218</v>
      </c>
      <c r="C1286" s="118">
        <v>43860</v>
      </c>
      <c r="D1286" s="318">
        <v>43896</v>
      </c>
      <c r="E1286" s="570"/>
      <c r="F1286" s="88" t="s">
        <v>4219</v>
      </c>
      <c r="G1286" s="88" t="s">
        <v>176</v>
      </c>
      <c r="H1286" s="98" t="s">
        <v>220</v>
      </c>
      <c r="I1286" s="98" t="s">
        <v>649</v>
      </c>
      <c r="J1286" s="75">
        <f t="shared" si="119"/>
        <v>1</v>
      </c>
      <c r="K1286" s="76" t="s">
        <v>211</v>
      </c>
      <c r="N1286" s="78" t="s">
        <v>18</v>
      </c>
      <c r="Q1286" s="78" t="s">
        <v>2056</v>
      </c>
      <c r="R1286" s="75">
        <f t="shared" si="120"/>
        <v>1</v>
      </c>
      <c r="S1286" s="263" t="s">
        <v>1991</v>
      </c>
      <c r="T1286" s="263"/>
      <c r="U1286" s="263"/>
      <c r="V1286" s="263"/>
      <c r="W1286" s="263"/>
      <c r="X1286" s="263"/>
      <c r="Y1286" s="575"/>
      <c r="Z1286" s="575"/>
      <c r="AA1286" s="576">
        <f t="shared" si="121"/>
        <v>0</v>
      </c>
      <c r="AB1286" s="722"/>
    </row>
    <row r="1287" spans="1:28" ht="15" customHeight="1" x14ac:dyDescent="0.35">
      <c r="A1287" s="98" t="s">
        <v>4260</v>
      </c>
      <c r="C1287" s="118">
        <v>43860</v>
      </c>
      <c r="D1287" s="318">
        <v>43896</v>
      </c>
      <c r="E1287" s="570"/>
      <c r="F1287" s="88" t="s">
        <v>4261</v>
      </c>
      <c r="G1287" s="88" t="s">
        <v>158</v>
      </c>
      <c r="H1287" s="98" t="s">
        <v>220</v>
      </c>
      <c r="I1287" s="98" t="s">
        <v>649</v>
      </c>
      <c r="J1287" s="75">
        <f t="shared" si="119"/>
        <v>1</v>
      </c>
      <c r="K1287" s="76" t="s">
        <v>211</v>
      </c>
      <c r="N1287" s="78" t="s">
        <v>18</v>
      </c>
      <c r="Q1287" s="78" t="s">
        <v>2130</v>
      </c>
      <c r="R1287" s="75">
        <f t="shared" si="120"/>
        <v>1</v>
      </c>
      <c r="S1287" s="263" t="s">
        <v>1991</v>
      </c>
      <c r="T1287" s="263"/>
      <c r="U1287" s="263"/>
      <c r="V1287" s="263"/>
      <c r="W1287" s="263"/>
      <c r="X1287" s="263"/>
      <c r="Y1287" s="575"/>
      <c r="Z1287" s="575"/>
      <c r="AA1287" s="576">
        <f t="shared" si="121"/>
        <v>0</v>
      </c>
      <c r="AB1287" s="722"/>
    </row>
    <row r="1288" spans="1:28" ht="15" customHeight="1" x14ac:dyDescent="0.35">
      <c r="A1288" s="98" t="s">
        <v>4297</v>
      </c>
      <c r="C1288" s="118">
        <v>43860</v>
      </c>
      <c r="D1288" s="318">
        <v>43896</v>
      </c>
      <c r="E1288" s="570"/>
      <c r="F1288" s="88" t="s">
        <v>4298</v>
      </c>
      <c r="G1288" s="88" t="s">
        <v>149</v>
      </c>
      <c r="H1288" s="98" t="s">
        <v>220</v>
      </c>
      <c r="I1288" s="98" t="s">
        <v>722</v>
      </c>
      <c r="J1288" s="75">
        <f t="shared" si="119"/>
        <v>1</v>
      </c>
      <c r="K1288" s="76" t="s">
        <v>211</v>
      </c>
      <c r="N1288" s="78" t="s">
        <v>17</v>
      </c>
      <c r="Q1288" s="78" t="s">
        <v>2163</v>
      </c>
      <c r="R1288" s="75">
        <f t="shared" si="120"/>
        <v>1</v>
      </c>
      <c r="S1288" s="263" t="s">
        <v>1991</v>
      </c>
      <c r="T1288" s="263"/>
      <c r="U1288" s="263"/>
      <c r="V1288" s="263"/>
      <c r="W1288" s="263"/>
      <c r="X1288" s="263"/>
      <c r="Y1288" s="575"/>
      <c r="Z1288" s="575"/>
      <c r="AA1288" s="576">
        <f t="shared" si="121"/>
        <v>0</v>
      </c>
      <c r="AB1288" s="722"/>
    </row>
    <row r="1289" spans="1:28" ht="15" customHeight="1" x14ac:dyDescent="0.35">
      <c r="A1289" s="98" t="s">
        <v>4355</v>
      </c>
      <c r="C1289" s="118">
        <v>43860</v>
      </c>
      <c r="D1289" s="318">
        <v>43896</v>
      </c>
      <c r="E1289" s="570"/>
      <c r="F1289" s="88" t="s">
        <v>4356</v>
      </c>
      <c r="G1289" s="88" t="s">
        <v>154</v>
      </c>
      <c r="H1289" s="98" t="s">
        <v>220</v>
      </c>
      <c r="I1289" s="98" t="s">
        <v>730</v>
      </c>
      <c r="J1289" s="75">
        <f t="shared" si="119"/>
        <v>1</v>
      </c>
      <c r="K1289" s="76" t="s">
        <v>211</v>
      </c>
      <c r="N1289" s="78" t="s">
        <v>17</v>
      </c>
      <c r="Q1289" s="78" t="s">
        <v>2097</v>
      </c>
      <c r="R1289" s="75">
        <f t="shared" si="120"/>
        <v>1</v>
      </c>
      <c r="S1289" s="263" t="s">
        <v>1991</v>
      </c>
      <c r="T1289" s="263"/>
      <c r="U1289" s="263"/>
      <c r="V1289" s="263"/>
      <c r="W1289" s="263"/>
      <c r="X1289" s="263"/>
      <c r="Y1289" s="575"/>
      <c r="Z1289" s="575"/>
      <c r="AA1289" s="576">
        <f t="shared" si="121"/>
        <v>0</v>
      </c>
      <c r="AB1289" s="722"/>
    </row>
    <row r="1290" spans="1:28" ht="15" customHeight="1" x14ac:dyDescent="0.35">
      <c r="A1290" s="81" t="s">
        <v>4576</v>
      </c>
      <c r="C1290" s="118">
        <v>43867</v>
      </c>
      <c r="D1290" s="318">
        <v>43892</v>
      </c>
      <c r="E1290" s="570"/>
      <c r="F1290" s="88" t="s">
        <v>4671</v>
      </c>
      <c r="G1290" s="88" t="s">
        <v>154</v>
      </c>
      <c r="H1290" s="98" t="s">
        <v>220</v>
      </c>
      <c r="I1290" s="98" t="s">
        <v>1213</v>
      </c>
      <c r="J1290" s="75">
        <f t="shared" si="119"/>
        <v>1</v>
      </c>
      <c r="K1290" s="76" t="s">
        <v>211</v>
      </c>
      <c r="N1290" s="78" t="s">
        <v>18</v>
      </c>
      <c r="Q1290" s="78" t="s">
        <v>2056</v>
      </c>
      <c r="R1290" s="75">
        <f t="shared" si="120"/>
        <v>1</v>
      </c>
      <c r="S1290" s="263" t="s">
        <v>1991</v>
      </c>
      <c r="T1290" s="263"/>
      <c r="U1290" s="263"/>
      <c r="V1290" s="263"/>
      <c r="W1290" s="263"/>
      <c r="X1290" s="263"/>
      <c r="Y1290" s="575"/>
      <c r="Z1290" s="575"/>
      <c r="AA1290" s="576">
        <f t="shared" si="121"/>
        <v>0</v>
      </c>
      <c r="AB1290" s="722"/>
    </row>
    <row r="1291" spans="1:28" ht="15" customHeight="1" x14ac:dyDescent="0.35">
      <c r="A1291" s="81" t="s">
        <v>4577</v>
      </c>
      <c r="C1291" s="118">
        <v>43867</v>
      </c>
      <c r="D1291" s="318">
        <v>43892</v>
      </c>
      <c r="E1291" s="570"/>
      <c r="F1291" s="88" t="s">
        <v>4672</v>
      </c>
      <c r="G1291" s="88" t="s">
        <v>154</v>
      </c>
      <c r="H1291" s="98" t="s">
        <v>220</v>
      </c>
      <c r="I1291" s="98" t="s">
        <v>730</v>
      </c>
      <c r="J1291" s="75">
        <f t="shared" si="119"/>
        <v>1</v>
      </c>
      <c r="K1291" s="76" t="s">
        <v>211</v>
      </c>
      <c r="L1291" s="99" t="s">
        <v>4760</v>
      </c>
      <c r="N1291" s="78" t="s">
        <v>18</v>
      </c>
      <c r="Q1291" s="78" t="s">
        <v>2130</v>
      </c>
      <c r="R1291" s="75">
        <f t="shared" si="120"/>
        <v>1</v>
      </c>
      <c r="S1291" s="263" t="s">
        <v>1991</v>
      </c>
      <c r="T1291" s="263"/>
      <c r="U1291" s="263"/>
      <c r="V1291" s="263"/>
      <c r="W1291" s="263"/>
      <c r="X1291" s="263"/>
      <c r="Y1291" s="575"/>
      <c r="Z1291" s="575"/>
      <c r="AA1291" s="576">
        <f t="shared" si="121"/>
        <v>0</v>
      </c>
      <c r="AB1291" s="722"/>
    </row>
    <row r="1292" spans="1:28" ht="15" customHeight="1" x14ac:dyDescent="0.35">
      <c r="A1292" s="81" t="s">
        <v>4579</v>
      </c>
      <c r="C1292" s="118">
        <v>43867</v>
      </c>
      <c r="D1292" s="318">
        <v>43892</v>
      </c>
      <c r="E1292" s="570"/>
      <c r="F1292" s="88" t="s">
        <v>4674</v>
      </c>
      <c r="G1292" s="88" t="s">
        <v>160</v>
      </c>
      <c r="H1292" s="98" t="s">
        <v>220</v>
      </c>
      <c r="I1292" s="98" t="s">
        <v>656</v>
      </c>
      <c r="J1292" s="75">
        <f t="shared" si="119"/>
        <v>1</v>
      </c>
      <c r="K1292" s="76" t="s">
        <v>211</v>
      </c>
      <c r="N1292" s="78" t="s">
        <v>17</v>
      </c>
      <c r="Q1292" s="78" t="s">
        <v>2097</v>
      </c>
      <c r="R1292" s="75">
        <f t="shared" si="120"/>
        <v>1</v>
      </c>
      <c r="S1292" s="263" t="s">
        <v>1991</v>
      </c>
      <c r="T1292" s="263"/>
      <c r="U1292" s="263"/>
      <c r="V1292" s="263"/>
      <c r="W1292" s="263"/>
      <c r="X1292" s="263"/>
      <c r="Y1292" s="575"/>
      <c r="Z1292" s="575"/>
      <c r="AA1292" s="576">
        <f t="shared" si="121"/>
        <v>0</v>
      </c>
      <c r="AB1292" s="722"/>
    </row>
    <row r="1293" spans="1:28" ht="15" customHeight="1" x14ac:dyDescent="0.35">
      <c r="A1293" s="98" t="s">
        <v>4581</v>
      </c>
      <c r="C1293" s="118">
        <v>43867</v>
      </c>
      <c r="D1293" s="318">
        <v>43892</v>
      </c>
      <c r="E1293" s="570"/>
      <c r="F1293" s="88" t="s">
        <v>4676</v>
      </c>
      <c r="G1293" s="88" t="s">
        <v>1051</v>
      </c>
      <c r="H1293" s="98" t="s">
        <v>220</v>
      </c>
      <c r="I1293" s="98" t="s">
        <v>2516</v>
      </c>
      <c r="J1293" s="75">
        <f t="shared" ref="J1293:J1320" si="122">IF(OR(K1293="Документы готовы",K1293="Запрос в ФО",K1293="ЭЗ",K1293="РЕШ",K1293="РЕШ шаблон"),0.1,IF(OR(K1293="ЭЗ согласование",K1293="РЕШ согласование"),0.3,IF(OR(K1293="ЭЗ согласовано",K1293="РЕШ согласовано",K1293="РЕШ подписано"),0.6,IF(OR(K1293="ЭЗ ПР согласование",K1293="РЕШ УВ согласование"),0.9,IF(OR(K1293="ЭЗ ПР DONE",K1293="РЕШ УВ DONE"),1,0)))))</f>
        <v>1</v>
      </c>
      <c r="K1293" s="76" t="s">
        <v>211</v>
      </c>
      <c r="N1293" s="78" t="s">
        <v>17</v>
      </c>
      <c r="Q1293" s="78" t="s">
        <v>2163</v>
      </c>
      <c r="R1293" s="75">
        <f t="shared" ref="R1293:R1320" si="123">IF(S1293="В работе",0.3,IF(S1293="Отписано",0.6,IF(S1293="На доработку",0.9,IF(S1293="Согласовано",1,0))))</f>
        <v>1</v>
      </c>
      <c r="S1293" s="263" t="s">
        <v>1991</v>
      </c>
      <c r="T1293" s="263"/>
      <c r="U1293" s="263"/>
      <c r="V1293" s="263"/>
      <c r="W1293" s="263"/>
      <c r="X1293" s="263"/>
      <c r="Y1293" s="575"/>
      <c r="Z1293" s="575"/>
      <c r="AA1293" s="576">
        <f t="shared" si="121"/>
        <v>0</v>
      </c>
      <c r="AB1293" s="722"/>
    </row>
    <row r="1294" spans="1:28" ht="15" customHeight="1" x14ac:dyDescent="0.35">
      <c r="A1294" s="81" t="s">
        <v>4584</v>
      </c>
      <c r="C1294" s="118">
        <v>43867</v>
      </c>
      <c r="D1294" s="318">
        <v>43892</v>
      </c>
      <c r="E1294" s="570"/>
      <c r="F1294" s="88" t="s">
        <v>4679</v>
      </c>
      <c r="G1294" s="88" t="s">
        <v>152</v>
      </c>
      <c r="H1294" s="98" t="s">
        <v>220</v>
      </c>
      <c r="I1294" s="98" t="s">
        <v>3260</v>
      </c>
      <c r="J1294" s="75">
        <f t="shared" si="122"/>
        <v>1</v>
      </c>
      <c r="K1294" s="76" t="s">
        <v>211</v>
      </c>
      <c r="N1294" s="78" t="s">
        <v>19</v>
      </c>
      <c r="Q1294" s="78" t="s">
        <v>2056</v>
      </c>
      <c r="R1294" s="75">
        <f t="shared" si="123"/>
        <v>1</v>
      </c>
      <c r="S1294" s="263" t="s">
        <v>1991</v>
      </c>
      <c r="T1294" s="263"/>
      <c r="U1294" s="263"/>
      <c r="V1294" s="263"/>
      <c r="W1294" s="263"/>
      <c r="X1294" s="263"/>
      <c r="Y1294" s="575"/>
      <c r="Z1294" s="575"/>
      <c r="AA1294" s="576">
        <f t="shared" si="121"/>
        <v>0</v>
      </c>
      <c r="AB1294" s="722"/>
    </row>
    <row r="1295" spans="1:28" ht="15" customHeight="1" x14ac:dyDescent="0.35">
      <c r="A1295" s="81" t="s">
        <v>4585</v>
      </c>
      <c r="C1295" s="118">
        <v>43867</v>
      </c>
      <c r="D1295" s="318">
        <v>43892</v>
      </c>
      <c r="E1295" s="570"/>
      <c r="F1295" s="88" t="s">
        <v>4680</v>
      </c>
      <c r="G1295" s="88" t="s">
        <v>152</v>
      </c>
      <c r="H1295" s="98" t="s">
        <v>220</v>
      </c>
      <c r="I1295" s="98" t="s">
        <v>982</v>
      </c>
      <c r="J1295" s="75">
        <f t="shared" si="122"/>
        <v>1</v>
      </c>
      <c r="K1295" s="76" t="s">
        <v>211</v>
      </c>
      <c r="N1295" s="78" t="s">
        <v>17</v>
      </c>
      <c r="Q1295" s="78" t="s">
        <v>2447</v>
      </c>
      <c r="R1295" s="75">
        <f t="shared" si="123"/>
        <v>1</v>
      </c>
      <c r="S1295" s="263" t="s">
        <v>1991</v>
      </c>
      <c r="T1295" s="263"/>
      <c r="U1295" s="263"/>
      <c r="V1295" s="263"/>
      <c r="W1295" s="263"/>
      <c r="X1295" s="263"/>
      <c r="Y1295" s="575"/>
      <c r="Z1295" s="575"/>
      <c r="AA1295" s="576">
        <f t="shared" si="121"/>
        <v>0</v>
      </c>
      <c r="AB1295" s="722"/>
    </row>
    <row r="1296" spans="1:28" ht="15" customHeight="1" x14ac:dyDescent="0.35">
      <c r="A1296" s="81" t="s">
        <v>4586</v>
      </c>
      <c r="C1296" s="118">
        <v>43867</v>
      </c>
      <c r="D1296" s="118">
        <v>43892</v>
      </c>
      <c r="E1296" s="570"/>
      <c r="F1296" s="88" t="s">
        <v>4681</v>
      </c>
      <c r="G1296" s="88" t="s">
        <v>154</v>
      </c>
      <c r="H1296" s="98" t="s">
        <v>220</v>
      </c>
      <c r="J1296" s="75">
        <f t="shared" si="122"/>
        <v>1</v>
      </c>
      <c r="K1296" s="76" t="s">
        <v>221</v>
      </c>
      <c r="Q1296" s="78" t="s">
        <v>2447</v>
      </c>
      <c r="R1296" s="75">
        <f t="shared" si="123"/>
        <v>1</v>
      </c>
      <c r="S1296" s="263" t="s">
        <v>1991</v>
      </c>
      <c r="T1296" s="263"/>
      <c r="U1296" s="263"/>
      <c r="V1296" s="263"/>
      <c r="W1296" s="263"/>
      <c r="X1296" s="263"/>
      <c r="Y1296" s="575"/>
      <c r="Z1296" s="575"/>
      <c r="AA1296" s="576">
        <f t="shared" si="121"/>
        <v>0</v>
      </c>
      <c r="AB1296" s="722"/>
    </row>
    <row r="1297" spans="1:28" ht="15" customHeight="1" x14ac:dyDescent="0.35">
      <c r="A1297" s="81" t="s">
        <v>4587</v>
      </c>
      <c r="C1297" s="118">
        <v>43867</v>
      </c>
      <c r="D1297" s="118">
        <v>43892</v>
      </c>
      <c r="E1297" s="570"/>
      <c r="F1297" s="88" t="s">
        <v>4682</v>
      </c>
      <c r="G1297" s="88" t="s">
        <v>156</v>
      </c>
      <c r="H1297" s="98" t="s">
        <v>220</v>
      </c>
      <c r="J1297" s="75">
        <f t="shared" si="122"/>
        <v>1</v>
      </c>
      <c r="K1297" s="76" t="s">
        <v>221</v>
      </c>
      <c r="Q1297" s="78" t="s">
        <v>2447</v>
      </c>
      <c r="R1297" s="75">
        <f t="shared" si="123"/>
        <v>1</v>
      </c>
      <c r="S1297" s="263" t="s">
        <v>1991</v>
      </c>
      <c r="T1297" s="263"/>
      <c r="U1297" s="263"/>
      <c r="V1297" s="263"/>
      <c r="W1297" s="263"/>
      <c r="X1297" s="263"/>
      <c r="Y1297" s="575"/>
      <c r="Z1297" s="575"/>
      <c r="AA1297" s="576">
        <f t="shared" si="121"/>
        <v>0</v>
      </c>
      <c r="AB1297" s="722"/>
    </row>
    <row r="1298" spans="1:28" ht="15" customHeight="1" x14ac:dyDescent="0.35">
      <c r="A1298" s="81" t="s">
        <v>4589</v>
      </c>
      <c r="C1298" s="118">
        <v>43867</v>
      </c>
      <c r="D1298" s="318">
        <v>43892</v>
      </c>
      <c r="E1298" s="570"/>
      <c r="F1298" s="88" t="s">
        <v>4684</v>
      </c>
      <c r="G1298" s="88" t="s">
        <v>154</v>
      </c>
      <c r="H1298" s="98" t="s">
        <v>220</v>
      </c>
      <c r="I1298" s="98" t="s">
        <v>656</v>
      </c>
      <c r="J1298" s="75">
        <f t="shared" si="122"/>
        <v>1</v>
      </c>
      <c r="K1298" s="76" t="s">
        <v>211</v>
      </c>
      <c r="N1298" s="78" t="s">
        <v>17</v>
      </c>
      <c r="Q1298" s="78" t="s">
        <v>2097</v>
      </c>
      <c r="R1298" s="75">
        <f t="shared" si="123"/>
        <v>1</v>
      </c>
      <c r="S1298" s="263" t="s">
        <v>1991</v>
      </c>
      <c r="T1298" s="263"/>
      <c r="U1298" s="263"/>
      <c r="V1298" s="263"/>
      <c r="W1298" s="263"/>
      <c r="X1298" s="263"/>
      <c r="Y1298" s="575"/>
      <c r="Z1298" s="575"/>
      <c r="AA1298" s="576">
        <f t="shared" si="121"/>
        <v>0</v>
      </c>
      <c r="AB1298" s="722"/>
    </row>
    <row r="1299" spans="1:28" ht="15" customHeight="1" x14ac:dyDescent="0.35">
      <c r="A1299" s="81" t="s">
        <v>4592</v>
      </c>
      <c r="C1299" s="118">
        <v>43868</v>
      </c>
      <c r="D1299" s="318">
        <v>43893</v>
      </c>
      <c r="E1299" s="570"/>
      <c r="F1299" s="88" t="s">
        <v>4687</v>
      </c>
      <c r="G1299" s="88" t="s">
        <v>158</v>
      </c>
      <c r="H1299" s="98" t="s">
        <v>220</v>
      </c>
      <c r="I1299" s="98" t="s">
        <v>656</v>
      </c>
      <c r="J1299" s="75">
        <f t="shared" si="122"/>
        <v>1</v>
      </c>
      <c r="K1299" s="76" t="s">
        <v>211</v>
      </c>
      <c r="N1299" s="78" t="s">
        <v>19</v>
      </c>
      <c r="Q1299" s="78" t="s">
        <v>2130</v>
      </c>
      <c r="R1299" s="75">
        <f t="shared" si="123"/>
        <v>1</v>
      </c>
      <c r="S1299" s="263" t="s">
        <v>1991</v>
      </c>
      <c r="T1299" s="263"/>
      <c r="U1299" s="263"/>
      <c r="V1299" s="263"/>
      <c r="W1299" s="263"/>
      <c r="X1299" s="263"/>
      <c r="Y1299" s="575"/>
      <c r="Z1299" s="575"/>
      <c r="AA1299" s="576">
        <f t="shared" si="121"/>
        <v>0</v>
      </c>
      <c r="AB1299" s="722"/>
    </row>
    <row r="1300" spans="1:28" ht="15" customHeight="1" x14ac:dyDescent="0.35">
      <c r="A1300" s="81" t="s">
        <v>4595</v>
      </c>
      <c r="C1300" s="118">
        <v>43868</v>
      </c>
      <c r="D1300" s="318">
        <v>43892</v>
      </c>
      <c r="E1300" s="570"/>
      <c r="F1300" s="88" t="s">
        <v>4690</v>
      </c>
      <c r="G1300" s="88" t="s">
        <v>154</v>
      </c>
      <c r="H1300" s="98" t="s">
        <v>220</v>
      </c>
      <c r="I1300" s="98" t="s">
        <v>1122</v>
      </c>
      <c r="J1300" s="75">
        <f t="shared" si="122"/>
        <v>1</v>
      </c>
      <c r="K1300" s="76" t="s">
        <v>211</v>
      </c>
      <c r="N1300" s="78" t="s">
        <v>18</v>
      </c>
      <c r="Q1300" s="78" t="s">
        <v>2056</v>
      </c>
      <c r="R1300" s="75">
        <f t="shared" si="123"/>
        <v>1</v>
      </c>
      <c r="S1300" s="263" t="s">
        <v>1991</v>
      </c>
      <c r="T1300" s="263"/>
      <c r="U1300" s="263"/>
      <c r="V1300" s="263"/>
      <c r="W1300" s="263"/>
      <c r="X1300" s="263"/>
      <c r="Y1300" s="575"/>
      <c r="Z1300" s="575"/>
      <c r="AA1300" s="576">
        <f t="shared" si="121"/>
        <v>0</v>
      </c>
      <c r="AB1300" s="722"/>
    </row>
    <row r="1301" spans="1:28" ht="15" customHeight="1" x14ac:dyDescent="0.35">
      <c r="A1301" s="98" t="s">
        <v>4596</v>
      </c>
      <c r="C1301" s="118">
        <v>43868</v>
      </c>
      <c r="D1301" s="318">
        <v>43893</v>
      </c>
      <c r="E1301" s="570"/>
      <c r="F1301" s="88" t="s">
        <v>4691</v>
      </c>
      <c r="G1301" s="88" t="s">
        <v>154</v>
      </c>
      <c r="H1301" s="98" t="s">
        <v>220</v>
      </c>
      <c r="I1301" s="98" t="s">
        <v>656</v>
      </c>
      <c r="J1301" s="75">
        <f t="shared" si="122"/>
        <v>1</v>
      </c>
      <c r="K1301" s="76" t="s">
        <v>211</v>
      </c>
      <c r="N1301" s="78" t="s">
        <v>18</v>
      </c>
      <c r="Q1301" s="78" t="s">
        <v>2130</v>
      </c>
      <c r="R1301" s="75">
        <f t="shared" si="123"/>
        <v>1</v>
      </c>
      <c r="S1301" s="263" t="s">
        <v>1991</v>
      </c>
      <c r="T1301" s="263"/>
      <c r="U1301" s="263"/>
      <c r="V1301" s="263"/>
      <c r="W1301" s="263"/>
      <c r="X1301" s="263"/>
      <c r="Y1301" s="575"/>
      <c r="Z1301" s="575"/>
      <c r="AA1301" s="576">
        <f t="shared" si="121"/>
        <v>0</v>
      </c>
      <c r="AB1301" s="722"/>
    </row>
    <row r="1302" spans="1:28" ht="15" customHeight="1" x14ac:dyDescent="0.35">
      <c r="A1302" s="98" t="s">
        <v>4597</v>
      </c>
      <c r="C1302" s="118">
        <v>43868</v>
      </c>
      <c r="D1302" s="318">
        <v>43893</v>
      </c>
      <c r="E1302" s="570"/>
      <c r="F1302" s="88" t="s">
        <v>4692</v>
      </c>
      <c r="G1302" s="88" t="s">
        <v>154</v>
      </c>
      <c r="H1302" s="98" t="s">
        <v>220</v>
      </c>
      <c r="I1302" s="98" t="s">
        <v>656</v>
      </c>
      <c r="J1302" s="75">
        <f t="shared" si="122"/>
        <v>1</v>
      </c>
      <c r="K1302" s="76" t="s">
        <v>211</v>
      </c>
      <c r="N1302" s="78" t="s">
        <v>18</v>
      </c>
      <c r="Q1302" s="78" t="s">
        <v>2163</v>
      </c>
      <c r="R1302" s="75">
        <f t="shared" si="123"/>
        <v>1</v>
      </c>
      <c r="S1302" s="263" t="s">
        <v>1991</v>
      </c>
      <c r="T1302" s="263"/>
      <c r="U1302" s="263"/>
      <c r="V1302" s="263"/>
      <c r="W1302" s="263"/>
      <c r="X1302" s="263"/>
      <c r="Y1302" s="575"/>
      <c r="Z1302" s="575"/>
      <c r="AA1302" s="576">
        <f t="shared" si="121"/>
        <v>0</v>
      </c>
      <c r="AB1302" s="722"/>
    </row>
    <row r="1303" spans="1:28" ht="15" customHeight="1" x14ac:dyDescent="0.35">
      <c r="A1303" s="81" t="s">
        <v>4599</v>
      </c>
      <c r="C1303" s="118">
        <v>43868</v>
      </c>
      <c r="D1303" s="318">
        <v>43893</v>
      </c>
      <c r="E1303" s="570"/>
      <c r="F1303" s="88" t="s">
        <v>4694</v>
      </c>
      <c r="G1303" s="88" t="s">
        <v>154</v>
      </c>
      <c r="H1303" s="98" t="s">
        <v>220</v>
      </c>
      <c r="I1303" s="98" t="s">
        <v>3221</v>
      </c>
      <c r="J1303" s="75">
        <f t="shared" si="122"/>
        <v>1</v>
      </c>
      <c r="K1303" s="76" t="s">
        <v>211</v>
      </c>
      <c r="N1303" s="78" t="s">
        <v>18</v>
      </c>
      <c r="Q1303" s="78" t="s">
        <v>2097</v>
      </c>
      <c r="R1303" s="75">
        <f t="shared" si="123"/>
        <v>1</v>
      </c>
      <c r="S1303" s="263" t="s">
        <v>1991</v>
      </c>
      <c r="T1303" s="263"/>
      <c r="U1303" s="263"/>
      <c r="V1303" s="263"/>
      <c r="W1303" s="263"/>
      <c r="X1303" s="263"/>
      <c r="Y1303" s="575"/>
      <c r="Z1303" s="575"/>
      <c r="AA1303" s="576">
        <f t="shared" si="121"/>
        <v>0</v>
      </c>
      <c r="AB1303" s="722"/>
    </row>
    <row r="1304" spans="1:28" ht="15" customHeight="1" x14ac:dyDescent="0.35">
      <c r="A1304" s="81" t="s">
        <v>4602</v>
      </c>
      <c r="C1304" s="118">
        <v>43868</v>
      </c>
      <c r="D1304" s="318">
        <v>43893</v>
      </c>
      <c r="E1304" s="570"/>
      <c r="F1304" s="88" t="s">
        <v>4697</v>
      </c>
      <c r="G1304" s="88" t="s">
        <v>154</v>
      </c>
      <c r="H1304" s="98" t="s">
        <v>220</v>
      </c>
      <c r="I1304" s="98" t="s">
        <v>656</v>
      </c>
      <c r="J1304" s="75">
        <f t="shared" si="122"/>
        <v>1</v>
      </c>
      <c r="K1304" s="76" t="s">
        <v>211</v>
      </c>
      <c r="M1304" s="81">
        <v>0</v>
      </c>
      <c r="N1304" s="78" t="s">
        <v>18</v>
      </c>
      <c r="Q1304" s="78" t="s">
        <v>2447</v>
      </c>
      <c r="R1304" s="75">
        <f t="shared" si="123"/>
        <v>1</v>
      </c>
      <c r="S1304" s="263" t="s">
        <v>1991</v>
      </c>
      <c r="T1304" s="263"/>
      <c r="U1304" s="263"/>
      <c r="V1304" s="263"/>
      <c r="W1304" s="263"/>
      <c r="X1304" s="263"/>
      <c r="Y1304" s="575"/>
      <c r="Z1304" s="575"/>
      <c r="AA1304" s="576">
        <f t="shared" si="121"/>
        <v>0</v>
      </c>
      <c r="AB1304" s="722"/>
    </row>
    <row r="1305" spans="1:28" ht="15" customHeight="1" x14ac:dyDescent="0.35">
      <c r="A1305" s="81" t="s">
        <v>4604</v>
      </c>
      <c r="C1305" s="118">
        <v>43868</v>
      </c>
      <c r="D1305" s="118">
        <v>43893</v>
      </c>
      <c r="E1305" s="570"/>
      <c r="F1305" s="88" t="s">
        <v>4699</v>
      </c>
      <c r="G1305" s="88" t="s">
        <v>154</v>
      </c>
      <c r="H1305" s="98" t="s">
        <v>220</v>
      </c>
      <c r="J1305" s="75">
        <f t="shared" si="122"/>
        <v>1</v>
      </c>
      <c r="K1305" s="76" t="s">
        <v>221</v>
      </c>
      <c r="Q1305" s="78" t="s">
        <v>2056</v>
      </c>
      <c r="R1305" s="75">
        <f t="shared" si="123"/>
        <v>1</v>
      </c>
      <c r="S1305" s="263" t="s">
        <v>1991</v>
      </c>
      <c r="T1305" s="263"/>
      <c r="U1305" s="263"/>
      <c r="V1305" s="263"/>
      <c r="W1305" s="263"/>
      <c r="X1305" s="263"/>
      <c r="Y1305" s="575"/>
      <c r="Z1305" s="575"/>
      <c r="AA1305" s="576">
        <f t="shared" si="121"/>
        <v>0</v>
      </c>
      <c r="AB1305" s="722"/>
    </row>
    <row r="1306" spans="1:28" ht="15" customHeight="1" x14ac:dyDescent="0.35">
      <c r="A1306" s="81" t="s">
        <v>4607</v>
      </c>
      <c r="C1306" s="118">
        <v>43868</v>
      </c>
      <c r="D1306" s="318">
        <v>43893</v>
      </c>
      <c r="E1306" s="570"/>
      <c r="F1306" s="88" t="s">
        <v>4702</v>
      </c>
      <c r="G1306" s="88" t="s">
        <v>158</v>
      </c>
      <c r="H1306" s="98" t="s">
        <v>220</v>
      </c>
      <c r="J1306" s="75">
        <f t="shared" si="122"/>
        <v>1</v>
      </c>
      <c r="K1306" s="76" t="s">
        <v>221</v>
      </c>
      <c r="L1306" s="99" t="s">
        <v>4762</v>
      </c>
      <c r="Q1306" s="304" t="s">
        <v>2056</v>
      </c>
      <c r="R1306" s="75">
        <f t="shared" si="123"/>
        <v>1</v>
      </c>
      <c r="S1306" s="263" t="s">
        <v>1991</v>
      </c>
      <c r="T1306" s="263"/>
      <c r="U1306" s="263"/>
      <c r="V1306" s="263"/>
      <c r="W1306" s="263"/>
      <c r="X1306" s="263"/>
      <c r="Y1306" s="575"/>
      <c r="Z1306" s="575"/>
      <c r="AA1306" s="576">
        <f t="shared" si="121"/>
        <v>0</v>
      </c>
      <c r="AB1306" s="722"/>
    </row>
    <row r="1307" spans="1:28" ht="15" customHeight="1" x14ac:dyDescent="0.35">
      <c r="A1307" s="98" t="s">
        <v>4612</v>
      </c>
      <c r="C1307" s="118">
        <v>43871</v>
      </c>
      <c r="D1307" s="318">
        <v>43894</v>
      </c>
      <c r="E1307" s="570"/>
      <c r="F1307" s="88" t="s">
        <v>4707</v>
      </c>
      <c r="G1307" s="88" t="s">
        <v>179</v>
      </c>
      <c r="H1307" s="98" t="s">
        <v>220</v>
      </c>
      <c r="I1307" s="98" t="s">
        <v>665</v>
      </c>
      <c r="J1307" s="75">
        <f t="shared" si="122"/>
        <v>1</v>
      </c>
      <c r="K1307" s="76" t="s">
        <v>211</v>
      </c>
      <c r="N1307" s="78" t="s">
        <v>17</v>
      </c>
      <c r="Q1307" s="78" t="s">
        <v>2163</v>
      </c>
      <c r="R1307" s="75">
        <f t="shared" si="123"/>
        <v>1</v>
      </c>
      <c r="S1307" s="263" t="s">
        <v>1991</v>
      </c>
      <c r="T1307" s="263"/>
      <c r="U1307" s="263"/>
      <c r="V1307" s="263"/>
      <c r="W1307" s="263"/>
      <c r="X1307" s="263"/>
      <c r="Y1307" s="575"/>
      <c r="Z1307" s="575"/>
      <c r="AA1307" s="576">
        <f t="shared" si="121"/>
        <v>0</v>
      </c>
      <c r="AB1307" s="722"/>
    </row>
    <row r="1308" spans="1:28" ht="15" customHeight="1" x14ac:dyDescent="0.35">
      <c r="A1308" s="98" t="s">
        <v>4616</v>
      </c>
      <c r="C1308" s="118">
        <v>43871</v>
      </c>
      <c r="D1308" s="318">
        <v>43894</v>
      </c>
      <c r="E1308" s="570"/>
      <c r="F1308" s="88" t="s">
        <v>4711</v>
      </c>
      <c r="G1308" s="88" t="s">
        <v>160</v>
      </c>
      <c r="H1308" s="98" t="s">
        <v>220</v>
      </c>
      <c r="I1308" s="98" t="s">
        <v>2516</v>
      </c>
      <c r="J1308" s="75">
        <f t="shared" si="122"/>
        <v>1</v>
      </c>
      <c r="K1308" s="76" t="s">
        <v>211</v>
      </c>
      <c r="N1308" s="78" t="s">
        <v>17</v>
      </c>
      <c r="Q1308" s="78" t="s">
        <v>2056</v>
      </c>
      <c r="R1308" s="75">
        <f t="shared" si="123"/>
        <v>1</v>
      </c>
      <c r="S1308" s="263" t="s">
        <v>1991</v>
      </c>
      <c r="T1308" s="263"/>
      <c r="U1308" s="263"/>
      <c r="V1308" s="263"/>
      <c r="W1308" s="263"/>
      <c r="X1308" s="263"/>
      <c r="Y1308" s="575"/>
      <c r="Z1308" s="575"/>
      <c r="AA1308" s="576">
        <f t="shared" si="121"/>
        <v>0</v>
      </c>
      <c r="AB1308" s="722"/>
    </row>
    <row r="1309" spans="1:28" ht="15" customHeight="1" x14ac:dyDescent="0.35">
      <c r="A1309" s="81" t="s">
        <v>4618</v>
      </c>
      <c r="C1309" s="118">
        <v>43871</v>
      </c>
      <c r="D1309" s="318">
        <v>43894</v>
      </c>
      <c r="E1309" s="570"/>
      <c r="F1309" s="88" t="s">
        <v>4713</v>
      </c>
      <c r="G1309" s="88" t="s">
        <v>154</v>
      </c>
      <c r="H1309" s="98" t="s">
        <v>220</v>
      </c>
      <c r="I1309" s="98" t="s">
        <v>652</v>
      </c>
      <c r="J1309" s="75">
        <f t="shared" si="122"/>
        <v>1</v>
      </c>
      <c r="K1309" s="76" t="s">
        <v>211</v>
      </c>
      <c r="L1309" s="99" t="s">
        <v>4770</v>
      </c>
      <c r="N1309" s="78" t="s">
        <v>19</v>
      </c>
      <c r="Q1309" s="78" t="s">
        <v>2130</v>
      </c>
      <c r="R1309" s="75">
        <f t="shared" si="123"/>
        <v>1</v>
      </c>
      <c r="S1309" s="263" t="s">
        <v>1991</v>
      </c>
      <c r="T1309" s="263"/>
      <c r="U1309" s="263"/>
      <c r="V1309" s="263"/>
      <c r="W1309" s="263"/>
      <c r="X1309" s="263"/>
      <c r="Y1309" s="575"/>
      <c r="Z1309" s="575"/>
      <c r="AA1309" s="576">
        <f t="shared" si="121"/>
        <v>0</v>
      </c>
      <c r="AB1309" s="722"/>
    </row>
    <row r="1310" spans="1:28" ht="15" customHeight="1" x14ac:dyDescent="0.35">
      <c r="A1310" s="98" t="s">
        <v>4619</v>
      </c>
      <c r="C1310" s="118">
        <v>43871</v>
      </c>
      <c r="D1310" s="318">
        <v>43894</v>
      </c>
      <c r="E1310" s="570"/>
      <c r="F1310" s="88" t="s">
        <v>4714</v>
      </c>
      <c r="G1310" s="88" t="s">
        <v>152</v>
      </c>
      <c r="H1310" s="98" t="s">
        <v>220</v>
      </c>
      <c r="I1310" s="98" t="s">
        <v>656</v>
      </c>
      <c r="J1310" s="75">
        <f t="shared" si="122"/>
        <v>1</v>
      </c>
      <c r="K1310" s="76" t="s">
        <v>211</v>
      </c>
      <c r="N1310" s="78" t="s">
        <v>18</v>
      </c>
      <c r="Q1310" s="78" t="s">
        <v>2056</v>
      </c>
      <c r="R1310" s="75">
        <f t="shared" si="123"/>
        <v>1</v>
      </c>
      <c r="S1310" s="263" t="s">
        <v>1991</v>
      </c>
      <c r="T1310" s="263"/>
      <c r="U1310" s="263"/>
      <c r="V1310" s="263"/>
      <c r="W1310" s="263"/>
      <c r="X1310" s="263"/>
      <c r="Y1310" s="575"/>
      <c r="Z1310" s="575"/>
      <c r="AA1310" s="576">
        <f t="shared" si="121"/>
        <v>0</v>
      </c>
      <c r="AB1310" s="722"/>
    </row>
    <row r="1311" spans="1:28" ht="15" customHeight="1" x14ac:dyDescent="0.35">
      <c r="A1311" s="81" t="s">
        <v>4620</v>
      </c>
      <c r="C1311" s="118">
        <v>43871</v>
      </c>
      <c r="D1311" s="118">
        <v>43893</v>
      </c>
      <c r="E1311" s="570"/>
      <c r="F1311" s="88" t="s">
        <v>4715</v>
      </c>
      <c r="G1311" s="88" t="s">
        <v>162</v>
      </c>
      <c r="H1311" s="98" t="s">
        <v>220</v>
      </c>
      <c r="J1311" s="75">
        <f t="shared" si="122"/>
        <v>1</v>
      </c>
      <c r="K1311" s="76" t="s">
        <v>221</v>
      </c>
      <c r="Q1311" s="78" t="s">
        <v>2056</v>
      </c>
      <c r="R1311" s="75">
        <f t="shared" si="123"/>
        <v>1</v>
      </c>
      <c r="S1311" s="263" t="s">
        <v>1991</v>
      </c>
      <c r="T1311" s="263"/>
      <c r="U1311" s="263"/>
      <c r="V1311" s="263"/>
      <c r="W1311" s="263"/>
      <c r="X1311" s="263"/>
      <c r="Y1311" s="575"/>
      <c r="Z1311" s="575"/>
      <c r="AA1311" s="576">
        <f t="shared" si="121"/>
        <v>0</v>
      </c>
      <c r="AB1311" s="722"/>
    </row>
    <row r="1312" spans="1:28" ht="15" customHeight="1" x14ac:dyDescent="0.35">
      <c r="A1312" s="81" t="s">
        <v>4622</v>
      </c>
      <c r="C1312" s="118">
        <v>43871</v>
      </c>
      <c r="D1312" s="318">
        <v>43894</v>
      </c>
      <c r="E1312" s="570"/>
      <c r="F1312" s="88" t="s">
        <v>4717</v>
      </c>
      <c r="G1312" s="88" t="s">
        <v>545</v>
      </c>
      <c r="H1312" s="98" t="s">
        <v>220</v>
      </c>
      <c r="I1312" s="98" t="s">
        <v>656</v>
      </c>
      <c r="J1312" s="75">
        <f t="shared" si="122"/>
        <v>1</v>
      </c>
      <c r="K1312" s="76" t="s">
        <v>211</v>
      </c>
      <c r="N1312" s="78" t="s">
        <v>17</v>
      </c>
      <c r="Q1312" s="78" t="s">
        <v>2097</v>
      </c>
      <c r="R1312" s="75">
        <f t="shared" si="123"/>
        <v>1</v>
      </c>
      <c r="S1312" s="263" t="s">
        <v>1991</v>
      </c>
      <c r="T1312" s="263"/>
      <c r="U1312" s="263"/>
      <c r="V1312" s="263"/>
      <c r="W1312" s="263"/>
      <c r="X1312" s="263"/>
      <c r="Y1312" s="575"/>
      <c r="Z1312" s="575"/>
      <c r="AA1312" s="576">
        <f t="shared" si="121"/>
        <v>0</v>
      </c>
      <c r="AB1312" s="722"/>
    </row>
    <row r="1313" spans="1:28" ht="15" customHeight="1" x14ac:dyDescent="0.35">
      <c r="A1313" s="81" t="s">
        <v>4625</v>
      </c>
      <c r="C1313" s="118">
        <v>43871</v>
      </c>
      <c r="D1313" s="118">
        <v>43894</v>
      </c>
      <c r="E1313" s="570"/>
      <c r="F1313" s="88" t="s">
        <v>4720</v>
      </c>
      <c r="G1313" s="88" t="s">
        <v>154</v>
      </c>
      <c r="H1313" s="81" t="s">
        <v>1400</v>
      </c>
      <c r="I1313" s="98" t="s">
        <v>652</v>
      </c>
      <c r="J1313" s="75">
        <f t="shared" si="122"/>
        <v>1</v>
      </c>
      <c r="K1313" s="76" t="s">
        <v>221</v>
      </c>
      <c r="Q1313" s="78" t="s">
        <v>2163</v>
      </c>
      <c r="R1313" s="75">
        <f t="shared" si="123"/>
        <v>1</v>
      </c>
      <c r="S1313" s="263" t="s">
        <v>1991</v>
      </c>
      <c r="T1313" s="263"/>
      <c r="U1313" s="263"/>
      <c r="V1313" s="263"/>
      <c r="W1313" s="263"/>
      <c r="X1313" s="263"/>
      <c r="Y1313" s="575"/>
      <c r="Z1313" s="575"/>
      <c r="AA1313" s="576">
        <f t="shared" si="121"/>
        <v>0</v>
      </c>
      <c r="AB1313" s="722"/>
    </row>
    <row r="1314" spans="1:28" ht="15" customHeight="1" x14ac:dyDescent="0.35">
      <c r="A1314" s="81" t="s">
        <v>4628</v>
      </c>
      <c r="C1314" s="118">
        <v>43872</v>
      </c>
      <c r="D1314" s="318">
        <v>43895</v>
      </c>
      <c r="E1314" s="570"/>
      <c r="F1314" s="88" t="s">
        <v>4723</v>
      </c>
      <c r="G1314" s="88" t="s">
        <v>154</v>
      </c>
      <c r="H1314" s="98" t="s">
        <v>220</v>
      </c>
      <c r="I1314" s="98" t="s">
        <v>656</v>
      </c>
      <c r="J1314" s="75">
        <f t="shared" si="122"/>
        <v>1</v>
      </c>
      <c r="K1314" s="76" t="s">
        <v>211</v>
      </c>
      <c r="L1314" s="99" t="s">
        <v>4773</v>
      </c>
      <c r="N1314" s="78" t="s">
        <v>17</v>
      </c>
      <c r="Q1314" s="78" t="s">
        <v>2097</v>
      </c>
      <c r="R1314" s="75">
        <f t="shared" si="123"/>
        <v>1</v>
      </c>
      <c r="S1314" s="263" t="s">
        <v>1991</v>
      </c>
      <c r="T1314" s="263"/>
      <c r="U1314" s="263"/>
      <c r="V1314" s="263"/>
      <c r="W1314" s="263"/>
      <c r="X1314" s="263"/>
      <c r="Y1314" s="575"/>
      <c r="Z1314" s="575"/>
      <c r="AA1314" s="576">
        <f t="shared" si="121"/>
        <v>0</v>
      </c>
      <c r="AB1314" s="722"/>
    </row>
    <row r="1315" spans="1:28" ht="15" customHeight="1" x14ac:dyDescent="0.35">
      <c r="A1315" s="81" t="s">
        <v>4629</v>
      </c>
      <c r="C1315" s="118">
        <v>43872</v>
      </c>
      <c r="D1315" s="318">
        <v>43895</v>
      </c>
      <c r="E1315" s="570"/>
      <c r="F1315" s="88" t="s">
        <v>4724</v>
      </c>
      <c r="G1315" s="88" t="s">
        <v>154</v>
      </c>
      <c r="H1315" s="98" t="s">
        <v>220</v>
      </c>
      <c r="I1315" s="98" t="s">
        <v>4774</v>
      </c>
      <c r="J1315" s="75">
        <f t="shared" si="122"/>
        <v>1</v>
      </c>
      <c r="K1315" s="76" t="s">
        <v>211</v>
      </c>
      <c r="L1315" s="99" t="s">
        <v>4775</v>
      </c>
      <c r="N1315" s="78" t="s">
        <v>18</v>
      </c>
      <c r="Q1315" s="78" t="s">
        <v>2097</v>
      </c>
      <c r="R1315" s="75">
        <f t="shared" si="123"/>
        <v>1</v>
      </c>
      <c r="S1315" s="263" t="s">
        <v>1991</v>
      </c>
      <c r="T1315" s="263"/>
      <c r="U1315" s="263"/>
      <c r="V1315" s="263"/>
      <c r="W1315" s="263"/>
      <c r="X1315" s="263"/>
      <c r="Y1315" s="575"/>
      <c r="Z1315" s="575"/>
      <c r="AA1315" s="576">
        <f t="shared" si="121"/>
        <v>0</v>
      </c>
      <c r="AB1315" s="722"/>
    </row>
    <row r="1316" spans="1:28" ht="15" customHeight="1" x14ac:dyDescent="0.35">
      <c r="A1316" s="81" t="s">
        <v>4630</v>
      </c>
      <c r="C1316" s="118">
        <v>43872</v>
      </c>
      <c r="D1316" s="318">
        <v>43895</v>
      </c>
      <c r="E1316" s="570"/>
      <c r="F1316" s="88" t="s">
        <v>4725</v>
      </c>
      <c r="G1316" s="88" t="s">
        <v>158</v>
      </c>
      <c r="H1316" s="98" t="s">
        <v>220</v>
      </c>
      <c r="I1316" s="98" t="s">
        <v>656</v>
      </c>
      <c r="J1316" s="75">
        <f t="shared" si="122"/>
        <v>1</v>
      </c>
      <c r="K1316" s="76" t="s">
        <v>211</v>
      </c>
      <c r="L1316" s="99" t="s">
        <v>4771</v>
      </c>
      <c r="N1316" s="78" t="s">
        <v>18</v>
      </c>
      <c r="Q1316" s="304" t="s">
        <v>2163</v>
      </c>
      <c r="R1316" s="75">
        <f t="shared" si="123"/>
        <v>1</v>
      </c>
      <c r="S1316" s="263" t="s">
        <v>1991</v>
      </c>
      <c r="T1316" s="263"/>
      <c r="U1316" s="263"/>
      <c r="V1316" s="263"/>
      <c r="W1316" s="263"/>
      <c r="X1316" s="263"/>
      <c r="Y1316" s="575"/>
      <c r="Z1316" s="575"/>
      <c r="AA1316" s="576">
        <f t="shared" si="121"/>
        <v>0</v>
      </c>
      <c r="AB1316" s="722"/>
    </row>
    <row r="1317" spans="1:28" ht="15" customHeight="1" x14ac:dyDescent="0.35">
      <c r="A1317" s="81" t="s">
        <v>4634</v>
      </c>
      <c r="C1317" s="118">
        <v>43872</v>
      </c>
      <c r="D1317" s="318">
        <v>43895</v>
      </c>
      <c r="E1317" s="570"/>
      <c r="F1317" s="88" t="s">
        <v>4729</v>
      </c>
      <c r="G1317" s="88" t="s">
        <v>162</v>
      </c>
      <c r="H1317" s="98" t="s">
        <v>220</v>
      </c>
      <c r="I1317" s="98" t="s">
        <v>656</v>
      </c>
      <c r="J1317" s="75">
        <f t="shared" si="122"/>
        <v>1</v>
      </c>
      <c r="K1317" s="76" t="s">
        <v>211</v>
      </c>
      <c r="L1317" s="99" t="s">
        <v>4778</v>
      </c>
      <c r="N1317" s="78" t="s">
        <v>17</v>
      </c>
      <c r="Q1317" s="78" t="s">
        <v>2163</v>
      </c>
      <c r="R1317" s="75">
        <f t="shared" si="123"/>
        <v>1</v>
      </c>
      <c r="S1317" s="263" t="s">
        <v>1991</v>
      </c>
      <c r="T1317" s="263"/>
      <c r="U1317" s="263"/>
      <c r="V1317" s="263"/>
      <c r="W1317" s="263"/>
      <c r="X1317" s="263"/>
      <c r="Y1317" s="575"/>
      <c r="Z1317" s="575"/>
      <c r="AA1317" s="576">
        <f t="shared" si="121"/>
        <v>0</v>
      </c>
      <c r="AB1317" s="722"/>
    </row>
    <row r="1318" spans="1:28" ht="15" customHeight="1" x14ac:dyDescent="0.35">
      <c r="A1318" s="81" t="s">
        <v>4635</v>
      </c>
      <c r="C1318" s="118">
        <v>43872</v>
      </c>
      <c r="D1318" s="318">
        <v>43894</v>
      </c>
      <c r="E1318" s="570"/>
      <c r="F1318" s="88" t="s">
        <v>4730</v>
      </c>
      <c r="G1318" s="88" t="s">
        <v>158</v>
      </c>
      <c r="H1318" s="98" t="s">
        <v>220</v>
      </c>
      <c r="I1318" s="98" t="s">
        <v>2516</v>
      </c>
      <c r="J1318" s="75">
        <f t="shared" si="122"/>
        <v>1</v>
      </c>
      <c r="K1318" s="76" t="s">
        <v>211</v>
      </c>
      <c r="N1318" s="78" t="s">
        <v>17</v>
      </c>
      <c r="Q1318" s="78" t="s">
        <v>2130</v>
      </c>
      <c r="R1318" s="75">
        <f t="shared" si="123"/>
        <v>1</v>
      </c>
      <c r="S1318" s="263" t="s">
        <v>1991</v>
      </c>
      <c r="T1318" s="263"/>
      <c r="U1318" s="263"/>
      <c r="V1318" s="263"/>
      <c r="W1318" s="263"/>
      <c r="X1318" s="263"/>
      <c r="Y1318" s="575"/>
      <c r="Z1318" s="575"/>
      <c r="AA1318" s="576">
        <f t="shared" si="121"/>
        <v>0</v>
      </c>
      <c r="AB1318" s="722"/>
    </row>
    <row r="1319" spans="1:28" ht="15" customHeight="1" x14ac:dyDescent="0.35">
      <c r="A1319" s="81" t="s">
        <v>4637</v>
      </c>
      <c r="C1319" s="118">
        <v>43872</v>
      </c>
      <c r="D1319" s="118">
        <v>43895</v>
      </c>
      <c r="E1319" s="570"/>
      <c r="F1319" s="88" t="s">
        <v>4732</v>
      </c>
      <c r="G1319" s="88" t="s">
        <v>156</v>
      </c>
      <c r="H1319" s="98" t="s">
        <v>220</v>
      </c>
      <c r="J1319" s="75">
        <f t="shared" si="122"/>
        <v>1</v>
      </c>
      <c r="K1319" s="76" t="s">
        <v>221</v>
      </c>
      <c r="Q1319" s="78" t="s">
        <v>2130</v>
      </c>
      <c r="R1319" s="75">
        <f t="shared" si="123"/>
        <v>1</v>
      </c>
      <c r="S1319" s="263" t="s">
        <v>1991</v>
      </c>
      <c r="T1319" s="263"/>
      <c r="U1319" s="263"/>
      <c r="V1319" s="263"/>
      <c r="W1319" s="263"/>
      <c r="X1319" s="263"/>
      <c r="Y1319" s="575"/>
      <c r="Z1319" s="575"/>
      <c r="AA1319" s="576">
        <f t="shared" si="121"/>
        <v>0</v>
      </c>
      <c r="AB1319" s="722"/>
    </row>
    <row r="1320" spans="1:28" ht="15" customHeight="1" x14ac:dyDescent="0.35">
      <c r="A1320" s="98" t="s">
        <v>4638</v>
      </c>
      <c r="C1320" s="118">
        <v>43872</v>
      </c>
      <c r="D1320" s="318">
        <v>43895</v>
      </c>
      <c r="E1320" s="570"/>
      <c r="F1320" s="88" t="s">
        <v>4733</v>
      </c>
      <c r="G1320" s="88" t="s">
        <v>179</v>
      </c>
      <c r="H1320" s="98" t="s">
        <v>220</v>
      </c>
      <c r="I1320" s="98" t="s">
        <v>730</v>
      </c>
      <c r="J1320" s="75">
        <f t="shared" si="122"/>
        <v>1</v>
      </c>
      <c r="K1320" s="76" t="s">
        <v>211</v>
      </c>
      <c r="N1320" s="78" t="s">
        <v>18</v>
      </c>
      <c r="Q1320" s="78" t="s">
        <v>2056</v>
      </c>
      <c r="R1320" s="75">
        <f t="shared" si="123"/>
        <v>1</v>
      </c>
      <c r="S1320" s="263" t="s">
        <v>1991</v>
      </c>
      <c r="T1320" s="263"/>
      <c r="U1320" s="263"/>
      <c r="V1320" s="263"/>
      <c r="W1320" s="263"/>
      <c r="X1320" s="263"/>
      <c r="Y1320" s="575"/>
      <c r="Z1320" s="575"/>
      <c r="AA1320" s="576">
        <f t="shared" si="121"/>
        <v>0</v>
      </c>
      <c r="AB1320" s="722"/>
    </row>
    <row r="1321" spans="1:28" ht="15" customHeight="1" x14ac:dyDescent="0.35">
      <c r="A1321" s="98" t="s">
        <v>4641</v>
      </c>
      <c r="C1321" s="118">
        <v>43872</v>
      </c>
      <c r="D1321" s="318">
        <v>43895</v>
      </c>
      <c r="E1321" s="570"/>
      <c r="F1321" s="88" t="s">
        <v>4736</v>
      </c>
      <c r="G1321" s="88" t="s">
        <v>152</v>
      </c>
      <c r="H1321" s="98" t="s">
        <v>220</v>
      </c>
      <c r="J1321" s="75">
        <f t="shared" ref="J1321:J1368" si="124">IF(OR(K1321="Документы готовы",K1321="Запрос в ФО",K1321="ЭЗ",K1321="РЕШ",K1321="РЕШ шаблон"),0.1,IF(OR(K1321="ЭЗ согласование",K1321="РЕШ согласование"),0.3,IF(OR(K1321="ЭЗ согласовано",K1321="РЕШ согласовано",K1321="РЕШ подписано"),0.6,IF(OR(K1321="ЭЗ ПР согласование",K1321="РЕШ УВ согласование"),0.9,IF(OR(K1321="ЭЗ ПР DONE",K1321="РЕШ УВ DONE"),1,0)))))</f>
        <v>1</v>
      </c>
      <c r="K1321" s="76" t="s">
        <v>211</v>
      </c>
      <c r="Q1321" s="78" t="s">
        <v>2163</v>
      </c>
      <c r="R1321" s="75">
        <f t="shared" ref="R1321:R1368" si="125">IF(S1321="В работе",0.3,IF(S1321="Отписано",0.6,IF(S1321="На доработку",0.9,IF(S1321="Согласовано",1,0))))</f>
        <v>1</v>
      </c>
      <c r="S1321" s="263" t="s">
        <v>1991</v>
      </c>
      <c r="T1321" s="263"/>
      <c r="U1321" s="263"/>
      <c r="V1321" s="263"/>
      <c r="W1321" s="263"/>
      <c r="X1321" s="263"/>
      <c r="Y1321" s="575"/>
      <c r="Z1321" s="575"/>
      <c r="AA1321" s="576">
        <f t="shared" si="121"/>
        <v>0</v>
      </c>
      <c r="AB1321" s="722"/>
    </row>
    <row r="1322" spans="1:28" ht="15" customHeight="1" x14ac:dyDescent="0.35">
      <c r="A1322" s="98" t="s">
        <v>4643</v>
      </c>
      <c r="C1322" s="118">
        <v>43873</v>
      </c>
      <c r="D1322" s="318">
        <v>43896</v>
      </c>
      <c r="E1322" s="570"/>
      <c r="F1322" s="99" t="s">
        <v>4738</v>
      </c>
      <c r="G1322" s="88" t="s">
        <v>162</v>
      </c>
      <c r="H1322" s="98" t="s">
        <v>220</v>
      </c>
      <c r="I1322" s="98" t="s">
        <v>656</v>
      </c>
      <c r="J1322" s="75">
        <f t="shared" si="124"/>
        <v>1</v>
      </c>
      <c r="K1322" s="76" t="s">
        <v>211</v>
      </c>
      <c r="L1322" s="99" t="s">
        <v>4782</v>
      </c>
      <c r="N1322" s="78" t="s">
        <v>17</v>
      </c>
      <c r="Q1322" s="78" t="s">
        <v>2056</v>
      </c>
      <c r="R1322" s="75">
        <f t="shared" si="125"/>
        <v>1</v>
      </c>
      <c r="S1322" s="263" t="s">
        <v>1991</v>
      </c>
      <c r="T1322" s="263"/>
      <c r="U1322" s="263"/>
      <c r="V1322" s="263"/>
      <c r="W1322" s="263"/>
      <c r="X1322" s="263"/>
      <c r="Y1322" s="575"/>
      <c r="Z1322" s="575"/>
      <c r="AA1322" s="576">
        <f t="shared" si="121"/>
        <v>0</v>
      </c>
      <c r="AB1322" s="722"/>
    </row>
    <row r="1323" spans="1:28" ht="15" customHeight="1" x14ac:dyDescent="0.35">
      <c r="A1323" s="98" t="s">
        <v>4644</v>
      </c>
      <c r="C1323" s="118">
        <v>43872</v>
      </c>
      <c r="D1323" s="318">
        <v>43895</v>
      </c>
      <c r="E1323" s="570"/>
      <c r="F1323" s="88" t="s">
        <v>4739</v>
      </c>
      <c r="G1323" s="88" t="s">
        <v>154</v>
      </c>
      <c r="H1323" s="98" t="s">
        <v>220</v>
      </c>
      <c r="I1323" s="98" t="s">
        <v>4779</v>
      </c>
      <c r="J1323" s="75">
        <f t="shared" si="124"/>
        <v>1</v>
      </c>
      <c r="K1323" s="76" t="s">
        <v>211</v>
      </c>
      <c r="L1323" s="99" t="s">
        <v>4781</v>
      </c>
      <c r="N1323" s="78" t="s">
        <v>17</v>
      </c>
      <c r="Q1323" s="78" t="s">
        <v>2056</v>
      </c>
      <c r="R1323" s="75">
        <f t="shared" si="125"/>
        <v>1</v>
      </c>
      <c r="S1323" s="263" t="s">
        <v>1991</v>
      </c>
      <c r="T1323" s="263"/>
      <c r="U1323" s="263"/>
      <c r="V1323" s="263"/>
      <c r="W1323" s="263"/>
      <c r="X1323" s="263"/>
      <c r="Y1323" s="575"/>
      <c r="Z1323" s="575"/>
      <c r="AA1323" s="576">
        <f t="shared" si="121"/>
        <v>0</v>
      </c>
      <c r="AB1323" s="722"/>
    </row>
    <row r="1324" spans="1:28" ht="15" customHeight="1" x14ac:dyDescent="0.35">
      <c r="A1324" s="98" t="s">
        <v>4648</v>
      </c>
      <c r="C1324" s="118">
        <v>43873</v>
      </c>
      <c r="D1324" s="318">
        <v>43895</v>
      </c>
      <c r="E1324" s="570"/>
      <c r="F1324" s="88" t="s">
        <v>4743</v>
      </c>
      <c r="G1324" s="88" t="s">
        <v>176</v>
      </c>
      <c r="H1324" s="98" t="s">
        <v>220</v>
      </c>
      <c r="I1324" s="98" t="s">
        <v>3260</v>
      </c>
      <c r="J1324" s="75">
        <f t="shared" si="124"/>
        <v>1</v>
      </c>
      <c r="K1324" s="76" t="s">
        <v>211</v>
      </c>
      <c r="L1324" s="99" t="s">
        <v>4777</v>
      </c>
      <c r="N1324" s="78" t="s">
        <v>19</v>
      </c>
      <c r="Q1324" s="78" t="s">
        <v>2130</v>
      </c>
      <c r="R1324" s="75">
        <f t="shared" si="125"/>
        <v>1</v>
      </c>
      <c r="S1324" s="263" t="s">
        <v>1991</v>
      </c>
      <c r="T1324" s="263"/>
      <c r="U1324" s="263"/>
      <c r="V1324" s="263"/>
      <c r="W1324" s="263"/>
      <c r="X1324" s="263"/>
      <c r="Y1324" s="575"/>
      <c r="Z1324" s="575"/>
      <c r="AA1324" s="576">
        <f t="shared" si="121"/>
        <v>0</v>
      </c>
      <c r="AB1324" s="722"/>
    </row>
    <row r="1325" spans="1:28" ht="15" customHeight="1" x14ac:dyDescent="0.35">
      <c r="A1325" s="98" t="s">
        <v>4650</v>
      </c>
      <c r="C1325" s="118">
        <v>43873</v>
      </c>
      <c r="D1325" s="318">
        <v>43896</v>
      </c>
      <c r="E1325" s="570"/>
      <c r="F1325" s="88" t="s">
        <v>4745</v>
      </c>
      <c r="G1325" s="88" t="s">
        <v>154</v>
      </c>
      <c r="H1325" s="98" t="s">
        <v>220</v>
      </c>
      <c r="I1325" s="98" t="s">
        <v>1294</v>
      </c>
      <c r="J1325" s="75">
        <f t="shared" si="124"/>
        <v>1</v>
      </c>
      <c r="K1325" s="76" t="s">
        <v>211</v>
      </c>
      <c r="N1325" s="78" t="s">
        <v>19</v>
      </c>
      <c r="Q1325" s="78" t="s">
        <v>2130</v>
      </c>
      <c r="R1325" s="75">
        <f t="shared" si="125"/>
        <v>1</v>
      </c>
      <c r="S1325" s="263" t="s">
        <v>1991</v>
      </c>
      <c r="T1325" s="263"/>
      <c r="U1325" s="263"/>
      <c r="V1325" s="263"/>
      <c r="W1325" s="263"/>
      <c r="X1325" s="263"/>
      <c r="Y1325" s="575"/>
      <c r="Z1325" s="575"/>
      <c r="AA1325" s="576">
        <f t="shared" si="121"/>
        <v>0</v>
      </c>
      <c r="AB1325" s="722"/>
    </row>
    <row r="1326" spans="1:28" ht="15" customHeight="1" x14ac:dyDescent="0.35">
      <c r="A1326" s="98" t="s">
        <v>4652</v>
      </c>
      <c r="C1326" s="118">
        <v>43873</v>
      </c>
      <c r="D1326" s="318">
        <v>43896</v>
      </c>
      <c r="E1326" s="570"/>
      <c r="F1326" s="88" t="s">
        <v>4747</v>
      </c>
      <c r="G1326" s="88" t="s">
        <v>170</v>
      </c>
      <c r="H1326" s="98" t="s">
        <v>220</v>
      </c>
      <c r="I1326" s="98" t="s">
        <v>665</v>
      </c>
      <c r="J1326" s="75">
        <f t="shared" si="124"/>
        <v>1</v>
      </c>
      <c r="K1326" s="76" t="s">
        <v>211</v>
      </c>
      <c r="N1326" s="78" t="s">
        <v>18</v>
      </c>
      <c r="Q1326" s="78" t="s">
        <v>2163</v>
      </c>
      <c r="R1326" s="75">
        <f t="shared" si="125"/>
        <v>1</v>
      </c>
      <c r="S1326" s="263" t="s">
        <v>1991</v>
      </c>
      <c r="T1326" s="263"/>
      <c r="U1326" s="263"/>
      <c r="V1326" s="263"/>
      <c r="W1326" s="263"/>
      <c r="X1326" s="263"/>
      <c r="Y1326" s="575"/>
      <c r="Z1326" s="575"/>
      <c r="AA1326" s="576">
        <f t="shared" si="121"/>
        <v>0</v>
      </c>
      <c r="AB1326" s="722"/>
    </row>
    <row r="1327" spans="1:28" ht="15" customHeight="1" x14ac:dyDescent="0.35">
      <c r="A1327" s="98" t="s">
        <v>4653</v>
      </c>
      <c r="C1327" s="118">
        <v>43873</v>
      </c>
      <c r="D1327" s="318">
        <v>43896</v>
      </c>
      <c r="E1327" s="570"/>
      <c r="F1327" s="88" t="s">
        <v>4748</v>
      </c>
      <c r="G1327" s="88" t="s">
        <v>181</v>
      </c>
      <c r="H1327" s="98" t="s">
        <v>220</v>
      </c>
      <c r="I1327" s="98" t="s">
        <v>763</v>
      </c>
      <c r="J1327" s="75">
        <f t="shared" si="124"/>
        <v>1</v>
      </c>
      <c r="K1327" s="76" t="s">
        <v>211</v>
      </c>
      <c r="L1327" s="99" t="s">
        <v>5571</v>
      </c>
      <c r="N1327" s="78" t="s">
        <v>18</v>
      </c>
      <c r="Q1327" s="78" t="s">
        <v>2056</v>
      </c>
      <c r="R1327" s="75">
        <f t="shared" si="125"/>
        <v>1</v>
      </c>
      <c r="S1327" s="263" t="s">
        <v>1991</v>
      </c>
      <c r="T1327" s="263"/>
      <c r="U1327" s="263"/>
      <c r="V1327" s="263"/>
      <c r="W1327" s="263"/>
      <c r="X1327" s="263"/>
      <c r="Y1327" s="575"/>
      <c r="Z1327" s="575"/>
      <c r="AA1327" s="576">
        <f t="shared" si="121"/>
        <v>0</v>
      </c>
      <c r="AB1327" s="722"/>
    </row>
    <row r="1328" spans="1:28" ht="15" customHeight="1" x14ac:dyDescent="0.35">
      <c r="A1328" s="98" t="s">
        <v>4655</v>
      </c>
      <c r="C1328" s="118">
        <v>43873</v>
      </c>
      <c r="D1328" s="318">
        <v>43896</v>
      </c>
      <c r="E1328" s="570"/>
      <c r="F1328" s="88" t="s">
        <v>4750</v>
      </c>
      <c r="G1328" s="88" t="s">
        <v>162</v>
      </c>
      <c r="H1328" s="98" t="s">
        <v>220</v>
      </c>
      <c r="I1328" s="98" t="s">
        <v>665</v>
      </c>
      <c r="J1328" s="75">
        <f t="shared" si="124"/>
        <v>1</v>
      </c>
      <c r="K1328" s="76" t="s">
        <v>211</v>
      </c>
      <c r="N1328" s="78" t="s">
        <v>18</v>
      </c>
      <c r="Q1328" s="78" t="s">
        <v>2056</v>
      </c>
      <c r="R1328" s="75">
        <f t="shared" si="125"/>
        <v>1</v>
      </c>
      <c r="S1328" s="263" t="s">
        <v>1991</v>
      </c>
      <c r="T1328" s="263"/>
      <c r="U1328" s="263"/>
      <c r="V1328" s="263"/>
      <c r="W1328" s="263"/>
      <c r="X1328" s="263"/>
      <c r="Y1328" s="575"/>
      <c r="Z1328" s="575"/>
      <c r="AA1328" s="576">
        <f t="shared" si="121"/>
        <v>0</v>
      </c>
      <c r="AB1328" s="722"/>
    </row>
    <row r="1329" spans="1:28" ht="15" customHeight="1" x14ac:dyDescent="0.35">
      <c r="A1329" s="98" t="s">
        <v>4656</v>
      </c>
      <c r="C1329" s="118">
        <v>43874</v>
      </c>
      <c r="D1329" s="318">
        <v>43896</v>
      </c>
      <c r="E1329" s="570"/>
      <c r="F1329" s="88" t="s">
        <v>4751</v>
      </c>
      <c r="G1329" s="88" t="s">
        <v>154</v>
      </c>
      <c r="H1329" s="98" t="s">
        <v>220</v>
      </c>
      <c r="I1329" s="98" t="s">
        <v>1122</v>
      </c>
      <c r="J1329" s="75">
        <f t="shared" si="124"/>
        <v>1</v>
      </c>
      <c r="K1329" s="76" t="s">
        <v>211</v>
      </c>
      <c r="N1329" s="78" t="s">
        <v>18</v>
      </c>
      <c r="Q1329" s="78" t="s">
        <v>2130</v>
      </c>
      <c r="R1329" s="75">
        <f t="shared" si="125"/>
        <v>1</v>
      </c>
      <c r="S1329" s="263" t="s">
        <v>1991</v>
      </c>
      <c r="T1329" s="263"/>
      <c r="U1329" s="263"/>
      <c r="V1329" s="263"/>
      <c r="W1329" s="263"/>
      <c r="X1329" s="263"/>
      <c r="Y1329" s="575"/>
      <c r="Z1329" s="575"/>
      <c r="AA1329" s="576">
        <f t="shared" si="121"/>
        <v>0</v>
      </c>
      <c r="AB1329" s="722"/>
    </row>
    <row r="1330" spans="1:28" ht="15" customHeight="1" x14ac:dyDescent="0.35">
      <c r="A1330" s="81" t="s">
        <v>4660</v>
      </c>
      <c r="C1330" s="118">
        <v>43874</v>
      </c>
      <c r="D1330" s="118">
        <v>43896</v>
      </c>
      <c r="E1330" s="570"/>
      <c r="F1330" s="88" t="s">
        <v>4755</v>
      </c>
      <c r="G1330" s="88" t="s">
        <v>183</v>
      </c>
      <c r="H1330" s="98" t="s">
        <v>220</v>
      </c>
      <c r="J1330" s="75">
        <f t="shared" si="124"/>
        <v>1</v>
      </c>
      <c r="K1330" s="76" t="s">
        <v>221</v>
      </c>
      <c r="Q1330" s="304" t="s">
        <v>2163</v>
      </c>
      <c r="R1330" s="75">
        <f t="shared" si="125"/>
        <v>1</v>
      </c>
      <c r="S1330" s="263" t="s">
        <v>1991</v>
      </c>
      <c r="T1330" s="263"/>
      <c r="U1330" s="263"/>
      <c r="V1330" s="263"/>
      <c r="W1330" s="263"/>
      <c r="X1330" s="263"/>
      <c r="Y1330" s="575"/>
      <c r="Z1330" s="575"/>
      <c r="AA1330" s="576">
        <f t="shared" si="121"/>
        <v>0</v>
      </c>
      <c r="AB1330" s="722"/>
    </row>
    <row r="1331" spans="1:28" ht="15" customHeight="1" x14ac:dyDescent="0.35">
      <c r="A1331" s="98" t="s">
        <v>4661</v>
      </c>
      <c r="C1331" s="118">
        <v>43874</v>
      </c>
      <c r="D1331" s="318">
        <v>43896</v>
      </c>
      <c r="E1331" s="570"/>
      <c r="F1331" s="88" t="s">
        <v>4756</v>
      </c>
      <c r="G1331" s="88" t="s">
        <v>158</v>
      </c>
      <c r="H1331" s="98" t="s">
        <v>220</v>
      </c>
      <c r="I1331" s="98" t="s">
        <v>1004</v>
      </c>
      <c r="J1331" s="75">
        <f t="shared" si="124"/>
        <v>1</v>
      </c>
      <c r="K1331" s="76" t="s">
        <v>211</v>
      </c>
      <c r="N1331" s="78" t="s">
        <v>19</v>
      </c>
      <c r="Q1331" s="78" t="s">
        <v>2097</v>
      </c>
      <c r="R1331" s="75">
        <f t="shared" si="125"/>
        <v>1</v>
      </c>
      <c r="S1331" s="263" t="s">
        <v>1991</v>
      </c>
      <c r="T1331" s="263"/>
      <c r="U1331" s="263"/>
      <c r="V1331" s="263"/>
      <c r="W1331" s="263"/>
      <c r="X1331" s="263"/>
      <c r="Y1331" s="575"/>
      <c r="Z1331" s="575"/>
      <c r="AA1331" s="576">
        <f t="shared" si="121"/>
        <v>0</v>
      </c>
      <c r="AB1331" s="722"/>
    </row>
    <row r="1332" spans="1:28" ht="15" customHeight="1" x14ac:dyDescent="0.35">
      <c r="A1332" s="98" t="s">
        <v>4662</v>
      </c>
      <c r="C1332" s="118">
        <v>43874</v>
      </c>
      <c r="D1332" s="318">
        <v>43896</v>
      </c>
      <c r="E1332" s="570"/>
      <c r="F1332" s="88" t="s">
        <v>4757</v>
      </c>
      <c r="G1332" s="88" t="s">
        <v>179</v>
      </c>
      <c r="H1332" s="98" t="s">
        <v>220</v>
      </c>
      <c r="I1332" s="98" t="s">
        <v>656</v>
      </c>
      <c r="J1332" s="75">
        <f t="shared" si="124"/>
        <v>1</v>
      </c>
      <c r="K1332" s="76" t="s">
        <v>211</v>
      </c>
      <c r="L1332" s="99" t="s">
        <v>4784</v>
      </c>
      <c r="N1332" s="78" t="s">
        <v>17</v>
      </c>
      <c r="Q1332" s="304" t="s">
        <v>2130</v>
      </c>
      <c r="R1332" s="75">
        <f t="shared" si="125"/>
        <v>1</v>
      </c>
      <c r="S1332" s="263" t="s">
        <v>1991</v>
      </c>
      <c r="T1332" s="263"/>
      <c r="U1332" s="263"/>
      <c r="V1332" s="263"/>
      <c r="W1332" s="263"/>
      <c r="X1332" s="263"/>
      <c r="Y1332" s="575"/>
      <c r="Z1332" s="575"/>
      <c r="AA1332" s="576">
        <f t="shared" si="121"/>
        <v>0</v>
      </c>
      <c r="AB1332" s="722"/>
    </row>
    <row r="1333" spans="1:28" ht="15" customHeight="1" x14ac:dyDescent="0.35">
      <c r="A1333" s="98" t="s">
        <v>4518</v>
      </c>
      <c r="C1333" s="118">
        <v>43843</v>
      </c>
      <c r="D1333" s="318">
        <v>43902</v>
      </c>
      <c r="E1333" s="570"/>
      <c r="F1333" s="255" t="s">
        <v>2411</v>
      </c>
      <c r="G1333" s="88" t="s">
        <v>152</v>
      </c>
      <c r="H1333" s="98" t="s">
        <v>220</v>
      </c>
      <c r="I1333" s="98" t="s">
        <v>722</v>
      </c>
      <c r="J1333" s="75">
        <f t="shared" si="124"/>
        <v>1</v>
      </c>
      <c r="K1333" s="76" t="s">
        <v>211</v>
      </c>
      <c r="N1333" s="78" t="s">
        <v>18</v>
      </c>
      <c r="Q1333" s="78" t="s">
        <v>2097</v>
      </c>
      <c r="R1333" s="75">
        <f t="shared" si="125"/>
        <v>1</v>
      </c>
      <c r="S1333" s="263" t="s">
        <v>1991</v>
      </c>
      <c r="T1333" s="263"/>
      <c r="U1333" s="263" t="s">
        <v>4958</v>
      </c>
      <c r="V1333" s="263"/>
      <c r="W1333" s="263"/>
      <c r="X1333" s="263"/>
      <c r="Y1333" s="575"/>
      <c r="Z1333" s="575"/>
      <c r="AA1333" s="576">
        <f t="shared" si="121"/>
        <v>0</v>
      </c>
      <c r="AB1333" s="722"/>
    </row>
    <row r="1334" spans="1:28" ht="15" customHeight="1" x14ac:dyDescent="0.35">
      <c r="A1334" s="98" t="s">
        <v>3854</v>
      </c>
      <c r="C1334" s="118">
        <v>43847</v>
      </c>
      <c r="D1334" s="318">
        <v>43900</v>
      </c>
      <c r="E1334" s="570"/>
      <c r="F1334" s="88" t="s">
        <v>3855</v>
      </c>
      <c r="G1334" s="88" t="s">
        <v>158</v>
      </c>
      <c r="H1334" s="98" t="s">
        <v>220</v>
      </c>
      <c r="I1334" s="98" t="s">
        <v>648</v>
      </c>
      <c r="J1334" s="75">
        <f t="shared" si="124"/>
        <v>1</v>
      </c>
      <c r="K1334" s="76" t="s">
        <v>211</v>
      </c>
      <c r="N1334" s="78" t="s">
        <v>17</v>
      </c>
      <c r="Q1334" s="78" t="s">
        <v>2056</v>
      </c>
      <c r="R1334" s="75">
        <f t="shared" si="125"/>
        <v>1</v>
      </c>
      <c r="S1334" s="263" t="s">
        <v>1991</v>
      </c>
      <c r="T1334" s="263"/>
      <c r="U1334" s="263"/>
      <c r="V1334" s="263"/>
      <c r="W1334" s="263"/>
      <c r="X1334" s="263"/>
      <c r="Y1334" s="575"/>
      <c r="Z1334" s="575"/>
      <c r="AA1334" s="576">
        <f t="shared" si="121"/>
        <v>0</v>
      </c>
      <c r="AB1334" s="722"/>
    </row>
    <row r="1335" spans="1:28" ht="15" customHeight="1" x14ac:dyDescent="0.35">
      <c r="A1335" s="81" t="s">
        <v>4785</v>
      </c>
      <c r="C1335" s="118">
        <v>43851</v>
      </c>
      <c r="D1335" s="318">
        <v>43903</v>
      </c>
      <c r="E1335" s="570"/>
      <c r="F1335" s="88" t="s">
        <v>4850</v>
      </c>
      <c r="G1335" s="88" t="s">
        <v>152</v>
      </c>
      <c r="H1335" s="98" t="s">
        <v>220</v>
      </c>
      <c r="J1335" s="75">
        <f t="shared" si="124"/>
        <v>1</v>
      </c>
      <c r="K1335" s="76" t="s">
        <v>211</v>
      </c>
      <c r="N1335" s="78" t="s">
        <v>17</v>
      </c>
      <c r="Q1335" s="78" t="s">
        <v>2163</v>
      </c>
      <c r="R1335" s="75">
        <f t="shared" si="125"/>
        <v>1</v>
      </c>
      <c r="S1335" s="263" t="s">
        <v>1991</v>
      </c>
      <c r="T1335" s="263"/>
      <c r="U1335" s="263"/>
      <c r="V1335" s="263"/>
      <c r="W1335" s="263"/>
      <c r="X1335" s="263"/>
      <c r="Y1335" s="575"/>
      <c r="Z1335" s="575"/>
      <c r="AA1335" s="576">
        <f t="shared" si="121"/>
        <v>0</v>
      </c>
      <c r="AB1335" s="722"/>
    </row>
    <row r="1336" spans="1:28" ht="15" customHeight="1" x14ac:dyDescent="0.35">
      <c r="A1336" s="81" t="s">
        <v>4080</v>
      </c>
      <c r="C1336" s="118">
        <v>43851</v>
      </c>
      <c r="D1336" s="318">
        <v>43902</v>
      </c>
      <c r="E1336" s="570"/>
      <c r="F1336" s="88" t="s">
        <v>4081</v>
      </c>
      <c r="G1336" s="88" t="s">
        <v>158</v>
      </c>
      <c r="H1336" s="98" t="s">
        <v>220</v>
      </c>
      <c r="I1336" s="98" t="s">
        <v>722</v>
      </c>
      <c r="J1336" s="75">
        <f t="shared" si="124"/>
        <v>1</v>
      </c>
      <c r="K1336" s="76" t="s">
        <v>211</v>
      </c>
      <c r="N1336" s="78" t="s">
        <v>17</v>
      </c>
      <c r="Q1336" s="78" t="s">
        <v>2163</v>
      </c>
      <c r="R1336" s="75">
        <f t="shared" si="125"/>
        <v>1</v>
      </c>
      <c r="S1336" s="263" t="s">
        <v>1991</v>
      </c>
      <c r="T1336" s="263"/>
      <c r="U1336" s="263"/>
      <c r="V1336" s="263"/>
      <c r="W1336" s="263"/>
      <c r="X1336" s="263"/>
      <c r="Y1336" s="575"/>
      <c r="Z1336" s="575"/>
      <c r="AA1336" s="576">
        <f t="shared" si="121"/>
        <v>0</v>
      </c>
      <c r="AB1336" s="722"/>
    </row>
    <row r="1337" spans="1:28" ht="15" customHeight="1" x14ac:dyDescent="0.35">
      <c r="A1337" s="98" t="s">
        <v>4786</v>
      </c>
      <c r="C1337" s="118">
        <v>43853</v>
      </c>
      <c r="D1337" s="318">
        <v>43900</v>
      </c>
      <c r="E1337" s="570"/>
      <c r="F1337" s="88" t="s">
        <v>4851</v>
      </c>
      <c r="G1337" s="88" t="s">
        <v>154</v>
      </c>
      <c r="H1337" s="98" t="s">
        <v>220</v>
      </c>
      <c r="I1337" s="98" t="s">
        <v>4915</v>
      </c>
      <c r="J1337" s="75">
        <f t="shared" si="124"/>
        <v>1</v>
      </c>
      <c r="K1337" s="76" t="s">
        <v>211</v>
      </c>
      <c r="L1337" s="99" t="s">
        <v>4916</v>
      </c>
      <c r="Q1337" s="78" t="s">
        <v>2163</v>
      </c>
      <c r="R1337" s="75">
        <f t="shared" si="125"/>
        <v>1</v>
      </c>
      <c r="S1337" s="263" t="s">
        <v>1991</v>
      </c>
      <c r="T1337" s="263"/>
      <c r="U1337" s="263" t="s">
        <v>4933</v>
      </c>
      <c r="V1337" s="263"/>
      <c r="W1337" s="263"/>
      <c r="X1337" s="263"/>
      <c r="Y1337" s="575"/>
      <c r="Z1337" s="575"/>
      <c r="AA1337" s="576">
        <f t="shared" si="121"/>
        <v>0</v>
      </c>
      <c r="AB1337" s="722"/>
    </row>
    <row r="1338" spans="1:28" ht="15" customHeight="1" x14ac:dyDescent="0.35">
      <c r="A1338" s="98" t="s">
        <v>4349</v>
      </c>
      <c r="C1338" s="118">
        <v>43860</v>
      </c>
      <c r="D1338" s="318">
        <v>43900</v>
      </c>
      <c r="E1338" s="570"/>
      <c r="F1338" s="88" t="s">
        <v>4350</v>
      </c>
      <c r="G1338" s="88" t="s">
        <v>198</v>
      </c>
      <c r="H1338" s="98" t="s">
        <v>220</v>
      </c>
      <c r="I1338" s="98" t="s">
        <v>649</v>
      </c>
      <c r="J1338" s="75">
        <f t="shared" si="124"/>
        <v>1</v>
      </c>
      <c r="K1338" s="76" t="s">
        <v>211</v>
      </c>
      <c r="N1338" s="78" t="s">
        <v>18</v>
      </c>
      <c r="Q1338" s="78" t="s">
        <v>2097</v>
      </c>
      <c r="R1338" s="75">
        <f t="shared" si="125"/>
        <v>1</v>
      </c>
      <c r="S1338" s="263" t="s">
        <v>1991</v>
      </c>
      <c r="T1338" s="263"/>
      <c r="U1338" s="263"/>
      <c r="V1338" s="263"/>
      <c r="W1338" s="263"/>
      <c r="X1338" s="263"/>
      <c r="Y1338" s="575"/>
      <c r="Z1338" s="575"/>
      <c r="AA1338" s="576">
        <f t="shared" ref="AA1338:AA1401" si="126">Z1338-Y1338</f>
        <v>0</v>
      </c>
      <c r="AB1338" s="722"/>
    </row>
    <row r="1339" spans="1:28" ht="15" customHeight="1" x14ac:dyDescent="0.35">
      <c r="A1339" s="98" t="s">
        <v>4222</v>
      </c>
      <c r="C1339" s="118">
        <v>43860</v>
      </c>
      <c r="D1339" s="318">
        <v>43900</v>
      </c>
      <c r="E1339" s="570"/>
      <c r="F1339" s="88" t="s">
        <v>4223</v>
      </c>
      <c r="G1339" s="88" t="s">
        <v>154</v>
      </c>
      <c r="H1339" s="98" t="s">
        <v>220</v>
      </c>
      <c r="I1339" s="98" t="s">
        <v>648</v>
      </c>
      <c r="J1339" s="75">
        <f t="shared" si="124"/>
        <v>1</v>
      </c>
      <c r="K1339" s="76" t="s">
        <v>211</v>
      </c>
      <c r="N1339" s="78" t="s">
        <v>17</v>
      </c>
      <c r="Q1339" s="78" t="s">
        <v>2056</v>
      </c>
      <c r="R1339" s="75">
        <f t="shared" si="125"/>
        <v>1</v>
      </c>
      <c r="S1339" s="263" t="s">
        <v>1991</v>
      </c>
      <c r="T1339" s="263"/>
      <c r="U1339" s="263"/>
      <c r="V1339" s="263"/>
      <c r="W1339" s="263"/>
      <c r="X1339" s="263"/>
      <c r="Y1339" s="575"/>
      <c r="Z1339" s="575"/>
      <c r="AA1339" s="576">
        <f t="shared" si="126"/>
        <v>0</v>
      </c>
      <c r="AB1339" s="722"/>
    </row>
    <row r="1340" spans="1:28" ht="15" customHeight="1" x14ac:dyDescent="0.35">
      <c r="A1340" s="81" t="s">
        <v>4262</v>
      </c>
      <c r="C1340" s="118">
        <v>43860</v>
      </c>
      <c r="D1340" s="318">
        <v>43900</v>
      </c>
      <c r="E1340" s="570"/>
      <c r="F1340" s="88" t="s">
        <v>4263</v>
      </c>
      <c r="G1340" s="88" t="s">
        <v>2125</v>
      </c>
      <c r="H1340" s="98" t="s">
        <v>220</v>
      </c>
      <c r="I1340" s="98" t="s">
        <v>611</v>
      </c>
      <c r="J1340" s="75">
        <f t="shared" si="124"/>
        <v>1</v>
      </c>
      <c r="K1340" s="76" t="s">
        <v>211</v>
      </c>
      <c r="N1340" s="78" t="s">
        <v>19</v>
      </c>
      <c r="Q1340" s="78" t="s">
        <v>2130</v>
      </c>
      <c r="R1340" s="75">
        <f t="shared" si="125"/>
        <v>1</v>
      </c>
      <c r="S1340" s="263" t="s">
        <v>1991</v>
      </c>
      <c r="T1340" s="263"/>
      <c r="U1340" s="263" t="s">
        <v>4947</v>
      </c>
      <c r="V1340" s="263"/>
      <c r="W1340" s="263"/>
      <c r="X1340" s="263"/>
      <c r="Y1340" s="575"/>
      <c r="Z1340" s="575"/>
      <c r="AA1340" s="576">
        <f t="shared" si="126"/>
        <v>0</v>
      </c>
      <c r="AB1340" s="722"/>
    </row>
    <row r="1341" spans="1:28" ht="15" customHeight="1" x14ac:dyDescent="0.35">
      <c r="A1341" s="98" t="s">
        <v>4264</v>
      </c>
      <c r="C1341" s="118">
        <v>43860</v>
      </c>
      <c r="D1341" s="318">
        <v>43900</v>
      </c>
      <c r="E1341" s="570"/>
      <c r="F1341" s="88" t="s">
        <v>4265</v>
      </c>
      <c r="G1341" s="88" t="s">
        <v>149</v>
      </c>
      <c r="H1341" s="98" t="s">
        <v>220</v>
      </c>
      <c r="I1341" s="98" t="s">
        <v>1645</v>
      </c>
      <c r="J1341" s="75">
        <f t="shared" si="124"/>
        <v>1</v>
      </c>
      <c r="K1341" s="76" t="s">
        <v>211</v>
      </c>
      <c r="N1341" s="78" t="s">
        <v>18</v>
      </c>
      <c r="Q1341" s="78" t="s">
        <v>2130</v>
      </c>
      <c r="R1341" s="75">
        <f t="shared" si="125"/>
        <v>1</v>
      </c>
      <c r="S1341" s="263" t="s">
        <v>1991</v>
      </c>
      <c r="T1341" s="263"/>
      <c r="U1341" s="263" t="s">
        <v>4948</v>
      </c>
      <c r="V1341" s="263"/>
      <c r="W1341" s="263"/>
      <c r="X1341" s="263"/>
      <c r="Y1341" s="575"/>
      <c r="Z1341" s="575"/>
      <c r="AA1341" s="576">
        <f t="shared" si="126"/>
        <v>0</v>
      </c>
      <c r="AB1341" s="722"/>
    </row>
    <row r="1342" spans="1:28" ht="15" customHeight="1" x14ac:dyDescent="0.35">
      <c r="A1342" s="98" t="s">
        <v>4266</v>
      </c>
      <c r="C1342" s="118">
        <v>43860</v>
      </c>
      <c r="D1342" s="318">
        <v>43900</v>
      </c>
      <c r="E1342" s="570"/>
      <c r="F1342" s="88" t="s">
        <v>4267</v>
      </c>
      <c r="G1342" s="88" t="s">
        <v>158</v>
      </c>
      <c r="H1342" s="98" t="s">
        <v>220</v>
      </c>
      <c r="I1342" s="98" t="s">
        <v>664</v>
      </c>
      <c r="J1342" s="75">
        <f t="shared" si="124"/>
        <v>1</v>
      </c>
      <c r="K1342" s="76" t="s">
        <v>211</v>
      </c>
      <c r="N1342" s="78" t="s">
        <v>17</v>
      </c>
      <c r="Q1342" s="78" t="s">
        <v>2163</v>
      </c>
      <c r="R1342" s="75">
        <f t="shared" si="125"/>
        <v>1</v>
      </c>
      <c r="S1342" s="263" t="s">
        <v>1991</v>
      </c>
      <c r="T1342" s="263"/>
      <c r="U1342" s="263"/>
      <c r="V1342" s="263"/>
      <c r="W1342" s="263"/>
      <c r="X1342" s="263"/>
      <c r="Y1342" s="575"/>
      <c r="Z1342" s="575"/>
      <c r="AA1342" s="576">
        <f t="shared" si="126"/>
        <v>0</v>
      </c>
      <c r="AB1342" s="722"/>
    </row>
    <row r="1343" spans="1:28" ht="15" customHeight="1" x14ac:dyDescent="0.35">
      <c r="A1343" s="98" t="s">
        <v>4353</v>
      </c>
      <c r="C1343" s="118">
        <v>43860</v>
      </c>
      <c r="D1343" s="318">
        <v>43900</v>
      </c>
      <c r="E1343" s="570"/>
      <c r="F1343" s="88" t="s">
        <v>4354</v>
      </c>
      <c r="G1343" s="88" t="s">
        <v>156</v>
      </c>
      <c r="H1343" s="98" t="s">
        <v>220</v>
      </c>
      <c r="I1343" s="98" t="s">
        <v>722</v>
      </c>
      <c r="J1343" s="75">
        <f t="shared" si="124"/>
        <v>1</v>
      </c>
      <c r="K1343" s="76" t="s">
        <v>211</v>
      </c>
      <c r="N1343" s="78" t="s">
        <v>18</v>
      </c>
      <c r="Q1343" s="78" t="s">
        <v>2097</v>
      </c>
      <c r="R1343" s="75">
        <f t="shared" si="125"/>
        <v>1</v>
      </c>
      <c r="S1343" s="263" t="s">
        <v>1991</v>
      </c>
      <c r="T1343" s="263"/>
      <c r="U1343" s="263"/>
      <c r="V1343" s="263"/>
      <c r="W1343" s="263"/>
      <c r="X1343" s="263"/>
      <c r="Y1343" s="575"/>
      <c r="Z1343" s="575"/>
      <c r="AA1343" s="576">
        <f t="shared" si="126"/>
        <v>0</v>
      </c>
      <c r="AB1343" s="722"/>
    </row>
    <row r="1344" spans="1:28" ht="15" customHeight="1" x14ac:dyDescent="0.35">
      <c r="A1344" s="81" t="s">
        <v>4370</v>
      </c>
      <c r="C1344" s="118">
        <v>43861</v>
      </c>
      <c r="D1344" s="318">
        <v>43901</v>
      </c>
      <c r="E1344" s="570"/>
      <c r="F1344" s="88" t="s">
        <v>4371</v>
      </c>
      <c r="G1344" s="88" t="s">
        <v>162</v>
      </c>
      <c r="H1344" s="98" t="s">
        <v>220</v>
      </c>
      <c r="I1344" s="98" t="s">
        <v>649</v>
      </c>
      <c r="J1344" s="75">
        <f t="shared" si="124"/>
        <v>1</v>
      </c>
      <c r="K1344" s="263" t="s">
        <v>211</v>
      </c>
      <c r="N1344" s="78" t="s">
        <v>18</v>
      </c>
      <c r="Q1344" s="78" t="s">
        <v>2130</v>
      </c>
      <c r="R1344" s="75">
        <f t="shared" si="125"/>
        <v>1</v>
      </c>
      <c r="S1344" s="263" t="s">
        <v>1991</v>
      </c>
      <c r="T1344" s="263"/>
      <c r="U1344" s="263"/>
      <c r="V1344" s="263"/>
      <c r="W1344" s="263"/>
      <c r="X1344" s="263"/>
      <c r="Y1344" s="575"/>
      <c r="Z1344" s="575"/>
      <c r="AA1344" s="576">
        <f t="shared" si="126"/>
        <v>0</v>
      </c>
      <c r="AB1344" s="722"/>
    </row>
    <row r="1345" spans="1:28" ht="15" customHeight="1" x14ac:dyDescent="0.35">
      <c r="A1345" s="98" t="s">
        <v>4486</v>
      </c>
      <c r="C1345" s="118">
        <v>43861</v>
      </c>
      <c r="D1345" s="318">
        <v>43901</v>
      </c>
      <c r="E1345" s="570"/>
      <c r="F1345" s="88" t="s">
        <v>4487</v>
      </c>
      <c r="G1345" s="88" t="s">
        <v>154</v>
      </c>
      <c r="H1345" s="98" t="s">
        <v>220</v>
      </c>
      <c r="I1345" s="98" t="s">
        <v>4949</v>
      </c>
      <c r="J1345" s="75">
        <f t="shared" si="124"/>
        <v>1</v>
      </c>
      <c r="K1345" s="263" t="s">
        <v>211</v>
      </c>
      <c r="N1345" s="78" t="s">
        <v>17</v>
      </c>
      <c r="Q1345" s="78" t="s">
        <v>2056</v>
      </c>
      <c r="R1345" s="75">
        <f t="shared" si="125"/>
        <v>1</v>
      </c>
      <c r="S1345" s="263" t="s">
        <v>1991</v>
      </c>
      <c r="T1345" s="263"/>
      <c r="U1345" s="263"/>
      <c r="V1345" s="263"/>
      <c r="W1345" s="263"/>
      <c r="X1345" s="263"/>
      <c r="Y1345" s="575"/>
      <c r="Z1345" s="575"/>
      <c r="AA1345" s="576">
        <f t="shared" si="126"/>
        <v>0</v>
      </c>
      <c r="AB1345" s="722"/>
    </row>
    <row r="1346" spans="1:28" ht="15" customHeight="1" x14ac:dyDescent="0.35">
      <c r="A1346" s="98" t="s">
        <v>4374</v>
      </c>
      <c r="C1346" s="118">
        <v>43861</v>
      </c>
      <c r="D1346" s="318">
        <v>43901</v>
      </c>
      <c r="E1346" s="570"/>
      <c r="F1346" s="88" t="s">
        <v>4375</v>
      </c>
      <c r="G1346" s="88" t="s">
        <v>417</v>
      </c>
      <c r="H1346" s="98" t="s">
        <v>220</v>
      </c>
      <c r="I1346" s="81" t="s">
        <v>730</v>
      </c>
      <c r="J1346" s="75">
        <f t="shared" si="124"/>
        <v>1</v>
      </c>
      <c r="K1346" s="263" t="s">
        <v>211</v>
      </c>
      <c r="L1346" s="88" t="s">
        <v>4437</v>
      </c>
      <c r="N1346" s="78" t="s">
        <v>18</v>
      </c>
      <c r="Q1346" s="78" t="s">
        <v>2130</v>
      </c>
      <c r="R1346" s="75">
        <f t="shared" si="125"/>
        <v>1</v>
      </c>
      <c r="S1346" s="263" t="s">
        <v>1991</v>
      </c>
      <c r="T1346" s="263"/>
      <c r="U1346" s="263"/>
      <c r="V1346" s="263"/>
      <c r="W1346" s="263"/>
      <c r="X1346" s="263"/>
      <c r="Y1346" s="575"/>
      <c r="Z1346" s="575"/>
      <c r="AA1346" s="576">
        <f t="shared" si="126"/>
        <v>0</v>
      </c>
      <c r="AB1346" s="722"/>
    </row>
    <row r="1347" spans="1:28" ht="15" customHeight="1" x14ac:dyDescent="0.35">
      <c r="A1347" s="81" t="s">
        <v>4305</v>
      </c>
      <c r="C1347" s="118">
        <v>43861</v>
      </c>
      <c r="D1347" s="318">
        <v>43900</v>
      </c>
      <c r="E1347" s="570"/>
      <c r="F1347" s="88" t="s">
        <v>4306</v>
      </c>
      <c r="G1347" s="88" t="s">
        <v>162</v>
      </c>
      <c r="H1347" s="98" t="s">
        <v>220</v>
      </c>
      <c r="I1347" s="98" t="s">
        <v>4917</v>
      </c>
      <c r="J1347" s="75">
        <f t="shared" si="124"/>
        <v>1</v>
      </c>
      <c r="K1347" s="76" t="s">
        <v>211</v>
      </c>
      <c r="N1347" s="78" t="s">
        <v>18</v>
      </c>
      <c r="Q1347" s="78" t="s">
        <v>2163</v>
      </c>
      <c r="R1347" s="75">
        <f t="shared" si="125"/>
        <v>1</v>
      </c>
      <c r="S1347" s="263" t="s">
        <v>1991</v>
      </c>
      <c r="T1347" s="263"/>
      <c r="U1347" s="263"/>
      <c r="V1347" s="263"/>
      <c r="W1347" s="263"/>
      <c r="X1347" s="263"/>
      <c r="Y1347" s="575"/>
      <c r="Z1347" s="575"/>
      <c r="AA1347" s="576">
        <f t="shared" si="126"/>
        <v>0</v>
      </c>
      <c r="AB1347" s="722"/>
    </row>
    <row r="1348" spans="1:28" ht="15" customHeight="1" x14ac:dyDescent="0.35">
      <c r="A1348" s="81" t="s">
        <v>4376</v>
      </c>
      <c r="C1348" s="118">
        <v>43861</v>
      </c>
      <c r="D1348" s="318">
        <v>43901</v>
      </c>
      <c r="E1348" s="570"/>
      <c r="F1348" s="88" t="s">
        <v>4377</v>
      </c>
      <c r="G1348" s="88" t="s">
        <v>195</v>
      </c>
      <c r="H1348" s="98" t="s">
        <v>220</v>
      </c>
      <c r="I1348" s="98" t="s">
        <v>648</v>
      </c>
      <c r="J1348" s="75">
        <f t="shared" si="124"/>
        <v>1</v>
      </c>
      <c r="K1348" s="263" t="s">
        <v>211</v>
      </c>
      <c r="N1348" s="78" t="s">
        <v>17</v>
      </c>
      <c r="Q1348" s="78" t="s">
        <v>2130</v>
      </c>
      <c r="R1348" s="75">
        <f t="shared" si="125"/>
        <v>1</v>
      </c>
      <c r="S1348" s="263" t="s">
        <v>1991</v>
      </c>
      <c r="T1348" s="263"/>
      <c r="U1348" s="263"/>
      <c r="V1348" s="263"/>
      <c r="W1348" s="263"/>
      <c r="X1348" s="263"/>
      <c r="Y1348" s="575"/>
      <c r="Z1348" s="575"/>
      <c r="AA1348" s="576">
        <f t="shared" si="126"/>
        <v>0</v>
      </c>
      <c r="AB1348" s="722"/>
    </row>
    <row r="1349" spans="1:28" ht="15" customHeight="1" x14ac:dyDescent="0.35">
      <c r="A1349" s="98" t="s">
        <v>4787</v>
      </c>
      <c r="C1349" s="118">
        <v>43861</v>
      </c>
      <c r="D1349" s="318">
        <v>43901</v>
      </c>
      <c r="E1349" s="570"/>
      <c r="F1349" s="88" t="s">
        <v>4852</v>
      </c>
      <c r="G1349" s="88" t="s">
        <v>166</v>
      </c>
      <c r="H1349" s="98" t="s">
        <v>220</v>
      </c>
      <c r="I1349" s="98" t="s">
        <v>649</v>
      </c>
      <c r="J1349" s="75">
        <f t="shared" si="124"/>
        <v>1</v>
      </c>
      <c r="K1349" s="263" t="s">
        <v>211</v>
      </c>
      <c r="N1349" s="78" t="s">
        <v>18</v>
      </c>
      <c r="Q1349" s="78" t="s">
        <v>2163</v>
      </c>
      <c r="R1349" s="75">
        <f t="shared" si="125"/>
        <v>1</v>
      </c>
      <c r="S1349" s="263" t="s">
        <v>1991</v>
      </c>
      <c r="T1349" s="263"/>
      <c r="U1349" s="263"/>
      <c r="V1349" s="263"/>
      <c r="W1349" s="263"/>
      <c r="X1349" s="263"/>
      <c r="Y1349" s="575"/>
      <c r="Z1349" s="575"/>
      <c r="AA1349" s="576">
        <f t="shared" si="126"/>
        <v>0</v>
      </c>
      <c r="AB1349" s="722"/>
    </row>
    <row r="1350" spans="1:28" ht="15" customHeight="1" x14ac:dyDescent="0.35">
      <c r="A1350" s="81" t="s">
        <v>4407</v>
      </c>
      <c r="C1350" s="118">
        <v>43861</v>
      </c>
      <c r="D1350" s="318">
        <v>43901</v>
      </c>
      <c r="E1350" s="570"/>
      <c r="F1350" s="88" t="s">
        <v>4408</v>
      </c>
      <c r="G1350" s="88" t="s">
        <v>176</v>
      </c>
      <c r="H1350" s="98" t="s">
        <v>220</v>
      </c>
      <c r="I1350" s="98" t="s">
        <v>649</v>
      </c>
      <c r="J1350" s="75">
        <f t="shared" si="124"/>
        <v>1</v>
      </c>
      <c r="K1350" s="263" t="s">
        <v>211</v>
      </c>
      <c r="N1350" s="78" t="s">
        <v>18</v>
      </c>
      <c r="Q1350" s="78" t="s">
        <v>2163</v>
      </c>
      <c r="R1350" s="75">
        <f t="shared" si="125"/>
        <v>1</v>
      </c>
      <c r="S1350" s="263" t="s">
        <v>1991</v>
      </c>
      <c r="T1350" s="263"/>
      <c r="U1350" s="263"/>
      <c r="V1350" s="263"/>
      <c r="W1350" s="263"/>
      <c r="X1350" s="263"/>
      <c r="Y1350" s="575"/>
      <c r="Z1350" s="575"/>
      <c r="AA1350" s="576">
        <f t="shared" si="126"/>
        <v>0</v>
      </c>
      <c r="AB1350" s="722"/>
    </row>
    <row r="1351" spans="1:28" ht="15" customHeight="1" x14ac:dyDescent="0.35">
      <c r="A1351" s="98" t="s">
        <v>4788</v>
      </c>
      <c r="C1351" s="118">
        <v>43861</v>
      </c>
      <c r="D1351" s="318">
        <v>43901</v>
      </c>
      <c r="E1351" s="570"/>
      <c r="F1351" s="88" t="s">
        <v>4853</v>
      </c>
      <c r="G1351" s="88" t="s">
        <v>152</v>
      </c>
      <c r="H1351" s="98" t="s">
        <v>220</v>
      </c>
      <c r="I1351" s="98" t="s">
        <v>649</v>
      </c>
      <c r="J1351" s="75">
        <f t="shared" si="124"/>
        <v>1</v>
      </c>
      <c r="K1351" s="263" t="s">
        <v>211</v>
      </c>
      <c r="N1351" s="78" t="s">
        <v>18</v>
      </c>
      <c r="Q1351" s="78" t="s">
        <v>2097</v>
      </c>
      <c r="R1351" s="75">
        <f t="shared" si="125"/>
        <v>1</v>
      </c>
      <c r="S1351" s="263" t="s">
        <v>1991</v>
      </c>
      <c r="T1351" s="263"/>
      <c r="U1351" s="263"/>
      <c r="V1351" s="263"/>
      <c r="W1351" s="263"/>
      <c r="X1351" s="263"/>
      <c r="Y1351" s="575"/>
      <c r="Z1351" s="575"/>
      <c r="AA1351" s="576">
        <f t="shared" si="126"/>
        <v>0</v>
      </c>
      <c r="AB1351" s="722"/>
    </row>
    <row r="1352" spans="1:28" ht="15" customHeight="1" x14ac:dyDescent="0.35">
      <c r="A1352" s="98" t="s">
        <v>4490</v>
      </c>
      <c r="C1352" s="118">
        <v>43861</v>
      </c>
      <c r="D1352" s="318">
        <v>43901</v>
      </c>
      <c r="E1352" s="570"/>
      <c r="F1352" s="88" t="s">
        <v>4491</v>
      </c>
      <c r="G1352" s="88" t="s">
        <v>186</v>
      </c>
      <c r="H1352" s="98" t="s">
        <v>220</v>
      </c>
      <c r="I1352" s="98" t="s">
        <v>648</v>
      </c>
      <c r="J1352" s="75">
        <f t="shared" si="124"/>
        <v>1</v>
      </c>
      <c r="K1352" s="263" t="s">
        <v>211</v>
      </c>
      <c r="N1352" s="78" t="s">
        <v>18</v>
      </c>
      <c r="Q1352" s="78" t="s">
        <v>2056</v>
      </c>
      <c r="R1352" s="75">
        <f t="shared" si="125"/>
        <v>1</v>
      </c>
      <c r="S1352" s="263" t="s">
        <v>1991</v>
      </c>
      <c r="T1352" s="263"/>
      <c r="U1352" s="263"/>
      <c r="V1352" s="263"/>
      <c r="W1352" s="263"/>
      <c r="X1352" s="263"/>
      <c r="Y1352" s="575"/>
      <c r="Z1352" s="575"/>
      <c r="AA1352" s="576">
        <f t="shared" si="126"/>
        <v>0</v>
      </c>
      <c r="AB1352" s="722"/>
    </row>
    <row r="1353" spans="1:28" ht="15" customHeight="1" x14ac:dyDescent="0.35">
      <c r="A1353" s="81" t="s">
        <v>4409</v>
      </c>
      <c r="C1353" s="118">
        <v>43861</v>
      </c>
      <c r="D1353" s="318">
        <v>43901</v>
      </c>
      <c r="E1353" s="570"/>
      <c r="F1353" s="88" t="s">
        <v>4410</v>
      </c>
      <c r="G1353" s="88" t="s">
        <v>1337</v>
      </c>
      <c r="H1353" s="98" t="s">
        <v>220</v>
      </c>
      <c r="I1353" s="98" t="s">
        <v>1004</v>
      </c>
      <c r="J1353" s="75">
        <f t="shared" si="124"/>
        <v>1</v>
      </c>
      <c r="K1353" s="263" t="s">
        <v>211</v>
      </c>
      <c r="N1353" s="78" t="s">
        <v>19</v>
      </c>
      <c r="Q1353" s="78" t="s">
        <v>2163</v>
      </c>
      <c r="R1353" s="75">
        <f t="shared" si="125"/>
        <v>1</v>
      </c>
      <c r="S1353" s="263" t="s">
        <v>1991</v>
      </c>
      <c r="T1353" s="263"/>
      <c r="U1353" s="263"/>
      <c r="V1353" s="263"/>
      <c r="W1353" s="263"/>
      <c r="X1353" s="263"/>
      <c r="Y1353" s="575"/>
      <c r="Z1353" s="575"/>
      <c r="AA1353" s="576">
        <f t="shared" si="126"/>
        <v>0</v>
      </c>
      <c r="AB1353" s="722"/>
    </row>
    <row r="1354" spans="1:28" ht="15" customHeight="1" x14ac:dyDescent="0.35">
      <c r="A1354" s="98" t="s">
        <v>4525</v>
      </c>
      <c r="C1354" s="118">
        <v>43861</v>
      </c>
      <c r="D1354" s="318">
        <v>43901</v>
      </c>
      <c r="E1354" s="570"/>
      <c r="F1354" s="88" t="s">
        <v>4526</v>
      </c>
      <c r="G1354" s="88" t="s">
        <v>162</v>
      </c>
      <c r="H1354" s="98" t="s">
        <v>220</v>
      </c>
      <c r="I1354" s="98" t="s">
        <v>649</v>
      </c>
      <c r="J1354" s="75">
        <f t="shared" si="124"/>
        <v>1</v>
      </c>
      <c r="K1354" s="263" t="s">
        <v>211</v>
      </c>
      <c r="N1354" s="78" t="s">
        <v>18</v>
      </c>
      <c r="Q1354" s="78" t="s">
        <v>2097</v>
      </c>
      <c r="R1354" s="75">
        <f t="shared" si="125"/>
        <v>1</v>
      </c>
      <c r="S1354" s="263" t="s">
        <v>1991</v>
      </c>
      <c r="T1354" s="263"/>
      <c r="U1354" s="263" t="s">
        <v>4953</v>
      </c>
      <c r="V1354" s="263"/>
      <c r="W1354" s="263"/>
      <c r="X1354" s="263"/>
      <c r="Y1354" s="575"/>
      <c r="Z1354" s="575"/>
      <c r="AA1354" s="576">
        <f t="shared" si="126"/>
        <v>0</v>
      </c>
      <c r="AB1354" s="722"/>
    </row>
    <row r="1355" spans="1:28" ht="15" customHeight="1" x14ac:dyDescent="0.35">
      <c r="A1355" s="98" t="s">
        <v>4411</v>
      </c>
      <c r="C1355" s="118">
        <v>43864</v>
      </c>
      <c r="D1355" s="318">
        <v>43902</v>
      </c>
      <c r="E1355" s="570"/>
      <c r="F1355" s="88" t="s">
        <v>4412</v>
      </c>
      <c r="G1355" s="88" t="s">
        <v>162</v>
      </c>
      <c r="H1355" s="98" t="s">
        <v>220</v>
      </c>
      <c r="I1355" s="98" t="s">
        <v>1308</v>
      </c>
      <c r="J1355" s="75">
        <f t="shared" si="124"/>
        <v>1</v>
      </c>
      <c r="K1355" s="76" t="s">
        <v>211</v>
      </c>
      <c r="N1355" s="78" t="s">
        <v>18</v>
      </c>
      <c r="Q1355" s="78" t="s">
        <v>2163</v>
      </c>
      <c r="R1355" s="75">
        <f t="shared" si="125"/>
        <v>1</v>
      </c>
      <c r="S1355" s="263" t="s">
        <v>1991</v>
      </c>
      <c r="T1355" s="263"/>
      <c r="U1355" s="263"/>
      <c r="V1355" s="263"/>
      <c r="W1355" s="263"/>
      <c r="X1355" s="263"/>
      <c r="Y1355" s="575"/>
      <c r="Z1355" s="575"/>
      <c r="AA1355" s="576">
        <f t="shared" si="126"/>
        <v>0</v>
      </c>
      <c r="AB1355" s="722"/>
    </row>
    <row r="1356" spans="1:28" ht="15" customHeight="1" x14ac:dyDescent="0.35">
      <c r="A1356" s="98" t="s">
        <v>4492</v>
      </c>
      <c r="C1356" s="118">
        <v>43864</v>
      </c>
      <c r="D1356" s="318">
        <v>43902</v>
      </c>
      <c r="E1356" s="570"/>
      <c r="F1356" s="88" t="s">
        <v>4493</v>
      </c>
      <c r="G1356" s="88" t="s">
        <v>156</v>
      </c>
      <c r="H1356" s="98" t="s">
        <v>220</v>
      </c>
      <c r="I1356" s="98" t="s">
        <v>722</v>
      </c>
      <c r="J1356" s="75">
        <f t="shared" si="124"/>
        <v>1</v>
      </c>
      <c r="K1356" s="76" t="s">
        <v>211</v>
      </c>
      <c r="N1356" s="78" t="s">
        <v>18</v>
      </c>
      <c r="Q1356" s="78" t="s">
        <v>2056</v>
      </c>
      <c r="R1356" s="75">
        <f t="shared" si="125"/>
        <v>1</v>
      </c>
      <c r="S1356" s="263" t="s">
        <v>1991</v>
      </c>
      <c r="T1356" s="263"/>
      <c r="U1356" s="263"/>
      <c r="V1356" s="263"/>
      <c r="W1356" s="263"/>
      <c r="X1356" s="263"/>
      <c r="Y1356" s="575"/>
      <c r="Z1356" s="575"/>
      <c r="AA1356" s="576">
        <f t="shared" si="126"/>
        <v>0</v>
      </c>
      <c r="AB1356" s="722"/>
    </row>
    <row r="1357" spans="1:28" ht="15" customHeight="1" x14ac:dyDescent="0.35">
      <c r="A1357" s="98" t="s">
        <v>4789</v>
      </c>
      <c r="C1357" s="118">
        <v>43864</v>
      </c>
      <c r="D1357" s="318">
        <v>43902</v>
      </c>
      <c r="E1357" s="570"/>
      <c r="F1357" s="88" t="s">
        <v>4854</v>
      </c>
      <c r="G1357" s="88" t="s">
        <v>149</v>
      </c>
      <c r="H1357" s="98" t="s">
        <v>220</v>
      </c>
      <c r="I1357" s="98" t="s">
        <v>722</v>
      </c>
      <c r="J1357" s="75">
        <f t="shared" si="124"/>
        <v>1</v>
      </c>
      <c r="K1357" s="76" t="s">
        <v>211</v>
      </c>
      <c r="N1357" s="78" t="s">
        <v>18</v>
      </c>
      <c r="Q1357" s="78" t="s">
        <v>2130</v>
      </c>
      <c r="R1357" s="75">
        <f t="shared" si="125"/>
        <v>1</v>
      </c>
      <c r="S1357" s="263" t="s">
        <v>1991</v>
      </c>
      <c r="T1357" s="263"/>
      <c r="U1357" s="263"/>
      <c r="V1357" s="263"/>
      <c r="W1357" s="263"/>
      <c r="X1357" s="263"/>
      <c r="Y1357" s="575"/>
      <c r="Z1357" s="575"/>
      <c r="AA1357" s="576">
        <f t="shared" si="126"/>
        <v>0</v>
      </c>
      <c r="AB1357" s="722"/>
    </row>
    <row r="1358" spans="1:28" ht="15" customHeight="1" x14ac:dyDescent="0.35">
      <c r="A1358" s="98" t="s">
        <v>4529</v>
      </c>
      <c r="C1358" s="118">
        <v>43864</v>
      </c>
      <c r="D1358" s="318">
        <v>43902</v>
      </c>
      <c r="E1358" s="570"/>
      <c r="F1358" s="88" t="s">
        <v>4530</v>
      </c>
      <c r="G1358" s="88" t="s">
        <v>152</v>
      </c>
      <c r="H1358" s="98" t="s">
        <v>220</v>
      </c>
      <c r="I1358" s="98" t="s">
        <v>649</v>
      </c>
      <c r="J1358" s="75">
        <f t="shared" si="124"/>
        <v>1</v>
      </c>
      <c r="K1358" s="76" t="s">
        <v>211</v>
      </c>
      <c r="N1358" s="78" t="s">
        <v>18</v>
      </c>
      <c r="Q1358" s="78" t="s">
        <v>2097</v>
      </c>
      <c r="R1358" s="75">
        <f t="shared" si="125"/>
        <v>1</v>
      </c>
      <c r="S1358" s="263" t="s">
        <v>1991</v>
      </c>
      <c r="T1358" s="263"/>
      <c r="U1358" s="263"/>
      <c r="V1358" s="263"/>
      <c r="W1358" s="263"/>
      <c r="X1358" s="263"/>
      <c r="Y1358" s="575"/>
      <c r="Z1358" s="575"/>
      <c r="AA1358" s="576">
        <f t="shared" si="126"/>
        <v>0</v>
      </c>
      <c r="AB1358" s="722"/>
    </row>
    <row r="1359" spans="1:28" ht="15" customHeight="1" x14ac:dyDescent="0.35">
      <c r="A1359" s="98" t="s">
        <v>4417</v>
      </c>
      <c r="C1359" s="118">
        <v>43864</v>
      </c>
      <c r="D1359" s="318">
        <v>43902</v>
      </c>
      <c r="E1359" s="570"/>
      <c r="F1359" s="88" t="s">
        <v>4418</v>
      </c>
      <c r="G1359" s="88" t="s">
        <v>158</v>
      </c>
      <c r="H1359" s="98" t="s">
        <v>220</v>
      </c>
      <c r="I1359" s="98" t="s">
        <v>649</v>
      </c>
      <c r="J1359" s="75">
        <f t="shared" si="124"/>
        <v>1</v>
      </c>
      <c r="K1359" s="76" t="s">
        <v>211</v>
      </c>
      <c r="N1359" s="78" t="s">
        <v>18</v>
      </c>
      <c r="Q1359" s="78" t="s">
        <v>2163</v>
      </c>
      <c r="R1359" s="75">
        <f t="shared" si="125"/>
        <v>1</v>
      </c>
      <c r="S1359" s="263" t="s">
        <v>1991</v>
      </c>
      <c r="T1359" s="263"/>
      <c r="U1359" s="263"/>
      <c r="V1359" s="263"/>
      <c r="W1359" s="263"/>
      <c r="X1359" s="263"/>
      <c r="Y1359" s="575"/>
      <c r="Z1359" s="575"/>
      <c r="AA1359" s="576">
        <f t="shared" si="126"/>
        <v>0</v>
      </c>
      <c r="AB1359" s="722"/>
    </row>
    <row r="1360" spans="1:28" ht="15" customHeight="1" x14ac:dyDescent="0.35">
      <c r="A1360" s="98" t="s">
        <v>4494</v>
      </c>
      <c r="C1360" s="118">
        <v>43864</v>
      </c>
      <c r="D1360" s="318">
        <v>43902</v>
      </c>
      <c r="E1360" s="570"/>
      <c r="F1360" s="88" t="s">
        <v>4495</v>
      </c>
      <c r="G1360" s="88" t="s">
        <v>156</v>
      </c>
      <c r="H1360" s="98" t="s">
        <v>220</v>
      </c>
      <c r="I1360" s="98" t="s">
        <v>1380</v>
      </c>
      <c r="J1360" s="75">
        <f t="shared" si="124"/>
        <v>1</v>
      </c>
      <c r="K1360" s="76" t="s">
        <v>211</v>
      </c>
      <c r="N1360" s="78" t="s">
        <v>19</v>
      </c>
      <c r="Q1360" s="78" t="s">
        <v>2056</v>
      </c>
      <c r="R1360" s="75">
        <f t="shared" si="125"/>
        <v>1</v>
      </c>
      <c r="S1360" s="263" t="s">
        <v>1991</v>
      </c>
      <c r="T1360" s="263"/>
      <c r="U1360" s="263" t="s">
        <v>4951</v>
      </c>
      <c r="V1360" s="263"/>
      <c r="W1360" s="263" t="s">
        <v>4962</v>
      </c>
      <c r="X1360" s="263"/>
      <c r="Y1360" s="575"/>
      <c r="Z1360" s="575"/>
      <c r="AA1360" s="576">
        <f t="shared" si="126"/>
        <v>0</v>
      </c>
      <c r="AB1360" s="722"/>
    </row>
    <row r="1361" spans="1:28" ht="15" customHeight="1" x14ac:dyDescent="0.35">
      <c r="A1361" s="81" t="s">
        <v>4790</v>
      </c>
      <c r="C1361" s="118">
        <v>43864</v>
      </c>
      <c r="D1361" s="318">
        <v>43902</v>
      </c>
      <c r="E1361" s="570"/>
      <c r="F1361" s="88" t="s">
        <v>4855</v>
      </c>
      <c r="G1361" s="88" t="s">
        <v>162</v>
      </c>
      <c r="H1361" s="98" t="s">
        <v>220</v>
      </c>
      <c r="I1361" s="98" t="s">
        <v>730</v>
      </c>
      <c r="J1361" s="75">
        <f t="shared" si="124"/>
        <v>1</v>
      </c>
      <c r="K1361" s="76" t="s">
        <v>211</v>
      </c>
      <c r="L1361" s="99" t="s">
        <v>4968</v>
      </c>
      <c r="N1361" s="78" t="s">
        <v>17</v>
      </c>
      <c r="Q1361" s="78" t="s">
        <v>2130</v>
      </c>
      <c r="R1361" s="75">
        <f t="shared" si="125"/>
        <v>1</v>
      </c>
      <c r="S1361" s="263" t="s">
        <v>1991</v>
      </c>
      <c r="T1361" s="263"/>
      <c r="U1361" s="263" t="s">
        <v>4969</v>
      </c>
      <c r="V1361" s="263"/>
      <c r="W1361" s="263"/>
      <c r="X1361" s="263"/>
      <c r="Y1361" s="575"/>
      <c r="Z1361" s="575"/>
      <c r="AA1361" s="576">
        <f t="shared" si="126"/>
        <v>0</v>
      </c>
      <c r="AB1361" s="722"/>
    </row>
    <row r="1362" spans="1:28" ht="15" customHeight="1" x14ac:dyDescent="0.35">
      <c r="A1362" s="81" t="s">
        <v>4533</v>
      </c>
      <c r="C1362" s="118">
        <v>43864</v>
      </c>
      <c r="D1362" s="318">
        <v>43902</v>
      </c>
      <c r="E1362" s="570"/>
      <c r="F1362" s="88" t="s">
        <v>4534</v>
      </c>
      <c r="G1362" s="88" t="s">
        <v>545</v>
      </c>
      <c r="H1362" s="98" t="s">
        <v>220</v>
      </c>
      <c r="I1362" s="98" t="s">
        <v>1004</v>
      </c>
      <c r="J1362" s="75">
        <f t="shared" si="124"/>
        <v>1</v>
      </c>
      <c r="K1362" s="76" t="s">
        <v>211</v>
      </c>
      <c r="N1362" s="78" t="s">
        <v>19</v>
      </c>
      <c r="Q1362" s="78" t="s">
        <v>2097</v>
      </c>
      <c r="R1362" s="75">
        <f t="shared" si="125"/>
        <v>1</v>
      </c>
      <c r="S1362" s="263" t="s">
        <v>1991</v>
      </c>
      <c r="T1362" s="263"/>
      <c r="U1362" s="263"/>
      <c r="V1362" s="263"/>
      <c r="W1362" s="263"/>
      <c r="X1362" s="263"/>
      <c r="Y1362" s="575"/>
      <c r="Z1362" s="575"/>
      <c r="AA1362" s="576">
        <f t="shared" si="126"/>
        <v>0</v>
      </c>
      <c r="AB1362" s="722"/>
    </row>
    <row r="1363" spans="1:28" ht="15" customHeight="1" x14ac:dyDescent="0.35">
      <c r="A1363" s="98" t="s">
        <v>4384</v>
      </c>
      <c r="C1363" s="118">
        <v>43864</v>
      </c>
      <c r="D1363" s="318">
        <v>43902</v>
      </c>
      <c r="E1363" s="570"/>
      <c r="F1363" s="88" t="s">
        <v>4385</v>
      </c>
      <c r="G1363" s="88" t="s">
        <v>162</v>
      </c>
      <c r="H1363" s="98" t="s">
        <v>220</v>
      </c>
      <c r="I1363" s="98" t="s">
        <v>722</v>
      </c>
      <c r="J1363" s="75">
        <f t="shared" si="124"/>
        <v>1</v>
      </c>
      <c r="K1363" s="76" t="s">
        <v>211</v>
      </c>
      <c r="N1363" s="78" t="s">
        <v>18</v>
      </c>
      <c r="Q1363" s="78" t="s">
        <v>2130</v>
      </c>
      <c r="R1363" s="75">
        <f t="shared" si="125"/>
        <v>1</v>
      </c>
      <c r="S1363" s="263" t="s">
        <v>1991</v>
      </c>
      <c r="T1363" s="263"/>
      <c r="U1363" s="263"/>
      <c r="V1363" s="263"/>
      <c r="W1363" s="263"/>
      <c r="X1363" s="263"/>
      <c r="Y1363" s="575"/>
      <c r="Z1363" s="575"/>
      <c r="AA1363" s="576">
        <f t="shared" si="126"/>
        <v>0</v>
      </c>
      <c r="AB1363" s="722"/>
    </row>
    <row r="1364" spans="1:28" ht="15" customHeight="1" x14ac:dyDescent="0.35">
      <c r="A1364" s="98" t="s">
        <v>4502</v>
      </c>
      <c r="C1364" s="118">
        <v>43865</v>
      </c>
      <c r="D1364" s="318">
        <v>43902</v>
      </c>
      <c r="E1364" s="570"/>
      <c r="F1364" s="88" t="s">
        <v>3998</v>
      </c>
      <c r="G1364" s="88" t="s">
        <v>154</v>
      </c>
      <c r="H1364" s="98" t="s">
        <v>220</v>
      </c>
      <c r="I1364" s="98" t="s">
        <v>1004</v>
      </c>
      <c r="J1364" s="75">
        <f t="shared" si="124"/>
        <v>1</v>
      </c>
      <c r="K1364" s="76" t="s">
        <v>211</v>
      </c>
      <c r="L1364" s="99" t="s">
        <v>4952</v>
      </c>
      <c r="N1364" s="78" t="s">
        <v>19</v>
      </c>
      <c r="Q1364" s="78" t="s">
        <v>2056</v>
      </c>
      <c r="R1364" s="75">
        <f t="shared" si="125"/>
        <v>1</v>
      </c>
      <c r="S1364" s="263" t="s">
        <v>1991</v>
      </c>
      <c r="T1364" s="263"/>
      <c r="U1364" s="263"/>
      <c r="V1364" s="263"/>
      <c r="W1364" s="263"/>
      <c r="X1364" s="263"/>
      <c r="Y1364" s="575"/>
      <c r="Z1364" s="575"/>
      <c r="AA1364" s="576">
        <f t="shared" si="126"/>
        <v>0</v>
      </c>
      <c r="AB1364" s="722"/>
    </row>
    <row r="1365" spans="1:28" ht="15" customHeight="1" x14ac:dyDescent="0.35">
      <c r="A1365" s="98" t="s">
        <v>4503</v>
      </c>
      <c r="C1365" s="118">
        <v>43865</v>
      </c>
      <c r="D1365" s="318">
        <v>43903</v>
      </c>
      <c r="E1365" s="570"/>
      <c r="F1365" s="88" t="s">
        <v>4504</v>
      </c>
      <c r="G1365" s="88" t="s">
        <v>156</v>
      </c>
      <c r="H1365" s="98" t="s">
        <v>220</v>
      </c>
      <c r="I1365" s="98" t="s">
        <v>730</v>
      </c>
      <c r="J1365" s="75">
        <f t="shared" si="124"/>
        <v>1</v>
      </c>
      <c r="K1365" s="76" t="s">
        <v>211</v>
      </c>
      <c r="N1365" s="78" t="s">
        <v>17</v>
      </c>
      <c r="Q1365" s="78" t="s">
        <v>2056</v>
      </c>
      <c r="R1365" s="75">
        <f t="shared" si="125"/>
        <v>1</v>
      </c>
      <c r="S1365" s="263" t="s">
        <v>1991</v>
      </c>
      <c r="T1365" s="263"/>
      <c r="U1365" s="263"/>
      <c r="V1365" s="263"/>
      <c r="W1365" s="263"/>
      <c r="X1365" s="263"/>
      <c r="Y1365" s="575"/>
      <c r="Z1365" s="575"/>
      <c r="AA1365" s="576">
        <f t="shared" si="126"/>
        <v>0</v>
      </c>
      <c r="AB1365" s="722"/>
    </row>
    <row r="1366" spans="1:28" ht="15" customHeight="1" x14ac:dyDescent="0.35">
      <c r="A1366" s="98" t="s">
        <v>4791</v>
      </c>
      <c r="C1366" s="118">
        <v>43865</v>
      </c>
      <c r="D1366" s="318">
        <v>43903</v>
      </c>
      <c r="E1366" s="570"/>
      <c r="F1366" s="88" t="s">
        <v>4856</v>
      </c>
      <c r="G1366" s="88" t="s">
        <v>168</v>
      </c>
      <c r="H1366" s="98" t="s">
        <v>220</v>
      </c>
      <c r="I1366" s="98" t="s">
        <v>722</v>
      </c>
      <c r="J1366" s="75">
        <f t="shared" si="124"/>
        <v>1</v>
      </c>
      <c r="K1366" s="76" t="s">
        <v>211</v>
      </c>
      <c r="N1366" s="78" t="s">
        <v>18</v>
      </c>
      <c r="Q1366" s="78" t="s">
        <v>2163</v>
      </c>
      <c r="R1366" s="75">
        <f t="shared" si="125"/>
        <v>1</v>
      </c>
      <c r="S1366" s="263" t="s">
        <v>1991</v>
      </c>
      <c r="T1366" s="263"/>
      <c r="U1366" s="263"/>
      <c r="V1366" s="263"/>
      <c r="W1366" s="263"/>
      <c r="X1366" s="263"/>
      <c r="Y1366" s="575"/>
      <c r="Z1366" s="575"/>
      <c r="AA1366" s="576">
        <f t="shared" si="126"/>
        <v>0</v>
      </c>
      <c r="AB1366" s="722"/>
    </row>
    <row r="1367" spans="1:28" ht="15" customHeight="1" x14ac:dyDescent="0.35">
      <c r="A1367" s="81" t="s">
        <v>4537</v>
      </c>
      <c r="C1367" s="118">
        <v>43865</v>
      </c>
      <c r="D1367" s="318">
        <v>43903</v>
      </c>
      <c r="E1367" s="570"/>
      <c r="F1367" s="88" t="s">
        <v>4538</v>
      </c>
      <c r="G1367" s="88" t="s">
        <v>149</v>
      </c>
      <c r="H1367" s="81" t="s">
        <v>275</v>
      </c>
      <c r="I1367" s="98" t="s">
        <v>4961</v>
      </c>
      <c r="J1367" s="75">
        <f t="shared" si="124"/>
        <v>1</v>
      </c>
      <c r="K1367" s="76" t="s">
        <v>211</v>
      </c>
      <c r="N1367" s="78" t="s">
        <v>18</v>
      </c>
      <c r="Q1367" s="78" t="s">
        <v>2097</v>
      </c>
      <c r="R1367" s="75">
        <f t="shared" si="125"/>
        <v>1</v>
      </c>
      <c r="S1367" s="263" t="s">
        <v>1991</v>
      </c>
      <c r="T1367" s="263"/>
      <c r="U1367" s="263"/>
      <c r="V1367" s="263"/>
      <c r="W1367" s="263"/>
      <c r="X1367" s="263"/>
      <c r="Y1367" s="575"/>
      <c r="Z1367" s="575"/>
      <c r="AA1367" s="576">
        <f t="shared" si="126"/>
        <v>0</v>
      </c>
      <c r="AB1367" s="722"/>
    </row>
    <row r="1368" spans="1:28" ht="15" customHeight="1" x14ac:dyDescent="0.35">
      <c r="A1368" s="98" t="s">
        <v>4541</v>
      </c>
      <c r="C1368" s="118">
        <v>43865</v>
      </c>
      <c r="D1368" s="318">
        <v>43903</v>
      </c>
      <c r="E1368" s="570"/>
      <c r="F1368" s="88" t="s">
        <v>4542</v>
      </c>
      <c r="G1368" s="88" t="s">
        <v>176</v>
      </c>
      <c r="H1368" s="98" t="s">
        <v>220</v>
      </c>
      <c r="I1368" s="98" t="s">
        <v>649</v>
      </c>
      <c r="J1368" s="75">
        <f t="shared" si="124"/>
        <v>1</v>
      </c>
      <c r="K1368" s="76" t="s">
        <v>211</v>
      </c>
      <c r="N1368" s="78" t="s">
        <v>18</v>
      </c>
      <c r="Q1368" s="78" t="s">
        <v>2097</v>
      </c>
      <c r="R1368" s="75">
        <f t="shared" si="125"/>
        <v>1</v>
      </c>
      <c r="S1368" s="263" t="s">
        <v>1991</v>
      </c>
      <c r="T1368" s="263"/>
      <c r="U1368" s="263"/>
      <c r="V1368" s="263"/>
      <c r="W1368" s="263"/>
      <c r="X1368" s="263"/>
      <c r="Y1368" s="575"/>
      <c r="Z1368" s="575"/>
      <c r="AA1368" s="576">
        <f t="shared" si="126"/>
        <v>0</v>
      </c>
      <c r="AB1368" s="722"/>
    </row>
    <row r="1369" spans="1:28" ht="15" customHeight="1" x14ac:dyDescent="0.35">
      <c r="A1369" s="81" t="s">
        <v>4792</v>
      </c>
      <c r="C1369" s="118">
        <v>43865</v>
      </c>
      <c r="D1369" s="118">
        <v>43903</v>
      </c>
      <c r="E1369" s="570"/>
      <c r="F1369" s="88" t="s">
        <v>4857</v>
      </c>
      <c r="G1369" s="88" t="s">
        <v>158</v>
      </c>
      <c r="H1369" s="98" t="s">
        <v>220</v>
      </c>
      <c r="J1369" s="75">
        <f t="shared" ref="J1369:J1407" si="127">IF(OR(K1369="Документы готовы",K1369="Запрос в ФО",K1369="ЭЗ",K1369="РЕШ",K1369="РЕШ шаблон"),0.1,IF(OR(K1369="ЭЗ согласование",K1369="РЕШ согласование"),0.3,IF(OR(K1369="ЭЗ согласовано",K1369="РЕШ согласовано",K1369="РЕШ подписано"),0.6,IF(OR(K1369="ЭЗ ПР согласование",K1369="РЕШ УВ согласование"),0.9,IF(OR(K1369="ЭЗ ПР DONE",K1369="РЕШ УВ DONE"),1,0)))))</f>
        <v>1</v>
      </c>
      <c r="K1369" s="76" t="s">
        <v>221</v>
      </c>
      <c r="Q1369" s="78" t="s">
        <v>2097</v>
      </c>
      <c r="R1369" s="75">
        <f t="shared" ref="R1369:R1407" si="128">IF(S1369="В работе",0.3,IF(S1369="Отписано",0.6,IF(S1369="На доработку",0.9,IF(S1369="Согласовано",1,0))))</f>
        <v>1</v>
      </c>
      <c r="S1369" s="263" t="s">
        <v>1991</v>
      </c>
      <c r="T1369" s="263"/>
      <c r="U1369" s="263"/>
      <c r="V1369" s="263"/>
      <c r="W1369" s="263"/>
      <c r="X1369" s="263"/>
      <c r="Y1369" s="575"/>
      <c r="Z1369" s="575"/>
      <c r="AA1369" s="576">
        <f t="shared" si="126"/>
        <v>0</v>
      </c>
      <c r="AB1369" s="722"/>
    </row>
    <row r="1370" spans="1:28" ht="15" customHeight="1" x14ac:dyDescent="0.35">
      <c r="A1370" s="98" t="s">
        <v>4394</v>
      </c>
      <c r="C1370" s="118">
        <v>43866</v>
      </c>
      <c r="D1370" s="318">
        <v>43903</v>
      </c>
      <c r="E1370" s="570"/>
      <c r="F1370" s="88" t="s">
        <v>4395</v>
      </c>
      <c r="G1370" s="88" t="s">
        <v>417</v>
      </c>
      <c r="H1370" s="98" t="s">
        <v>220</v>
      </c>
      <c r="I1370" s="98" t="s">
        <v>649</v>
      </c>
      <c r="J1370" s="75">
        <f t="shared" si="127"/>
        <v>1</v>
      </c>
      <c r="K1370" s="76" t="s">
        <v>211</v>
      </c>
      <c r="N1370" s="78" t="s">
        <v>18</v>
      </c>
      <c r="Q1370" s="78" t="s">
        <v>2130</v>
      </c>
      <c r="R1370" s="75">
        <f t="shared" si="128"/>
        <v>1</v>
      </c>
      <c r="S1370" s="263" t="s">
        <v>1991</v>
      </c>
      <c r="T1370" s="263"/>
      <c r="U1370" s="263"/>
      <c r="V1370" s="263"/>
      <c r="W1370" s="263"/>
      <c r="X1370" s="263"/>
      <c r="Y1370" s="575"/>
      <c r="Z1370" s="575"/>
      <c r="AA1370" s="576">
        <f t="shared" si="126"/>
        <v>0</v>
      </c>
      <c r="AB1370" s="722"/>
    </row>
    <row r="1371" spans="1:28" ht="15" customHeight="1" x14ac:dyDescent="0.35">
      <c r="A1371" s="81" t="s">
        <v>4429</v>
      </c>
      <c r="C1371" s="118">
        <v>43866</v>
      </c>
      <c r="D1371" s="318">
        <v>43903</v>
      </c>
      <c r="E1371" s="570"/>
      <c r="F1371" s="88" t="s">
        <v>4430</v>
      </c>
      <c r="G1371" s="88" t="s">
        <v>162</v>
      </c>
      <c r="H1371" s="98" t="s">
        <v>220</v>
      </c>
      <c r="I1371" s="98" t="s">
        <v>649</v>
      </c>
      <c r="J1371" s="75">
        <f t="shared" si="127"/>
        <v>1</v>
      </c>
      <c r="K1371" s="76" t="s">
        <v>211</v>
      </c>
      <c r="N1371" s="78" t="s">
        <v>18</v>
      </c>
      <c r="Q1371" s="78" t="s">
        <v>2163</v>
      </c>
      <c r="R1371" s="75">
        <f t="shared" si="128"/>
        <v>1</v>
      </c>
      <c r="S1371" s="263" t="s">
        <v>1991</v>
      </c>
      <c r="T1371" s="263"/>
      <c r="U1371" s="263"/>
      <c r="V1371" s="263"/>
      <c r="W1371" s="263"/>
      <c r="X1371" s="263"/>
      <c r="Y1371" s="575"/>
      <c r="Z1371" s="575"/>
      <c r="AA1371" s="576">
        <f t="shared" si="126"/>
        <v>0</v>
      </c>
      <c r="AB1371" s="722"/>
    </row>
    <row r="1372" spans="1:28" ht="15" customHeight="1" x14ac:dyDescent="0.35">
      <c r="A1372" s="98" t="s">
        <v>4507</v>
      </c>
      <c r="C1372" s="118">
        <v>43866</v>
      </c>
      <c r="D1372" s="318">
        <v>43903</v>
      </c>
      <c r="E1372" s="570"/>
      <c r="F1372" s="88" t="s">
        <v>4508</v>
      </c>
      <c r="G1372" s="88" t="s">
        <v>156</v>
      </c>
      <c r="H1372" s="98" t="s">
        <v>220</v>
      </c>
      <c r="I1372" s="98" t="s">
        <v>1004</v>
      </c>
      <c r="J1372" s="75">
        <f t="shared" si="127"/>
        <v>1</v>
      </c>
      <c r="K1372" s="76" t="s">
        <v>211</v>
      </c>
      <c r="N1372" s="78" t="s">
        <v>19</v>
      </c>
      <c r="Q1372" s="78" t="s">
        <v>2056</v>
      </c>
      <c r="R1372" s="75">
        <f t="shared" si="128"/>
        <v>1</v>
      </c>
      <c r="S1372" s="263" t="s">
        <v>1991</v>
      </c>
      <c r="T1372" s="263"/>
      <c r="U1372" s="263"/>
      <c r="V1372" s="263"/>
      <c r="W1372" s="263"/>
      <c r="X1372" s="263"/>
      <c r="Y1372" s="575"/>
      <c r="Z1372" s="575"/>
      <c r="AA1372" s="576">
        <f t="shared" si="126"/>
        <v>0</v>
      </c>
      <c r="AB1372" s="722"/>
    </row>
    <row r="1373" spans="1:28" ht="15" customHeight="1" x14ac:dyDescent="0.35">
      <c r="A1373" s="81" t="s">
        <v>4793</v>
      </c>
      <c r="C1373" s="118">
        <v>43874</v>
      </c>
      <c r="D1373" s="118">
        <v>43900</v>
      </c>
      <c r="E1373" s="570"/>
      <c r="F1373" s="88" t="s">
        <v>4858</v>
      </c>
      <c r="G1373" s="88" t="s">
        <v>149</v>
      </c>
      <c r="H1373" s="98" t="s">
        <v>220</v>
      </c>
      <c r="J1373" s="75">
        <f t="shared" si="127"/>
        <v>1</v>
      </c>
      <c r="K1373" s="76" t="s">
        <v>221</v>
      </c>
      <c r="Q1373" s="78" t="s">
        <v>2130</v>
      </c>
      <c r="R1373" s="75">
        <f t="shared" si="128"/>
        <v>1</v>
      </c>
      <c r="S1373" s="263" t="s">
        <v>1991</v>
      </c>
      <c r="T1373" s="263"/>
      <c r="U1373" s="263"/>
      <c r="V1373" s="263"/>
      <c r="W1373" s="263"/>
      <c r="X1373" s="263"/>
      <c r="Y1373" s="575"/>
      <c r="Z1373" s="575"/>
      <c r="AA1373" s="576">
        <f t="shared" si="126"/>
        <v>0</v>
      </c>
      <c r="AB1373" s="722"/>
    </row>
    <row r="1374" spans="1:28" ht="15" customHeight="1" x14ac:dyDescent="0.35">
      <c r="A1374" s="81" t="s">
        <v>4795</v>
      </c>
      <c r="C1374" s="118">
        <v>43874</v>
      </c>
      <c r="D1374" s="318">
        <v>43900</v>
      </c>
      <c r="E1374" s="570"/>
      <c r="F1374" s="88" t="s">
        <v>4860</v>
      </c>
      <c r="G1374" s="88" t="s">
        <v>154</v>
      </c>
      <c r="H1374" s="98" t="s">
        <v>220</v>
      </c>
      <c r="I1374" s="98" t="s">
        <v>2213</v>
      </c>
      <c r="J1374" s="75">
        <f t="shared" si="127"/>
        <v>1</v>
      </c>
      <c r="K1374" s="76" t="s">
        <v>211</v>
      </c>
      <c r="N1374" s="78" t="s">
        <v>17</v>
      </c>
      <c r="Q1374" s="78" t="s">
        <v>2097</v>
      </c>
      <c r="R1374" s="75">
        <f t="shared" si="128"/>
        <v>1</v>
      </c>
      <c r="S1374" s="263" t="s">
        <v>1991</v>
      </c>
      <c r="T1374" s="263"/>
      <c r="U1374" s="263"/>
      <c r="V1374" s="263"/>
      <c r="W1374" s="263"/>
      <c r="X1374" s="263"/>
      <c r="Y1374" s="575"/>
      <c r="Z1374" s="575"/>
      <c r="AA1374" s="576">
        <f t="shared" si="126"/>
        <v>0</v>
      </c>
      <c r="AB1374" s="722"/>
    </row>
    <row r="1375" spans="1:28" ht="15" customHeight="1" x14ac:dyDescent="0.35">
      <c r="A1375" s="98" t="s">
        <v>4796</v>
      </c>
      <c r="C1375" s="118">
        <v>43874</v>
      </c>
      <c r="D1375" s="318">
        <v>43900</v>
      </c>
      <c r="E1375" s="570"/>
      <c r="F1375" s="88" t="s">
        <v>4861</v>
      </c>
      <c r="G1375" s="88" t="s">
        <v>154</v>
      </c>
      <c r="H1375" s="98" t="s">
        <v>220</v>
      </c>
      <c r="J1375" s="75">
        <f t="shared" si="127"/>
        <v>1</v>
      </c>
      <c r="K1375" s="76" t="s">
        <v>211</v>
      </c>
      <c r="N1375" s="78" t="s">
        <v>17</v>
      </c>
      <c r="Q1375" s="78" t="s">
        <v>2163</v>
      </c>
      <c r="R1375" s="75">
        <f t="shared" si="128"/>
        <v>1</v>
      </c>
      <c r="S1375" s="263" t="s">
        <v>1991</v>
      </c>
      <c r="T1375" s="263"/>
      <c r="U1375" s="263"/>
      <c r="V1375" s="263"/>
      <c r="W1375" s="263"/>
      <c r="X1375" s="263"/>
      <c r="Y1375" s="575"/>
      <c r="Z1375" s="575"/>
      <c r="AA1375" s="576">
        <f t="shared" si="126"/>
        <v>0</v>
      </c>
      <c r="AB1375" s="722"/>
    </row>
    <row r="1376" spans="1:28" ht="15" customHeight="1" x14ac:dyDescent="0.35">
      <c r="A1376" s="81" t="s">
        <v>4798</v>
      </c>
      <c r="C1376" s="118">
        <v>43874</v>
      </c>
      <c r="D1376" s="318">
        <v>43900</v>
      </c>
      <c r="E1376" s="570"/>
      <c r="F1376" s="88" t="s">
        <v>4863</v>
      </c>
      <c r="G1376" s="88" t="s">
        <v>154</v>
      </c>
      <c r="H1376" s="98" t="s">
        <v>220</v>
      </c>
      <c r="I1376" s="98" t="s">
        <v>652</v>
      </c>
      <c r="J1376" s="75">
        <f t="shared" si="127"/>
        <v>1</v>
      </c>
      <c r="K1376" s="76" t="s">
        <v>211</v>
      </c>
      <c r="L1376" s="99" t="s">
        <v>4954</v>
      </c>
      <c r="N1376" s="78" t="s">
        <v>17</v>
      </c>
      <c r="Q1376" s="78" t="s">
        <v>2097</v>
      </c>
      <c r="R1376" s="75">
        <f t="shared" si="128"/>
        <v>1</v>
      </c>
      <c r="S1376" s="263" t="s">
        <v>1991</v>
      </c>
      <c r="T1376" s="263"/>
      <c r="U1376" s="263" t="s">
        <v>4955</v>
      </c>
      <c r="V1376" s="263"/>
      <c r="W1376" s="263"/>
      <c r="X1376" s="263"/>
      <c r="Y1376" s="575"/>
      <c r="Z1376" s="575"/>
      <c r="AA1376" s="576">
        <f t="shared" si="126"/>
        <v>0</v>
      </c>
      <c r="AB1376" s="722"/>
    </row>
    <row r="1377" spans="1:28" ht="15" customHeight="1" x14ac:dyDescent="0.35">
      <c r="A1377" s="81" t="s">
        <v>4799</v>
      </c>
      <c r="C1377" s="118">
        <v>43875</v>
      </c>
      <c r="D1377" s="318">
        <v>43901</v>
      </c>
      <c r="E1377" s="570"/>
      <c r="F1377" s="88" t="s">
        <v>4864</v>
      </c>
      <c r="G1377" s="88" t="s">
        <v>417</v>
      </c>
      <c r="H1377" s="98" t="s">
        <v>220</v>
      </c>
      <c r="I1377" s="98" t="s">
        <v>656</v>
      </c>
      <c r="J1377" s="75">
        <f t="shared" si="127"/>
        <v>1</v>
      </c>
      <c r="K1377" s="263" t="s">
        <v>211</v>
      </c>
      <c r="N1377" s="78" t="s">
        <v>17</v>
      </c>
      <c r="Q1377" s="78" t="s">
        <v>2097</v>
      </c>
      <c r="R1377" s="75">
        <f t="shared" si="128"/>
        <v>1</v>
      </c>
      <c r="S1377" s="263" t="s">
        <v>1991</v>
      </c>
      <c r="T1377" s="263"/>
      <c r="U1377" s="263"/>
      <c r="V1377" s="263"/>
      <c r="W1377" s="263"/>
      <c r="X1377" s="263"/>
      <c r="Y1377" s="575"/>
      <c r="Z1377" s="575"/>
      <c r="AA1377" s="576">
        <f t="shared" si="126"/>
        <v>0</v>
      </c>
      <c r="AB1377" s="722"/>
    </row>
    <row r="1378" spans="1:28" ht="15" customHeight="1" x14ac:dyDescent="0.35">
      <c r="A1378" s="98" t="s">
        <v>4800</v>
      </c>
      <c r="C1378" s="118">
        <v>43874</v>
      </c>
      <c r="D1378" s="318">
        <v>43900</v>
      </c>
      <c r="E1378" s="570"/>
      <c r="F1378" s="88" t="s">
        <v>4865</v>
      </c>
      <c r="G1378" s="88" t="s">
        <v>191</v>
      </c>
      <c r="H1378" s="98" t="s">
        <v>220</v>
      </c>
      <c r="I1378" s="98" t="s">
        <v>763</v>
      </c>
      <c r="J1378" s="75">
        <f t="shared" si="127"/>
        <v>1</v>
      </c>
      <c r="K1378" s="76" t="s">
        <v>211</v>
      </c>
      <c r="N1378" s="78" t="s">
        <v>18</v>
      </c>
      <c r="Q1378" s="78" t="s">
        <v>2056</v>
      </c>
      <c r="R1378" s="75">
        <f t="shared" si="128"/>
        <v>1</v>
      </c>
      <c r="S1378" s="263" t="s">
        <v>1991</v>
      </c>
      <c r="T1378" s="263"/>
      <c r="U1378" s="263"/>
      <c r="V1378" s="263"/>
      <c r="W1378" s="263"/>
      <c r="X1378" s="263"/>
      <c r="Y1378" s="575"/>
      <c r="Z1378" s="575"/>
      <c r="AA1378" s="576">
        <f t="shared" si="126"/>
        <v>0</v>
      </c>
      <c r="AB1378" s="722"/>
    </row>
    <row r="1379" spans="1:28" ht="15" customHeight="1" x14ac:dyDescent="0.35">
      <c r="A1379" s="81" t="s">
        <v>4802</v>
      </c>
      <c r="C1379" s="118">
        <v>43875</v>
      </c>
      <c r="D1379" s="118">
        <v>43900</v>
      </c>
      <c r="E1379" s="570"/>
      <c r="F1379" s="88" t="s">
        <v>4867</v>
      </c>
      <c r="G1379" s="88" t="s">
        <v>162</v>
      </c>
      <c r="H1379" s="98" t="s">
        <v>220</v>
      </c>
      <c r="J1379" s="75">
        <f t="shared" si="127"/>
        <v>1</v>
      </c>
      <c r="K1379" s="76" t="s">
        <v>221</v>
      </c>
      <c r="Q1379" s="78" t="s">
        <v>2056</v>
      </c>
      <c r="R1379" s="75">
        <f t="shared" si="128"/>
        <v>1</v>
      </c>
      <c r="S1379" s="263" t="s">
        <v>1991</v>
      </c>
      <c r="T1379" s="263"/>
      <c r="U1379" s="263"/>
      <c r="V1379" s="263"/>
      <c r="W1379" s="263"/>
      <c r="X1379" s="263"/>
      <c r="Y1379" s="575"/>
      <c r="Z1379" s="575"/>
      <c r="AA1379" s="576">
        <f t="shared" si="126"/>
        <v>0</v>
      </c>
      <c r="AB1379" s="722"/>
    </row>
    <row r="1380" spans="1:28" ht="15" customHeight="1" x14ac:dyDescent="0.35">
      <c r="A1380" s="81" t="s">
        <v>4808</v>
      </c>
      <c r="C1380" s="118">
        <v>43875</v>
      </c>
      <c r="D1380" s="118">
        <v>43901</v>
      </c>
      <c r="E1380" s="570"/>
      <c r="F1380" s="88" t="s">
        <v>4873</v>
      </c>
      <c r="G1380" s="88" t="s">
        <v>152</v>
      </c>
      <c r="H1380" s="98" t="s">
        <v>220</v>
      </c>
      <c r="J1380" s="75">
        <f t="shared" si="127"/>
        <v>1</v>
      </c>
      <c r="K1380" s="76" t="s">
        <v>221</v>
      </c>
      <c r="Q1380" s="78" t="s">
        <v>2097</v>
      </c>
      <c r="R1380" s="75">
        <f t="shared" si="128"/>
        <v>1</v>
      </c>
      <c r="S1380" s="263" t="s">
        <v>1991</v>
      </c>
      <c r="T1380" s="263"/>
      <c r="U1380" s="263"/>
      <c r="V1380" s="263"/>
      <c r="W1380" s="263"/>
      <c r="X1380" s="263"/>
      <c r="Y1380" s="575"/>
      <c r="Z1380" s="575"/>
      <c r="AA1380" s="576">
        <f t="shared" si="126"/>
        <v>0</v>
      </c>
      <c r="AB1380" s="722"/>
    </row>
    <row r="1381" spans="1:28" ht="15" customHeight="1" x14ac:dyDescent="0.35">
      <c r="A1381" s="98" t="s">
        <v>4809</v>
      </c>
      <c r="C1381" s="118">
        <v>43875</v>
      </c>
      <c r="D1381" s="318">
        <v>43901</v>
      </c>
      <c r="E1381" s="570"/>
      <c r="F1381" s="88" t="s">
        <v>4874</v>
      </c>
      <c r="G1381" s="88" t="s">
        <v>170</v>
      </c>
      <c r="H1381" s="98" t="s">
        <v>220</v>
      </c>
      <c r="I1381" s="98" t="s">
        <v>3553</v>
      </c>
      <c r="J1381" s="75">
        <f t="shared" si="127"/>
        <v>1</v>
      </c>
      <c r="K1381" s="263" t="s">
        <v>211</v>
      </c>
      <c r="N1381" s="78" t="s">
        <v>19</v>
      </c>
      <c r="Q1381" s="78" t="s">
        <v>2056</v>
      </c>
      <c r="R1381" s="75">
        <f t="shared" si="128"/>
        <v>1</v>
      </c>
      <c r="S1381" s="263" t="s">
        <v>1991</v>
      </c>
      <c r="T1381" s="263"/>
      <c r="U1381" s="263"/>
      <c r="V1381" s="263"/>
      <c r="W1381" s="263"/>
      <c r="X1381" s="263"/>
      <c r="Y1381" s="575"/>
      <c r="Z1381" s="575"/>
      <c r="AA1381" s="576">
        <f t="shared" si="126"/>
        <v>0</v>
      </c>
      <c r="AB1381" s="722"/>
    </row>
    <row r="1382" spans="1:28" ht="15" customHeight="1" x14ac:dyDescent="0.35">
      <c r="A1382" s="81" t="s">
        <v>4810</v>
      </c>
      <c r="C1382" s="118">
        <v>43875</v>
      </c>
      <c r="D1382" s="318">
        <v>43901</v>
      </c>
      <c r="E1382" s="570"/>
      <c r="F1382" s="88" t="s">
        <v>4875</v>
      </c>
      <c r="G1382" s="88" t="s">
        <v>152</v>
      </c>
      <c r="H1382" s="98" t="s">
        <v>220</v>
      </c>
      <c r="I1382" s="98" t="s">
        <v>656</v>
      </c>
      <c r="J1382" s="75">
        <f t="shared" si="127"/>
        <v>1</v>
      </c>
      <c r="K1382" s="263" t="s">
        <v>211</v>
      </c>
      <c r="N1382" s="78" t="s">
        <v>17</v>
      </c>
      <c r="Q1382" s="78" t="s">
        <v>2130</v>
      </c>
      <c r="R1382" s="75">
        <f t="shared" si="128"/>
        <v>1</v>
      </c>
      <c r="S1382" s="263" t="s">
        <v>1991</v>
      </c>
      <c r="T1382" s="263"/>
      <c r="U1382" s="263"/>
      <c r="V1382" s="263"/>
      <c r="W1382" s="263"/>
      <c r="X1382" s="263"/>
      <c r="Y1382" s="575"/>
      <c r="Z1382" s="575"/>
      <c r="AA1382" s="576">
        <f t="shared" si="126"/>
        <v>0</v>
      </c>
      <c r="AB1382" s="722"/>
    </row>
    <row r="1383" spans="1:28" ht="15" customHeight="1" x14ac:dyDescent="0.35">
      <c r="A1383" s="98" t="s">
        <v>4812</v>
      </c>
      <c r="C1383" s="118">
        <v>43875</v>
      </c>
      <c r="D1383" s="318">
        <v>43901</v>
      </c>
      <c r="E1383" s="570"/>
      <c r="F1383" s="88" t="s">
        <v>3535</v>
      </c>
      <c r="G1383" s="88" t="s">
        <v>1337</v>
      </c>
      <c r="H1383" s="98" t="s">
        <v>220</v>
      </c>
      <c r="I1383" s="98" t="s">
        <v>656</v>
      </c>
      <c r="J1383" s="75">
        <f t="shared" si="127"/>
        <v>1</v>
      </c>
      <c r="K1383" s="263" t="s">
        <v>211</v>
      </c>
      <c r="N1383" s="78" t="s">
        <v>17</v>
      </c>
      <c r="Q1383" s="78" t="s">
        <v>2130</v>
      </c>
      <c r="R1383" s="75">
        <f t="shared" si="128"/>
        <v>1</v>
      </c>
      <c r="S1383" s="263" t="s">
        <v>1991</v>
      </c>
      <c r="T1383" s="263"/>
      <c r="U1383" s="263"/>
      <c r="V1383" s="263"/>
      <c r="W1383" s="263"/>
      <c r="X1383" s="263"/>
      <c r="Y1383" s="575"/>
      <c r="Z1383" s="575"/>
      <c r="AA1383" s="576">
        <f t="shared" si="126"/>
        <v>0</v>
      </c>
      <c r="AB1383" s="722"/>
    </row>
    <row r="1384" spans="1:28" ht="15" customHeight="1" x14ac:dyDescent="0.35">
      <c r="A1384" s="98" t="s">
        <v>4813</v>
      </c>
      <c r="C1384" s="118">
        <v>43875</v>
      </c>
      <c r="D1384" s="318">
        <v>43901</v>
      </c>
      <c r="E1384" s="570"/>
      <c r="F1384" s="88" t="s">
        <v>4877</v>
      </c>
      <c r="G1384" s="88" t="s">
        <v>417</v>
      </c>
      <c r="H1384" s="98" t="s">
        <v>220</v>
      </c>
      <c r="I1384" s="98" t="s">
        <v>656</v>
      </c>
      <c r="J1384" s="75">
        <f t="shared" si="127"/>
        <v>1</v>
      </c>
      <c r="K1384" s="263" t="s">
        <v>211</v>
      </c>
      <c r="N1384" s="78" t="s">
        <v>17</v>
      </c>
      <c r="Q1384" s="78" t="s">
        <v>2130</v>
      </c>
      <c r="R1384" s="75">
        <f t="shared" si="128"/>
        <v>1</v>
      </c>
      <c r="S1384" s="263" t="s">
        <v>1991</v>
      </c>
      <c r="T1384" s="263"/>
      <c r="U1384" s="263"/>
      <c r="V1384" s="263"/>
      <c r="W1384" s="263"/>
      <c r="X1384" s="263"/>
      <c r="Y1384" s="575"/>
      <c r="Z1384" s="575"/>
      <c r="AA1384" s="576">
        <f t="shared" si="126"/>
        <v>0</v>
      </c>
      <c r="AB1384" s="722"/>
    </row>
    <row r="1385" spans="1:28" ht="15" customHeight="1" x14ac:dyDescent="0.35">
      <c r="A1385" s="98" t="s">
        <v>4814</v>
      </c>
      <c r="C1385" s="118">
        <v>43875</v>
      </c>
      <c r="D1385" s="318">
        <v>43901</v>
      </c>
      <c r="E1385" s="570"/>
      <c r="F1385" s="88" t="s">
        <v>4878</v>
      </c>
      <c r="G1385" s="88" t="s">
        <v>162</v>
      </c>
      <c r="H1385" s="98" t="s">
        <v>220</v>
      </c>
      <c r="I1385" s="98" t="s">
        <v>4774</v>
      </c>
      <c r="J1385" s="75">
        <f t="shared" si="127"/>
        <v>1</v>
      </c>
      <c r="K1385" s="263" t="s">
        <v>211</v>
      </c>
      <c r="L1385" s="99" t="s">
        <v>4950</v>
      </c>
      <c r="N1385" s="78" t="s">
        <v>18</v>
      </c>
      <c r="Q1385" s="78" t="s">
        <v>2056</v>
      </c>
      <c r="R1385" s="75">
        <f t="shared" si="128"/>
        <v>1</v>
      </c>
      <c r="S1385" s="263" t="s">
        <v>1991</v>
      </c>
      <c r="T1385" s="263"/>
      <c r="U1385" s="263"/>
      <c r="V1385" s="263"/>
      <c r="W1385" s="263"/>
      <c r="X1385" s="263"/>
      <c r="Y1385" s="575"/>
      <c r="Z1385" s="575"/>
      <c r="AA1385" s="576">
        <f t="shared" si="126"/>
        <v>0</v>
      </c>
      <c r="AB1385" s="722"/>
    </row>
    <row r="1386" spans="1:28" ht="15" customHeight="1" x14ac:dyDescent="0.35">
      <c r="A1386" s="81" t="s">
        <v>4816</v>
      </c>
      <c r="C1386" s="118">
        <v>43878</v>
      </c>
      <c r="D1386" s="318">
        <v>43902</v>
      </c>
      <c r="E1386" s="570"/>
      <c r="F1386" s="88" t="s">
        <v>4880</v>
      </c>
      <c r="G1386" s="88" t="s">
        <v>154</v>
      </c>
      <c r="H1386" s="98" t="s">
        <v>220</v>
      </c>
      <c r="I1386" s="98" t="s">
        <v>2516</v>
      </c>
      <c r="J1386" s="75">
        <f t="shared" si="127"/>
        <v>1</v>
      </c>
      <c r="K1386" s="76" t="s">
        <v>211</v>
      </c>
      <c r="L1386" s="99" t="s">
        <v>4957</v>
      </c>
      <c r="N1386" s="78" t="s">
        <v>18</v>
      </c>
      <c r="Q1386" s="78" t="s">
        <v>2097</v>
      </c>
      <c r="R1386" s="75">
        <f t="shared" si="128"/>
        <v>1</v>
      </c>
      <c r="S1386" s="263" t="s">
        <v>1991</v>
      </c>
      <c r="T1386" s="263"/>
      <c r="U1386" s="263"/>
      <c r="V1386" s="263"/>
      <c r="W1386" s="263"/>
      <c r="X1386" s="263"/>
      <c r="Y1386" s="575"/>
      <c r="Z1386" s="575"/>
      <c r="AA1386" s="576">
        <f t="shared" si="126"/>
        <v>0</v>
      </c>
      <c r="AB1386" s="722"/>
    </row>
    <row r="1387" spans="1:28" ht="15" customHeight="1" x14ac:dyDescent="0.35">
      <c r="A1387" s="98" t="s">
        <v>4818</v>
      </c>
      <c r="C1387" s="118">
        <v>43878</v>
      </c>
      <c r="D1387" s="318">
        <v>43901</v>
      </c>
      <c r="E1387" s="570"/>
      <c r="F1387" s="88" t="s">
        <v>4883</v>
      </c>
      <c r="G1387" s="88" t="s">
        <v>195</v>
      </c>
      <c r="H1387" s="98" t="s">
        <v>220</v>
      </c>
      <c r="I1387" s="98" t="s">
        <v>763</v>
      </c>
      <c r="J1387" s="75">
        <f t="shared" si="127"/>
        <v>1</v>
      </c>
      <c r="K1387" s="263" t="s">
        <v>211</v>
      </c>
      <c r="L1387" s="99" t="s">
        <v>5572</v>
      </c>
      <c r="N1387" s="78" t="s">
        <v>18</v>
      </c>
      <c r="Q1387" s="78" t="s">
        <v>2056</v>
      </c>
      <c r="R1387" s="75">
        <f t="shared" si="128"/>
        <v>1</v>
      </c>
      <c r="S1387" s="263" t="s">
        <v>1991</v>
      </c>
      <c r="T1387" s="263"/>
      <c r="U1387" s="263"/>
      <c r="V1387" s="263"/>
      <c r="W1387" s="263"/>
      <c r="X1387" s="263"/>
      <c r="Y1387" s="575"/>
      <c r="Z1387" s="575"/>
      <c r="AA1387" s="576">
        <f t="shared" si="126"/>
        <v>0</v>
      </c>
      <c r="AB1387" s="722"/>
    </row>
    <row r="1388" spans="1:28" ht="15" customHeight="1" x14ac:dyDescent="0.35">
      <c r="A1388" s="81" t="s">
        <v>4820</v>
      </c>
      <c r="C1388" s="118">
        <v>43878</v>
      </c>
      <c r="D1388" s="118">
        <v>43902</v>
      </c>
      <c r="E1388" s="570"/>
      <c r="F1388" s="88" t="s">
        <v>4885</v>
      </c>
      <c r="G1388" s="88" t="s">
        <v>154</v>
      </c>
      <c r="H1388" s="98" t="s">
        <v>220</v>
      </c>
      <c r="J1388" s="75">
        <f t="shared" si="127"/>
        <v>1</v>
      </c>
      <c r="K1388" s="76" t="s">
        <v>221</v>
      </c>
      <c r="Q1388" s="78" t="s">
        <v>2130</v>
      </c>
      <c r="R1388" s="75">
        <f t="shared" si="128"/>
        <v>1</v>
      </c>
      <c r="S1388" s="263" t="s">
        <v>1991</v>
      </c>
      <c r="T1388" s="263"/>
      <c r="U1388" s="263"/>
      <c r="V1388" s="263"/>
      <c r="W1388" s="263"/>
      <c r="X1388" s="263"/>
      <c r="Y1388" s="575"/>
      <c r="Z1388" s="575"/>
      <c r="AA1388" s="576">
        <f t="shared" si="126"/>
        <v>0</v>
      </c>
      <c r="AB1388" s="722"/>
    </row>
    <row r="1389" spans="1:28" ht="15" customHeight="1" x14ac:dyDescent="0.35">
      <c r="A1389" s="98" t="s">
        <v>4821</v>
      </c>
      <c r="C1389" s="118">
        <v>43878</v>
      </c>
      <c r="D1389" s="318">
        <v>43902</v>
      </c>
      <c r="E1389" s="570"/>
      <c r="F1389" s="88" t="s">
        <v>4886</v>
      </c>
      <c r="G1389" s="88" t="s">
        <v>158</v>
      </c>
      <c r="H1389" s="98" t="s">
        <v>220</v>
      </c>
      <c r="I1389" s="98" t="s">
        <v>1004</v>
      </c>
      <c r="J1389" s="75">
        <f t="shared" si="127"/>
        <v>1</v>
      </c>
      <c r="K1389" s="76" t="s">
        <v>211</v>
      </c>
      <c r="L1389" s="99" t="s">
        <v>1755</v>
      </c>
      <c r="N1389" s="78" t="s">
        <v>19</v>
      </c>
      <c r="Q1389" s="78" t="s">
        <v>2130</v>
      </c>
      <c r="R1389" s="75">
        <f t="shared" si="128"/>
        <v>1</v>
      </c>
      <c r="S1389" s="263" t="s">
        <v>1991</v>
      </c>
      <c r="T1389" s="263"/>
      <c r="U1389" s="263"/>
      <c r="V1389" s="263"/>
      <c r="W1389" s="263"/>
      <c r="X1389" s="263"/>
      <c r="Y1389" s="575"/>
      <c r="Z1389" s="575"/>
      <c r="AA1389" s="576">
        <f t="shared" si="126"/>
        <v>0</v>
      </c>
      <c r="AB1389" s="722"/>
    </row>
    <row r="1390" spans="1:28" ht="15" customHeight="1" x14ac:dyDescent="0.35">
      <c r="A1390" s="98" t="s">
        <v>4822</v>
      </c>
      <c r="C1390" s="118">
        <v>43878</v>
      </c>
      <c r="D1390" s="318">
        <v>43901</v>
      </c>
      <c r="E1390" s="570"/>
      <c r="F1390" s="88" t="s">
        <v>4887</v>
      </c>
      <c r="G1390" s="88" t="s">
        <v>195</v>
      </c>
      <c r="H1390" s="98" t="s">
        <v>220</v>
      </c>
      <c r="I1390" s="98" t="s">
        <v>1004</v>
      </c>
      <c r="J1390" s="75">
        <f t="shared" si="127"/>
        <v>1</v>
      </c>
      <c r="K1390" s="263" t="s">
        <v>211</v>
      </c>
      <c r="N1390" s="78" t="s">
        <v>19</v>
      </c>
      <c r="Q1390" s="78" t="s">
        <v>2097</v>
      </c>
      <c r="R1390" s="75">
        <f t="shared" si="128"/>
        <v>1</v>
      </c>
      <c r="S1390" s="263" t="s">
        <v>1991</v>
      </c>
      <c r="T1390" s="263"/>
      <c r="U1390" s="263"/>
      <c r="V1390" s="263"/>
      <c r="W1390" s="263"/>
      <c r="X1390" s="263"/>
      <c r="Y1390" s="575"/>
      <c r="Z1390" s="575"/>
      <c r="AA1390" s="576">
        <f t="shared" si="126"/>
        <v>0</v>
      </c>
      <c r="AB1390" s="722"/>
    </row>
    <row r="1391" spans="1:28" ht="15" customHeight="1" x14ac:dyDescent="0.35">
      <c r="A1391" s="98" t="s">
        <v>4823</v>
      </c>
      <c r="C1391" s="118">
        <v>43878</v>
      </c>
      <c r="D1391" s="318">
        <v>43902</v>
      </c>
      <c r="E1391" s="570"/>
      <c r="F1391" s="88" t="s">
        <v>4888</v>
      </c>
      <c r="G1391" s="88" t="s">
        <v>152</v>
      </c>
      <c r="H1391" s="98" t="s">
        <v>220</v>
      </c>
      <c r="I1391" s="98" t="s">
        <v>1380</v>
      </c>
      <c r="J1391" s="75">
        <f t="shared" si="127"/>
        <v>1</v>
      </c>
      <c r="K1391" s="76" t="s">
        <v>211</v>
      </c>
      <c r="N1391" s="78" t="s">
        <v>19</v>
      </c>
      <c r="Q1391" s="78" t="s">
        <v>2056</v>
      </c>
      <c r="R1391" s="75">
        <f t="shared" si="128"/>
        <v>1</v>
      </c>
      <c r="S1391" s="263" t="s">
        <v>1991</v>
      </c>
      <c r="T1391" s="263"/>
      <c r="U1391" s="263"/>
      <c r="V1391" s="263"/>
      <c r="W1391" s="263"/>
      <c r="X1391" s="263"/>
      <c r="Y1391" s="575"/>
      <c r="Z1391" s="575"/>
      <c r="AA1391" s="576">
        <f t="shared" si="126"/>
        <v>0</v>
      </c>
      <c r="AB1391" s="722"/>
    </row>
    <row r="1392" spans="1:28" ht="15" customHeight="1" x14ac:dyDescent="0.35">
      <c r="A1392" s="81" t="s">
        <v>4824</v>
      </c>
      <c r="C1392" s="118">
        <v>43878</v>
      </c>
      <c r="D1392" s="118">
        <v>43902</v>
      </c>
      <c r="E1392" s="570"/>
      <c r="F1392" s="88" t="s">
        <v>4889</v>
      </c>
      <c r="G1392" s="88" t="s">
        <v>162</v>
      </c>
      <c r="H1392" s="98" t="s">
        <v>220</v>
      </c>
      <c r="J1392" s="75">
        <f t="shared" si="127"/>
        <v>1</v>
      </c>
      <c r="K1392" s="76" t="s">
        <v>221</v>
      </c>
      <c r="Q1392" s="78" t="s">
        <v>2163</v>
      </c>
      <c r="R1392" s="75">
        <f t="shared" si="128"/>
        <v>1</v>
      </c>
      <c r="S1392" s="263" t="s">
        <v>1991</v>
      </c>
      <c r="T1392" s="263"/>
      <c r="U1392" s="263"/>
      <c r="V1392" s="263"/>
      <c r="W1392" s="263"/>
      <c r="X1392" s="263"/>
      <c r="Y1392" s="575"/>
      <c r="Z1392" s="575"/>
      <c r="AA1392" s="576">
        <f t="shared" si="126"/>
        <v>0</v>
      </c>
      <c r="AB1392" s="722"/>
    </row>
    <row r="1393" spans="1:28" ht="15" customHeight="1" x14ac:dyDescent="0.35">
      <c r="A1393" s="98" t="s">
        <v>4832</v>
      </c>
      <c r="C1393" s="118">
        <v>43878</v>
      </c>
      <c r="D1393" s="318">
        <v>43902</v>
      </c>
      <c r="E1393" s="570"/>
      <c r="F1393" s="88" t="s">
        <v>4897</v>
      </c>
      <c r="G1393" s="88" t="s">
        <v>162</v>
      </c>
      <c r="H1393" s="98" t="s">
        <v>220</v>
      </c>
      <c r="I1393" s="98" t="s">
        <v>1122</v>
      </c>
      <c r="J1393" s="75">
        <f t="shared" si="127"/>
        <v>1</v>
      </c>
      <c r="K1393" s="76" t="s">
        <v>211</v>
      </c>
      <c r="Q1393" s="78" t="s">
        <v>2056</v>
      </c>
      <c r="R1393" s="75">
        <f t="shared" si="128"/>
        <v>1</v>
      </c>
      <c r="S1393" s="263" t="s">
        <v>1991</v>
      </c>
      <c r="T1393" s="263"/>
      <c r="U1393" s="263"/>
      <c r="V1393" s="263"/>
      <c r="W1393" s="263"/>
      <c r="X1393" s="263"/>
      <c r="Y1393" s="575"/>
      <c r="Z1393" s="575"/>
      <c r="AA1393" s="576">
        <f t="shared" si="126"/>
        <v>0</v>
      </c>
      <c r="AB1393" s="722"/>
    </row>
    <row r="1394" spans="1:28" ht="15" customHeight="1" x14ac:dyDescent="0.35">
      <c r="A1394" s="81" t="s">
        <v>4833</v>
      </c>
      <c r="C1394" s="118">
        <v>43878</v>
      </c>
      <c r="D1394" s="118">
        <v>43902</v>
      </c>
      <c r="E1394" s="570"/>
      <c r="F1394" s="88" t="s">
        <v>4898</v>
      </c>
      <c r="G1394" s="88" t="s">
        <v>162</v>
      </c>
      <c r="H1394" s="98" t="s">
        <v>220</v>
      </c>
      <c r="J1394" s="75">
        <f t="shared" si="127"/>
        <v>1</v>
      </c>
      <c r="K1394" s="76" t="s">
        <v>221</v>
      </c>
      <c r="Q1394" s="78" t="s">
        <v>2163</v>
      </c>
      <c r="R1394" s="75">
        <f t="shared" si="128"/>
        <v>1</v>
      </c>
      <c r="S1394" s="263" t="s">
        <v>1991</v>
      </c>
      <c r="T1394" s="263"/>
      <c r="U1394" s="263"/>
      <c r="V1394" s="263"/>
      <c r="W1394" s="263"/>
      <c r="X1394" s="263"/>
      <c r="Y1394" s="575"/>
      <c r="Z1394" s="575"/>
      <c r="AA1394" s="576">
        <f t="shared" si="126"/>
        <v>0</v>
      </c>
      <c r="AB1394" s="722"/>
    </row>
    <row r="1395" spans="1:28" ht="15" customHeight="1" x14ac:dyDescent="0.35">
      <c r="A1395" s="81" t="s">
        <v>4834</v>
      </c>
      <c r="C1395" s="118">
        <v>43879</v>
      </c>
      <c r="D1395" s="118">
        <v>43903</v>
      </c>
      <c r="E1395" s="570"/>
      <c r="F1395" s="88" t="s">
        <v>4899</v>
      </c>
      <c r="G1395" s="88" t="s">
        <v>195</v>
      </c>
      <c r="H1395" s="98" t="s">
        <v>220</v>
      </c>
      <c r="J1395" s="75">
        <f t="shared" si="127"/>
        <v>1</v>
      </c>
      <c r="K1395" s="76" t="s">
        <v>221</v>
      </c>
      <c r="Q1395" s="78" t="s">
        <v>2130</v>
      </c>
      <c r="R1395" s="75">
        <f t="shared" si="128"/>
        <v>1</v>
      </c>
      <c r="S1395" s="263" t="s">
        <v>1991</v>
      </c>
      <c r="T1395" s="263"/>
      <c r="U1395" s="263"/>
      <c r="V1395" s="263"/>
      <c r="W1395" s="263"/>
      <c r="X1395" s="263"/>
      <c r="Y1395" s="575"/>
      <c r="Z1395" s="575"/>
      <c r="AA1395" s="576">
        <f t="shared" si="126"/>
        <v>0</v>
      </c>
      <c r="AB1395" s="722"/>
    </row>
    <row r="1396" spans="1:28" ht="15" customHeight="1" x14ac:dyDescent="0.35">
      <c r="A1396" s="81" t="s">
        <v>4837</v>
      </c>
      <c r="C1396" s="118">
        <v>43879</v>
      </c>
      <c r="D1396" s="118">
        <v>43903</v>
      </c>
      <c r="E1396" s="570"/>
      <c r="F1396" s="88" t="s">
        <v>4902</v>
      </c>
      <c r="G1396" s="88" t="s">
        <v>156</v>
      </c>
      <c r="H1396" s="98" t="s">
        <v>220</v>
      </c>
      <c r="J1396" s="75">
        <f t="shared" si="127"/>
        <v>1</v>
      </c>
      <c r="K1396" s="76" t="s">
        <v>221</v>
      </c>
      <c r="Q1396" s="78" t="s">
        <v>2163</v>
      </c>
      <c r="R1396" s="75">
        <f t="shared" si="128"/>
        <v>1</v>
      </c>
      <c r="S1396" s="263" t="s">
        <v>1991</v>
      </c>
      <c r="T1396" s="263"/>
      <c r="U1396" s="263"/>
      <c r="V1396" s="263"/>
      <c r="W1396" s="263"/>
      <c r="X1396" s="263"/>
      <c r="Y1396" s="575"/>
      <c r="Z1396" s="575"/>
      <c r="AA1396" s="576">
        <f t="shared" si="126"/>
        <v>0</v>
      </c>
      <c r="AB1396" s="722"/>
    </row>
    <row r="1397" spans="1:28" ht="15" customHeight="1" x14ac:dyDescent="0.35">
      <c r="A1397" s="81" t="s">
        <v>4838</v>
      </c>
      <c r="C1397" s="118">
        <v>43879</v>
      </c>
      <c r="D1397" s="318">
        <v>43903</v>
      </c>
      <c r="E1397" s="570"/>
      <c r="F1397" s="88" t="s">
        <v>4903</v>
      </c>
      <c r="G1397" s="88" t="s">
        <v>156</v>
      </c>
      <c r="H1397" s="81" t="s">
        <v>275</v>
      </c>
      <c r="I1397" s="98" t="s">
        <v>4550</v>
      </c>
      <c r="J1397" s="75">
        <f t="shared" si="127"/>
        <v>1</v>
      </c>
      <c r="K1397" s="76" t="s">
        <v>211</v>
      </c>
      <c r="N1397" s="78" t="s">
        <v>18</v>
      </c>
      <c r="Q1397" s="78" t="s">
        <v>2163</v>
      </c>
      <c r="R1397" s="75">
        <f t="shared" si="128"/>
        <v>1</v>
      </c>
      <c r="S1397" s="263" t="s">
        <v>1991</v>
      </c>
      <c r="T1397" s="263"/>
      <c r="U1397" s="263" t="s">
        <v>4971</v>
      </c>
      <c r="V1397" s="263"/>
      <c r="W1397" s="263"/>
      <c r="X1397" s="263"/>
      <c r="Y1397" s="575"/>
      <c r="Z1397" s="575"/>
      <c r="AA1397" s="576">
        <f t="shared" si="126"/>
        <v>0</v>
      </c>
      <c r="AB1397" s="722"/>
    </row>
    <row r="1398" spans="1:28" ht="15" customHeight="1" x14ac:dyDescent="0.35">
      <c r="A1398" s="81" t="s">
        <v>4839</v>
      </c>
      <c r="C1398" s="118">
        <v>43879</v>
      </c>
      <c r="D1398" s="118">
        <v>43903</v>
      </c>
      <c r="E1398" s="570"/>
      <c r="F1398" s="88" t="s">
        <v>4904</v>
      </c>
      <c r="G1398" s="88" t="s">
        <v>152</v>
      </c>
      <c r="H1398" s="98" t="s">
        <v>220</v>
      </c>
      <c r="J1398" s="75">
        <f t="shared" si="127"/>
        <v>1</v>
      </c>
      <c r="K1398" s="76" t="s">
        <v>221</v>
      </c>
      <c r="Q1398" s="78" t="s">
        <v>2097</v>
      </c>
      <c r="R1398" s="75">
        <f t="shared" si="128"/>
        <v>1</v>
      </c>
      <c r="S1398" s="263" t="s">
        <v>1991</v>
      </c>
      <c r="T1398" s="263"/>
      <c r="U1398" s="263"/>
      <c r="V1398" s="263"/>
      <c r="W1398" s="263"/>
      <c r="X1398" s="263"/>
      <c r="Y1398" s="575"/>
      <c r="Z1398" s="575"/>
      <c r="AA1398" s="576">
        <f t="shared" si="126"/>
        <v>0</v>
      </c>
      <c r="AB1398" s="722"/>
    </row>
    <row r="1399" spans="1:28" ht="15" customHeight="1" x14ac:dyDescent="0.35">
      <c r="A1399" s="81" t="s">
        <v>4840</v>
      </c>
      <c r="C1399" s="118">
        <v>43879</v>
      </c>
      <c r="D1399" s="118">
        <v>43903</v>
      </c>
      <c r="E1399" s="570"/>
      <c r="F1399" s="88" t="s">
        <v>4905</v>
      </c>
      <c r="G1399" s="88" t="s">
        <v>149</v>
      </c>
      <c r="H1399" s="98" t="s">
        <v>220</v>
      </c>
      <c r="J1399" s="75">
        <f t="shared" si="127"/>
        <v>1</v>
      </c>
      <c r="K1399" s="76" t="s">
        <v>221</v>
      </c>
      <c r="Q1399" s="78" t="s">
        <v>2130</v>
      </c>
      <c r="R1399" s="75">
        <f t="shared" si="128"/>
        <v>1</v>
      </c>
      <c r="S1399" s="263" t="s">
        <v>1991</v>
      </c>
      <c r="T1399" s="263"/>
      <c r="U1399" s="263"/>
      <c r="V1399" s="263"/>
      <c r="W1399" s="263"/>
      <c r="X1399" s="263"/>
      <c r="Y1399" s="575"/>
      <c r="Z1399" s="575"/>
      <c r="AA1399" s="576">
        <f t="shared" si="126"/>
        <v>0</v>
      </c>
      <c r="AB1399" s="722"/>
    </row>
    <row r="1400" spans="1:28" ht="15" customHeight="1" x14ac:dyDescent="0.35">
      <c r="A1400" s="98" t="s">
        <v>4841</v>
      </c>
      <c r="C1400" s="118">
        <v>43879</v>
      </c>
      <c r="D1400" s="318">
        <v>43903</v>
      </c>
      <c r="E1400" s="570"/>
      <c r="F1400" s="88" t="s">
        <v>4906</v>
      </c>
      <c r="G1400" s="88" t="s">
        <v>154</v>
      </c>
      <c r="H1400" s="98" t="s">
        <v>220</v>
      </c>
      <c r="I1400" s="98" t="s">
        <v>2516</v>
      </c>
      <c r="J1400" s="75">
        <f t="shared" si="127"/>
        <v>1</v>
      </c>
      <c r="K1400" s="76" t="s">
        <v>211</v>
      </c>
      <c r="L1400" s="99" t="s">
        <v>4960</v>
      </c>
      <c r="N1400" s="78" t="s">
        <v>17</v>
      </c>
      <c r="Q1400" s="78" t="s">
        <v>2130</v>
      </c>
      <c r="R1400" s="75">
        <f t="shared" si="128"/>
        <v>1</v>
      </c>
      <c r="S1400" s="263" t="s">
        <v>1991</v>
      </c>
      <c r="T1400" s="263"/>
      <c r="U1400" s="263"/>
      <c r="V1400" s="263"/>
      <c r="W1400" s="263"/>
      <c r="X1400" s="263"/>
      <c r="Y1400" s="575"/>
      <c r="Z1400" s="575"/>
      <c r="AA1400" s="576">
        <f t="shared" si="126"/>
        <v>0</v>
      </c>
      <c r="AB1400" s="722"/>
    </row>
    <row r="1401" spans="1:28" ht="15" customHeight="1" x14ac:dyDescent="0.35">
      <c r="A1401" s="81" t="s">
        <v>4842</v>
      </c>
      <c r="C1401" s="118">
        <v>43879</v>
      </c>
      <c r="D1401" s="318">
        <v>43903</v>
      </c>
      <c r="E1401" s="570"/>
      <c r="F1401" s="88" t="s">
        <v>4907</v>
      </c>
      <c r="G1401" s="88" t="s">
        <v>154</v>
      </c>
      <c r="H1401" s="98" t="s">
        <v>220</v>
      </c>
      <c r="I1401" s="98" t="s">
        <v>4967</v>
      </c>
      <c r="J1401" s="75">
        <f t="shared" si="127"/>
        <v>1</v>
      </c>
      <c r="K1401" s="76" t="s">
        <v>211</v>
      </c>
      <c r="N1401" s="78" t="s">
        <v>18</v>
      </c>
      <c r="Q1401" s="78" t="s">
        <v>2056</v>
      </c>
      <c r="R1401" s="75">
        <f t="shared" si="128"/>
        <v>1</v>
      </c>
      <c r="S1401" s="263" t="s">
        <v>1991</v>
      </c>
      <c r="T1401" s="263"/>
      <c r="U1401" s="263" t="s">
        <v>4963</v>
      </c>
      <c r="V1401" s="263"/>
      <c r="W1401" s="263"/>
      <c r="X1401" s="263"/>
      <c r="Y1401" s="575"/>
      <c r="Z1401" s="575"/>
      <c r="AA1401" s="576">
        <f t="shared" si="126"/>
        <v>0</v>
      </c>
      <c r="AB1401" s="722"/>
    </row>
    <row r="1402" spans="1:28" ht="15" customHeight="1" x14ac:dyDescent="0.35">
      <c r="A1402" s="98" t="s">
        <v>4843</v>
      </c>
      <c r="C1402" s="118">
        <v>43879</v>
      </c>
      <c r="D1402" s="318">
        <v>43903</v>
      </c>
      <c r="E1402" s="570"/>
      <c r="F1402" s="88" t="s">
        <v>4908</v>
      </c>
      <c r="G1402" s="88" t="s">
        <v>149</v>
      </c>
      <c r="H1402" s="98" t="s">
        <v>220</v>
      </c>
      <c r="I1402" s="98" t="s">
        <v>981</v>
      </c>
      <c r="J1402" s="75">
        <f t="shared" si="127"/>
        <v>1</v>
      </c>
      <c r="K1402" s="76" t="s">
        <v>211</v>
      </c>
      <c r="L1402" s="99" t="s">
        <v>4964</v>
      </c>
      <c r="N1402" s="78" t="s">
        <v>18</v>
      </c>
      <c r="Q1402" s="78" t="s">
        <v>2056</v>
      </c>
      <c r="R1402" s="75">
        <f t="shared" si="128"/>
        <v>1</v>
      </c>
      <c r="S1402" s="263" t="s">
        <v>1991</v>
      </c>
      <c r="T1402" s="263"/>
      <c r="U1402" s="263"/>
      <c r="V1402" s="263"/>
      <c r="W1402" s="263"/>
      <c r="X1402" s="263"/>
      <c r="Y1402" s="575"/>
      <c r="Z1402" s="575"/>
      <c r="AA1402" s="576">
        <f t="shared" ref="AA1402:AA1465" si="129">Z1402-Y1402</f>
        <v>0</v>
      </c>
      <c r="AB1402" s="722"/>
    </row>
    <row r="1403" spans="1:28" ht="15" customHeight="1" x14ac:dyDescent="0.35">
      <c r="A1403" s="98" t="s">
        <v>4844</v>
      </c>
      <c r="C1403" s="118">
        <v>43879</v>
      </c>
      <c r="D1403" s="318">
        <v>43903</v>
      </c>
      <c r="E1403" s="570"/>
      <c r="F1403" s="88" t="s">
        <v>4909</v>
      </c>
      <c r="G1403" s="88" t="s">
        <v>168</v>
      </c>
      <c r="H1403" s="98" t="s">
        <v>220</v>
      </c>
      <c r="I1403" s="98" t="s">
        <v>3553</v>
      </c>
      <c r="J1403" s="75">
        <f t="shared" si="127"/>
        <v>1</v>
      </c>
      <c r="K1403" s="76" t="s">
        <v>211</v>
      </c>
      <c r="L1403" s="99" t="s">
        <v>2210</v>
      </c>
      <c r="N1403" s="78" t="s">
        <v>19</v>
      </c>
      <c r="Q1403" s="78" t="s">
        <v>2056</v>
      </c>
      <c r="R1403" s="75">
        <f t="shared" si="128"/>
        <v>1</v>
      </c>
      <c r="S1403" s="263" t="s">
        <v>1991</v>
      </c>
      <c r="T1403" s="263"/>
      <c r="U1403" s="263"/>
      <c r="V1403" s="263"/>
      <c r="W1403" s="263"/>
      <c r="X1403" s="263"/>
      <c r="Y1403" s="575"/>
      <c r="Z1403" s="575"/>
      <c r="AA1403" s="576">
        <f t="shared" si="129"/>
        <v>0</v>
      </c>
      <c r="AB1403" s="722"/>
    </row>
    <row r="1404" spans="1:28" ht="15" customHeight="1" x14ac:dyDescent="0.35">
      <c r="A1404" s="81" t="s">
        <v>4845</v>
      </c>
      <c r="C1404" s="118">
        <v>43879</v>
      </c>
      <c r="D1404" s="318">
        <v>43903</v>
      </c>
      <c r="E1404" s="570"/>
      <c r="F1404" s="88" t="s">
        <v>4910</v>
      </c>
      <c r="G1404" s="88" t="s">
        <v>158</v>
      </c>
      <c r="H1404" s="98" t="s">
        <v>220</v>
      </c>
      <c r="I1404" s="98" t="s">
        <v>3553</v>
      </c>
      <c r="J1404" s="75">
        <f t="shared" si="127"/>
        <v>1</v>
      </c>
      <c r="K1404" s="76" t="s">
        <v>211</v>
      </c>
      <c r="L1404" s="99" t="s">
        <v>2210</v>
      </c>
      <c r="N1404" s="78" t="s">
        <v>19</v>
      </c>
      <c r="Q1404" s="78" t="s">
        <v>2163</v>
      </c>
      <c r="R1404" s="75">
        <f t="shared" si="128"/>
        <v>1</v>
      </c>
      <c r="S1404" s="263" t="s">
        <v>1991</v>
      </c>
      <c r="T1404" s="263"/>
      <c r="U1404" s="263" t="s">
        <v>4972</v>
      </c>
      <c r="V1404" s="263"/>
      <c r="W1404" s="263"/>
      <c r="X1404" s="263"/>
      <c r="Y1404" s="575"/>
      <c r="Z1404" s="575"/>
      <c r="AA1404" s="576">
        <f t="shared" si="129"/>
        <v>0</v>
      </c>
      <c r="AB1404" s="722"/>
    </row>
    <row r="1405" spans="1:28" ht="15" customHeight="1" x14ac:dyDescent="0.35">
      <c r="A1405" s="98" t="s">
        <v>4848</v>
      </c>
      <c r="C1405" s="118">
        <v>43879</v>
      </c>
      <c r="D1405" s="318">
        <v>43903</v>
      </c>
      <c r="E1405" s="570"/>
      <c r="F1405" s="88" t="s">
        <v>4913</v>
      </c>
      <c r="G1405" s="88" t="s">
        <v>158</v>
      </c>
      <c r="H1405" s="98" t="s">
        <v>220</v>
      </c>
      <c r="I1405" s="98" t="s">
        <v>2517</v>
      </c>
      <c r="J1405" s="75">
        <f t="shared" si="127"/>
        <v>1</v>
      </c>
      <c r="K1405" s="76" t="s">
        <v>211</v>
      </c>
      <c r="N1405" s="78" t="s">
        <v>18</v>
      </c>
      <c r="Q1405" s="78" t="s">
        <v>2130</v>
      </c>
      <c r="R1405" s="75">
        <f t="shared" si="128"/>
        <v>1</v>
      </c>
      <c r="S1405" s="263" t="s">
        <v>1991</v>
      </c>
      <c r="T1405" s="263"/>
      <c r="U1405" s="263"/>
      <c r="V1405" s="263"/>
      <c r="W1405" s="263"/>
      <c r="X1405" s="263"/>
      <c r="Y1405" s="575"/>
      <c r="Z1405" s="575"/>
      <c r="AA1405" s="576">
        <f t="shared" si="129"/>
        <v>0</v>
      </c>
      <c r="AB1405" s="722"/>
    </row>
    <row r="1406" spans="1:28" ht="15" customHeight="1" x14ac:dyDescent="0.35">
      <c r="A1406" s="98" t="s">
        <v>4849</v>
      </c>
      <c r="C1406" s="118">
        <v>43880</v>
      </c>
      <c r="D1406" s="318">
        <v>43903</v>
      </c>
      <c r="E1406" s="570"/>
      <c r="F1406" s="88" t="s">
        <v>4914</v>
      </c>
      <c r="G1406" s="88" t="s">
        <v>149</v>
      </c>
      <c r="H1406" s="98" t="s">
        <v>220</v>
      </c>
      <c r="I1406" s="98" t="s">
        <v>2516</v>
      </c>
      <c r="J1406" s="75">
        <f t="shared" si="127"/>
        <v>1</v>
      </c>
      <c r="K1406" s="76" t="s">
        <v>211</v>
      </c>
      <c r="N1406" s="78" t="s">
        <v>17</v>
      </c>
      <c r="Q1406" s="78" t="s">
        <v>2097</v>
      </c>
      <c r="R1406" s="75">
        <f t="shared" si="128"/>
        <v>1</v>
      </c>
      <c r="S1406" s="263" t="s">
        <v>1991</v>
      </c>
      <c r="T1406" s="263"/>
      <c r="U1406" s="263" t="s">
        <v>4970</v>
      </c>
      <c r="V1406" s="263"/>
      <c r="W1406" s="263"/>
      <c r="X1406" s="263"/>
      <c r="Y1406" s="575"/>
      <c r="Z1406" s="575"/>
      <c r="AA1406" s="576">
        <f t="shared" si="129"/>
        <v>0</v>
      </c>
      <c r="AB1406" s="722"/>
    </row>
    <row r="1407" spans="1:28" ht="15" customHeight="1" x14ac:dyDescent="0.35">
      <c r="A1407" s="98" t="s">
        <v>4965</v>
      </c>
      <c r="C1407" s="83">
        <v>43879</v>
      </c>
      <c r="D1407" s="112">
        <v>43903</v>
      </c>
      <c r="E1407" s="570"/>
      <c r="F1407" s="99" t="s">
        <v>4966</v>
      </c>
      <c r="G1407" s="99" t="s">
        <v>149</v>
      </c>
      <c r="H1407" s="98" t="s">
        <v>220</v>
      </c>
      <c r="I1407" s="98" t="s">
        <v>1645</v>
      </c>
      <c r="J1407" s="75">
        <f t="shared" si="127"/>
        <v>1</v>
      </c>
      <c r="K1407" s="76" t="s">
        <v>211</v>
      </c>
      <c r="L1407" s="99" t="s">
        <v>4959</v>
      </c>
      <c r="N1407" s="78" t="s">
        <v>18</v>
      </c>
      <c r="Q1407" s="304" t="s">
        <v>2056</v>
      </c>
      <c r="R1407" s="75">
        <f t="shared" si="128"/>
        <v>1</v>
      </c>
      <c r="S1407" s="263" t="s">
        <v>1991</v>
      </c>
      <c r="T1407" s="263"/>
      <c r="U1407" s="263"/>
      <c r="V1407" s="263"/>
      <c r="W1407" s="263"/>
      <c r="X1407" s="263"/>
      <c r="Y1407" s="575"/>
      <c r="Z1407" s="575"/>
      <c r="AA1407" s="576">
        <f t="shared" si="129"/>
        <v>0</v>
      </c>
      <c r="AB1407" s="722"/>
    </row>
    <row r="1408" spans="1:28" ht="15" customHeight="1" x14ac:dyDescent="0.35">
      <c r="A1408" s="81" t="s">
        <v>4569</v>
      </c>
      <c r="C1408" s="118">
        <v>43847</v>
      </c>
      <c r="D1408" s="318">
        <v>43908</v>
      </c>
      <c r="E1408" s="570"/>
      <c r="F1408" s="255" t="s">
        <v>4664</v>
      </c>
      <c r="G1408" s="88" t="s">
        <v>149</v>
      </c>
      <c r="H1408" s="98" t="s">
        <v>220</v>
      </c>
      <c r="I1408" s="98" t="s">
        <v>722</v>
      </c>
      <c r="J1408" s="75">
        <f t="shared" ref="J1408:J1461" si="130">IF(OR(K1408="Документы готовы",K1408="Запрос в ФО",K1408="ЭЗ",K1408="РЕШ",K1408="РЕШ шаблон"),0.1,IF(OR(K1408="ЭЗ согласование",K1408="РЕШ согласование"),0.3,IF(OR(K1408="ЭЗ согласовано",K1408="РЕШ согласовано",K1408="РЕШ подписано"),0.6,IF(OR(K1408="ЭЗ ПР согласование",K1408="РЕШ УВ согласование"),0.9,IF(OR(K1408="ЭЗ ПР DONE",K1408="РЕШ УВ DONE"),1,0)))))</f>
        <v>1</v>
      </c>
      <c r="K1408" s="76" t="s">
        <v>211</v>
      </c>
      <c r="L1408" s="99" t="s">
        <v>5207</v>
      </c>
      <c r="N1408" s="78" t="s">
        <v>17</v>
      </c>
      <c r="Q1408" s="78" t="s">
        <v>2130</v>
      </c>
      <c r="R1408" s="75">
        <f t="shared" ref="R1408:R1461" si="131">IF(S1408="В работе",0.3,IF(S1408="Отписано",0.6,IF(S1408="На доработку",0.9,IF(S1408="Согласовано",1,0))))</f>
        <v>1</v>
      </c>
      <c r="S1408" s="263" t="s">
        <v>1991</v>
      </c>
      <c r="T1408" s="263"/>
      <c r="U1408" s="263" t="s">
        <v>5198</v>
      </c>
      <c r="V1408" s="263"/>
      <c r="W1408" s="263"/>
      <c r="X1408" s="263"/>
      <c r="Y1408" s="575"/>
      <c r="Z1408" s="575"/>
      <c r="AA1408" s="576">
        <f t="shared" si="129"/>
        <v>0</v>
      </c>
      <c r="AB1408" s="722"/>
    </row>
    <row r="1409" spans="1:28" ht="15" customHeight="1" x14ac:dyDescent="0.35">
      <c r="A1409" s="81" t="s">
        <v>4973</v>
      </c>
      <c r="C1409" s="118">
        <v>43854</v>
      </c>
      <c r="D1409" s="318">
        <v>43907</v>
      </c>
      <c r="E1409" s="570"/>
      <c r="F1409" s="88" t="s">
        <v>5060</v>
      </c>
      <c r="G1409" s="88" t="s">
        <v>154</v>
      </c>
      <c r="H1409" s="98" t="s">
        <v>220</v>
      </c>
      <c r="I1409" s="98" t="s">
        <v>722</v>
      </c>
      <c r="J1409" s="75">
        <f t="shared" si="130"/>
        <v>1</v>
      </c>
      <c r="K1409" s="76" t="s">
        <v>211</v>
      </c>
      <c r="N1409" s="78" t="s">
        <v>17</v>
      </c>
      <c r="Q1409" s="78" t="s">
        <v>2130</v>
      </c>
      <c r="R1409" s="75">
        <f t="shared" si="131"/>
        <v>1</v>
      </c>
      <c r="S1409" s="263" t="s">
        <v>1991</v>
      </c>
      <c r="T1409" s="263"/>
      <c r="U1409" s="263"/>
      <c r="V1409" s="263"/>
      <c r="W1409" s="263"/>
      <c r="X1409" s="263"/>
      <c r="Y1409" s="575"/>
      <c r="Z1409" s="575"/>
      <c r="AA1409" s="576">
        <f t="shared" si="129"/>
        <v>0</v>
      </c>
      <c r="AB1409" s="722"/>
    </row>
    <row r="1410" spans="1:28" ht="15" customHeight="1" x14ac:dyDescent="0.35">
      <c r="A1410" s="81" t="s">
        <v>4427</v>
      </c>
      <c r="C1410" s="118">
        <v>43866</v>
      </c>
      <c r="D1410" s="318">
        <v>43906</v>
      </c>
      <c r="E1410" s="570"/>
      <c r="F1410" s="88" t="s">
        <v>4428</v>
      </c>
      <c r="G1410" s="88" t="s">
        <v>149</v>
      </c>
      <c r="H1410" s="98" t="s">
        <v>220</v>
      </c>
      <c r="I1410" s="98" t="s">
        <v>863</v>
      </c>
      <c r="J1410" s="75">
        <f t="shared" si="130"/>
        <v>1</v>
      </c>
      <c r="K1410" s="76" t="s">
        <v>211</v>
      </c>
      <c r="L1410" s="99" t="s">
        <v>3301</v>
      </c>
      <c r="N1410" s="78" t="s">
        <v>17</v>
      </c>
      <c r="Q1410" s="78" t="s">
        <v>2163</v>
      </c>
      <c r="R1410" s="75">
        <f t="shared" si="131"/>
        <v>1</v>
      </c>
      <c r="S1410" s="263" t="s">
        <v>1991</v>
      </c>
      <c r="T1410" s="263"/>
      <c r="U1410" s="263"/>
      <c r="V1410" s="263"/>
      <c r="W1410" s="263"/>
      <c r="X1410" s="263"/>
      <c r="Y1410" s="575"/>
      <c r="Z1410" s="575"/>
      <c r="AA1410" s="576">
        <f t="shared" si="129"/>
        <v>0</v>
      </c>
      <c r="AB1410" s="722"/>
    </row>
    <row r="1411" spans="1:28" ht="15" customHeight="1" x14ac:dyDescent="0.35">
      <c r="A1411" s="81" t="s">
        <v>4396</v>
      </c>
      <c r="C1411" s="118">
        <v>43866</v>
      </c>
      <c r="D1411" s="318">
        <v>43906</v>
      </c>
      <c r="E1411" s="570"/>
      <c r="F1411" s="88" t="s">
        <v>4397</v>
      </c>
      <c r="G1411" s="88" t="s">
        <v>152</v>
      </c>
      <c r="H1411" s="98" t="s">
        <v>220</v>
      </c>
      <c r="I1411" s="98" t="s">
        <v>3737</v>
      </c>
      <c r="J1411" s="75">
        <f t="shared" si="130"/>
        <v>1</v>
      </c>
      <c r="K1411" s="76" t="s">
        <v>211</v>
      </c>
      <c r="N1411" s="78" t="s">
        <v>17</v>
      </c>
      <c r="Q1411" s="78" t="s">
        <v>2130</v>
      </c>
      <c r="R1411" s="75">
        <f t="shared" si="131"/>
        <v>1</v>
      </c>
      <c r="S1411" s="263" t="s">
        <v>1991</v>
      </c>
      <c r="T1411" s="263"/>
      <c r="U1411" s="263" t="s">
        <v>5152</v>
      </c>
      <c r="V1411" s="263"/>
      <c r="W1411" s="263"/>
      <c r="X1411" s="263"/>
      <c r="Y1411" s="575"/>
      <c r="Z1411" s="575"/>
      <c r="AA1411" s="576">
        <f t="shared" si="129"/>
        <v>0</v>
      </c>
      <c r="AB1411" s="722"/>
    </row>
    <row r="1412" spans="1:28" ht="15" customHeight="1" x14ac:dyDescent="0.35">
      <c r="A1412" s="98" t="s">
        <v>4543</v>
      </c>
      <c r="C1412" s="118">
        <v>43866</v>
      </c>
      <c r="D1412" s="318">
        <v>43906</v>
      </c>
      <c r="E1412" s="570"/>
      <c r="F1412" s="88" t="s">
        <v>4544</v>
      </c>
      <c r="G1412" s="88" t="s">
        <v>158</v>
      </c>
      <c r="H1412" s="98" t="s">
        <v>220</v>
      </c>
      <c r="I1412" s="98" t="s">
        <v>1004</v>
      </c>
      <c r="J1412" s="75">
        <f t="shared" si="130"/>
        <v>1</v>
      </c>
      <c r="K1412" s="76" t="s">
        <v>211</v>
      </c>
      <c r="N1412" s="78" t="s">
        <v>19</v>
      </c>
      <c r="Q1412" s="78" t="s">
        <v>2097</v>
      </c>
      <c r="R1412" s="75">
        <f t="shared" si="131"/>
        <v>1</v>
      </c>
      <c r="S1412" s="263" t="s">
        <v>1991</v>
      </c>
      <c r="T1412" s="263"/>
      <c r="U1412" s="263"/>
      <c r="V1412" s="263"/>
      <c r="W1412" s="263"/>
      <c r="X1412" s="263"/>
      <c r="Y1412" s="575"/>
      <c r="Z1412" s="575"/>
      <c r="AA1412" s="576">
        <f t="shared" si="129"/>
        <v>0</v>
      </c>
      <c r="AB1412" s="722"/>
    </row>
    <row r="1413" spans="1:28" ht="15" customHeight="1" x14ac:dyDescent="0.35">
      <c r="A1413" s="98" t="s">
        <v>4511</v>
      </c>
      <c r="C1413" s="118">
        <v>43866</v>
      </c>
      <c r="D1413" s="318">
        <v>43906</v>
      </c>
      <c r="E1413" s="570"/>
      <c r="F1413" s="88" t="s">
        <v>4512</v>
      </c>
      <c r="G1413" s="88" t="s">
        <v>152</v>
      </c>
      <c r="H1413" s="98" t="s">
        <v>220</v>
      </c>
      <c r="I1413" s="98" t="s">
        <v>722</v>
      </c>
      <c r="J1413" s="75">
        <f t="shared" si="130"/>
        <v>1</v>
      </c>
      <c r="K1413" s="76" t="s">
        <v>211</v>
      </c>
      <c r="N1413" s="78" t="s">
        <v>17</v>
      </c>
      <c r="Q1413" s="78" t="s">
        <v>2056</v>
      </c>
      <c r="R1413" s="75">
        <f t="shared" si="131"/>
        <v>1</v>
      </c>
      <c r="S1413" s="263" t="s">
        <v>1991</v>
      </c>
      <c r="T1413" s="263"/>
      <c r="U1413" s="263" t="s">
        <v>5148</v>
      </c>
      <c r="V1413" s="263"/>
      <c r="W1413" s="263"/>
      <c r="X1413" s="263"/>
      <c r="Y1413" s="575"/>
      <c r="Z1413" s="575"/>
      <c r="AA1413" s="576">
        <f t="shared" si="129"/>
        <v>0</v>
      </c>
      <c r="AB1413" s="722"/>
    </row>
    <row r="1414" spans="1:28" ht="15" customHeight="1" x14ac:dyDescent="0.35">
      <c r="A1414" s="81" t="s">
        <v>4433</v>
      </c>
      <c r="C1414" s="118">
        <v>43866</v>
      </c>
      <c r="D1414" s="318">
        <v>43906</v>
      </c>
      <c r="E1414" s="570"/>
      <c r="F1414" s="88" t="s">
        <v>4434</v>
      </c>
      <c r="G1414" s="88" t="s">
        <v>149</v>
      </c>
      <c r="H1414" s="98" t="s">
        <v>220</v>
      </c>
      <c r="I1414" s="98" t="s">
        <v>649</v>
      </c>
      <c r="J1414" s="75">
        <f t="shared" si="130"/>
        <v>1</v>
      </c>
      <c r="K1414" s="76" t="s">
        <v>211</v>
      </c>
      <c r="L1414" s="99" t="s">
        <v>5153</v>
      </c>
      <c r="N1414" s="78" t="s">
        <v>18</v>
      </c>
      <c r="Q1414" s="78" t="s">
        <v>2163</v>
      </c>
      <c r="R1414" s="75">
        <f t="shared" si="131"/>
        <v>1</v>
      </c>
      <c r="S1414" s="263" t="s">
        <v>1991</v>
      </c>
      <c r="T1414" s="263"/>
      <c r="U1414" s="263"/>
      <c r="V1414" s="263"/>
      <c r="W1414" s="263"/>
      <c r="X1414" s="263"/>
      <c r="Y1414" s="575"/>
      <c r="Z1414" s="575"/>
      <c r="AA1414" s="576">
        <f t="shared" si="129"/>
        <v>0</v>
      </c>
      <c r="AB1414" s="722"/>
    </row>
    <row r="1415" spans="1:28" ht="15" customHeight="1" x14ac:dyDescent="0.35">
      <c r="A1415" s="81" t="s">
        <v>4513</v>
      </c>
      <c r="C1415" s="118">
        <v>43866</v>
      </c>
      <c r="D1415" s="318">
        <v>43906</v>
      </c>
      <c r="E1415" s="570"/>
      <c r="F1415" s="88" t="s">
        <v>4514</v>
      </c>
      <c r="G1415" s="88" t="s">
        <v>170</v>
      </c>
      <c r="H1415" s="98" t="s">
        <v>220</v>
      </c>
      <c r="I1415" s="81" t="s">
        <v>4563</v>
      </c>
      <c r="J1415" s="75">
        <f t="shared" si="130"/>
        <v>1</v>
      </c>
      <c r="K1415" s="76" t="s">
        <v>211</v>
      </c>
      <c r="L1415" s="88" t="s">
        <v>4564</v>
      </c>
      <c r="N1415" s="78" t="s">
        <v>17</v>
      </c>
      <c r="Q1415" s="78" t="s">
        <v>2056</v>
      </c>
      <c r="R1415" s="75">
        <f t="shared" si="131"/>
        <v>1</v>
      </c>
      <c r="S1415" s="263" t="s">
        <v>1991</v>
      </c>
      <c r="T1415" s="263"/>
      <c r="U1415" s="263"/>
      <c r="V1415" s="263"/>
      <c r="W1415" s="263"/>
      <c r="X1415" s="263"/>
      <c r="Y1415" s="575"/>
      <c r="Z1415" s="575"/>
      <c r="AA1415" s="576">
        <f t="shared" si="129"/>
        <v>0</v>
      </c>
      <c r="AB1415" s="722"/>
    </row>
    <row r="1416" spans="1:28" ht="15" customHeight="1" x14ac:dyDescent="0.35">
      <c r="A1416" s="81" t="s">
        <v>4398</v>
      </c>
      <c r="C1416" s="118">
        <v>43866</v>
      </c>
      <c r="D1416" s="318">
        <v>43906</v>
      </c>
      <c r="E1416" s="570"/>
      <c r="F1416" s="88" t="s">
        <v>4399</v>
      </c>
      <c r="G1416" s="88" t="s">
        <v>158</v>
      </c>
      <c r="H1416" s="98" t="s">
        <v>220</v>
      </c>
      <c r="I1416" s="98" t="s">
        <v>722</v>
      </c>
      <c r="J1416" s="75">
        <f t="shared" si="130"/>
        <v>1</v>
      </c>
      <c r="K1416" s="76" t="s">
        <v>211</v>
      </c>
      <c r="Q1416" s="78" t="s">
        <v>2130</v>
      </c>
      <c r="R1416" s="75">
        <f t="shared" si="131"/>
        <v>1</v>
      </c>
      <c r="S1416" s="263" t="s">
        <v>1991</v>
      </c>
      <c r="T1416" s="263"/>
      <c r="U1416" s="263"/>
      <c r="V1416" s="263"/>
      <c r="W1416" s="263"/>
      <c r="X1416" s="263"/>
      <c r="Y1416" s="575"/>
      <c r="Z1416" s="575"/>
      <c r="AA1416" s="576">
        <f t="shared" si="129"/>
        <v>0</v>
      </c>
      <c r="AB1416" s="722"/>
    </row>
    <row r="1417" spans="1:28" ht="15" customHeight="1" x14ac:dyDescent="0.35">
      <c r="A1417" s="81" t="s">
        <v>4547</v>
      </c>
      <c r="C1417" s="118">
        <v>43866</v>
      </c>
      <c r="D1417" s="318">
        <v>43906</v>
      </c>
      <c r="E1417" s="570"/>
      <c r="F1417" s="88" t="s">
        <v>4548</v>
      </c>
      <c r="G1417" s="88" t="s">
        <v>162</v>
      </c>
      <c r="H1417" s="98" t="s">
        <v>220</v>
      </c>
      <c r="I1417" s="98" t="s">
        <v>649</v>
      </c>
      <c r="J1417" s="75">
        <f t="shared" si="130"/>
        <v>1</v>
      </c>
      <c r="K1417" s="76" t="s">
        <v>211</v>
      </c>
      <c r="N1417" s="78" t="s">
        <v>18</v>
      </c>
      <c r="Q1417" s="78" t="s">
        <v>2097</v>
      </c>
      <c r="R1417" s="75">
        <f t="shared" si="131"/>
        <v>1</v>
      </c>
      <c r="S1417" s="263" t="s">
        <v>1991</v>
      </c>
      <c r="T1417" s="263"/>
      <c r="U1417" s="263"/>
      <c r="V1417" s="263"/>
      <c r="W1417" s="263"/>
      <c r="X1417" s="263"/>
      <c r="Y1417" s="575"/>
      <c r="Z1417" s="575"/>
      <c r="AA1417" s="576">
        <f t="shared" si="129"/>
        <v>0</v>
      </c>
      <c r="AB1417" s="722"/>
    </row>
    <row r="1418" spans="1:28" ht="15" customHeight="1" x14ac:dyDescent="0.35">
      <c r="A1418" s="81" t="s">
        <v>4974</v>
      </c>
      <c r="C1418" s="118">
        <v>43866</v>
      </c>
      <c r="D1418" s="318">
        <v>43906</v>
      </c>
      <c r="E1418" s="570"/>
      <c r="F1418" s="88" t="s">
        <v>5061</v>
      </c>
      <c r="G1418" s="88" t="s">
        <v>154</v>
      </c>
      <c r="H1418" s="98" t="s">
        <v>220</v>
      </c>
      <c r="I1418" s="98" t="s">
        <v>5151</v>
      </c>
      <c r="J1418" s="75">
        <f t="shared" si="130"/>
        <v>1</v>
      </c>
      <c r="K1418" s="76" t="s">
        <v>211</v>
      </c>
      <c r="N1418" s="78" t="s">
        <v>19</v>
      </c>
      <c r="Q1418" s="78" t="s">
        <v>2056</v>
      </c>
      <c r="R1418" s="75">
        <f t="shared" si="131"/>
        <v>1</v>
      </c>
      <c r="S1418" s="263" t="s">
        <v>1991</v>
      </c>
      <c r="T1418" s="263"/>
      <c r="U1418" s="263"/>
      <c r="V1418" s="263"/>
      <c r="W1418" s="263"/>
      <c r="X1418" s="263"/>
      <c r="Y1418" s="575"/>
      <c r="Z1418" s="575"/>
      <c r="AA1418" s="576">
        <f t="shared" si="129"/>
        <v>0</v>
      </c>
      <c r="AB1418" s="722"/>
    </row>
    <row r="1419" spans="1:28" ht="15" customHeight="1" x14ac:dyDescent="0.35">
      <c r="A1419" s="98" t="s">
        <v>4578</v>
      </c>
      <c r="C1419" s="118">
        <v>43867</v>
      </c>
      <c r="D1419" s="318">
        <v>43907</v>
      </c>
      <c r="E1419" s="570"/>
      <c r="F1419" s="88" t="s">
        <v>4673</v>
      </c>
      <c r="G1419" s="88" t="s">
        <v>149</v>
      </c>
      <c r="H1419" s="98" t="s">
        <v>220</v>
      </c>
      <c r="I1419" s="98" t="s">
        <v>722</v>
      </c>
      <c r="J1419" s="75">
        <f t="shared" si="130"/>
        <v>1</v>
      </c>
      <c r="K1419" s="76" t="s">
        <v>211</v>
      </c>
      <c r="N1419" s="78" t="s">
        <v>18</v>
      </c>
      <c r="Q1419" s="78" t="s">
        <v>2130</v>
      </c>
      <c r="R1419" s="75">
        <f t="shared" si="131"/>
        <v>1</v>
      </c>
      <c r="S1419" s="263" t="s">
        <v>1991</v>
      </c>
      <c r="T1419" s="263"/>
      <c r="U1419" s="263"/>
      <c r="V1419" s="263"/>
      <c r="W1419" s="263"/>
      <c r="X1419" s="263"/>
      <c r="Y1419" s="575"/>
      <c r="Z1419" s="575"/>
      <c r="AA1419" s="576">
        <f t="shared" si="129"/>
        <v>0</v>
      </c>
      <c r="AB1419" s="722"/>
    </row>
    <row r="1420" spans="1:28" ht="15" customHeight="1" x14ac:dyDescent="0.35">
      <c r="A1420" s="98" t="s">
        <v>4975</v>
      </c>
      <c r="C1420" s="118">
        <v>43867</v>
      </c>
      <c r="D1420" s="318">
        <v>43907</v>
      </c>
      <c r="E1420" s="570"/>
      <c r="F1420" s="88" t="s">
        <v>5062</v>
      </c>
      <c r="G1420" s="88" t="s">
        <v>154</v>
      </c>
      <c r="H1420" s="81" t="s">
        <v>275</v>
      </c>
      <c r="I1420" s="98" t="s">
        <v>5178</v>
      </c>
      <c r="J1420" s="75">
        <f t="shared" si="130"/>
        <v>1</v>
      </c>
      <c r="K1420" s="76" t="s">
        <v>211</v>
      </c>
      <c r="L1420" s="99" t="s">
        <v>5179</v>
      </c>
      <c r="N1420" s="78" t="s">
        <v>17</v>
      </c>
      <c r="Q1420" s="78" t="s">
        <v>2056</v>
      </c>
      <c r="R1420" s="75">
        <f t="shared" si="131"/>
        <v>1</v>
      </c>
      <c r="S1420" s="263" t="s">
        <v>1991</v>
      </c>
      <c r="T1420" s="263"/>
      <c r="U1420" s="263" t="s">
        <v>5177</v>
      </c>
      <c r="V1420" s="263"/>
      <c r="W1420" s="263"/>
      <c r="X1420" s="263"/>
      <c r="Y1420" s="575"/>
      <c r="Z1420" s="575"/>
      <c r="AA1420" s="576">
        <f t="shared" si="129"/>
        <v>0</v>
      </c>
      <c r="AB1420" s="722"/>
    </row>
    <row r="1421" spans="1:28" ht="15" customHeight="1" x14ac:dyDescent="0.35">
      <c r="A1421" s="81" t="s">
        <v>4580</v>
      </c>
      <c r="C1421" s="118">
        <v>43867</v>
      </c>
      <c r="D1421" s="318">
        <v>43907</v>
      </c>
      <c r="E1421" s="570"/>
      <c r="F1421" s="88" t="s">
        <v>4675</v>
      </c>
      <c r="G1421" s="88" t="s">
        <v>183</v>
      </c>
      <c r="H1421" s="98" t="s">
        <v>220</v>
      </c>
      <c r="I1421" s="98" t="s">
        <v>722</v>
      </c>
      <c r="J1421" s="75">
        <f t="shared" si="130"/>
        <v>1</v>
      </c>
      <c r="K1421" s="76" t="s">
        <v>211</v>
      </c>
      <c r="N1421" s="78" t="s">
        <v>18</v>
      </c>
      <c r="Q1421" s="78" t="s">
        <v>2163</v>
      </c>
      <c r="R1421" s="75">
        <f t="shared" si="131"/>
        <v>1</v>
      </c>
      <c r="S1421" s="263" t="s">
        <v>1991</v>
      </c>
      <c r="T1421" s="263"/>
      <c r="U1421" s="263"/>
      <c r="V1421" s="263"/>
      <c r="W1421" s="263"/>
      <c r="X1421" s="263"/>
      <c r="Y1421" s="575"/>
      <c r="Z1421" s="575"/>
      <c r="AA1421" s="576">
        <f t="shared" si="129"/>
        <v>0</v>
      </c>
      <c r="AB1421" s="722"/>
    </row>
    <row r="1422" spans="1:28" ht="15" customHeight="1" x14ac:dyDescent="0.35">
      <c r="A1422" s="98" t="s">
        <v>4582</v>
      </c>
      <c r="C1422" s="118">
        <v>43867</v>
      </c>
      <c r="D1422" s="318">
        <v>43907</v>
      </c>
      <c r="E1422" s="570"/>
      <c r="F1422" s="88" t="s">
        <v>4677</v>
      </c>
      <c r="G1422" s="88" t="s">
        <v>160</v>
      </c>
      <c r="H1422" s="98" t="s">
        <v>220</v>
      </c>
      <c r="I1422" s="98" t="s">
        <v>649</v>
      </c>
      <c r="J1422" s="75">
        <f t="shared" si="130"/>
        <v>1</v>
      </c>
      <c r="K1422" s="76" t="s">
        <v>211</v>
      </c>
      <c r="N1422" s="78" t="s">
        <v>18</v>
      </c>
      <c r="Q1422" s="78" t="s">
        <v>2130</v>
      </c>
      <c r="R1422" s="75">
        <f t="shared" si="131"/>
        <v>1</v>
      </c>
      <c r="S1422" s="263" t="s">
        <v>1991</v>
      </c>
      <c r="T1422" s="263"/>
      <c r="U1422" s="263"/>
      <c r="V1422" s="263"/>
      <c r="W1422" s="263"/>
      <c r="X1422" s="263"/>
      <c r="Y1422" s="575"/>
      <c r="Z1422" s="575"/>
      <c r="AA1422" s="576">
        <f t="shared" si="129"/>
        <v>0</v>
      </c>
      <c r="AB1422" s="722"/>
    </row>
    <row r="1423" spans="1:28" ht="15" customHeight="1" x14ac:dyDescent="0.35">
      <c r="A1423" s="81" t="s">
        <v>4976</v>
      </c>
      <c r="C1423" s="118">
        <v>43867</v>
      </c>
      <c r="D1423" s="318">
        <v>43907</v>
      </c>
      <c r="E1423" s="570"/>
      <c r="F1423" s="88" t="s">
        <v>5063</v>
      </c>
      <c r="G1423" s="88" t="s">
        <v>162</v>
      </c>
      <c r="H1423" s="98" t="s">
        <v>220</v>
      </c>
      <c r="I1423" s="98" t="s">
        <v>722</v>
      </c>
      <c r="J1423" s="75">
        <f t="shared" si="130"/>
        <v>1</v>
      </c>
      <c r="K1423" s="76" t="s">
        <v>211</v>
      </c>
      <c r="N1423" s="78" t="s">
        <v>18</v>
      </c>
      <c r="Q1423" s="78" t="s">
        <v>2163</v>
      </c>
      <c r="R1423" s="75">
        <f t="shared" si="131"/>
        <v>1</v>
      </c>
      <c r="S1423" s="263" t="s">
        <v>1991</v>
      </c>
      <c r="T1423" s="263"/>
      <c r="U1423" s="263"/>
      <c r="V1423" s="263"/>
      <c r="W1423" s="263"/>
      <c r="X1423" s="263"/>
      <c r="Y1423" s="575"/>
      <c r="Z1423" s="575"/>
      <c r="AA1423" s="576">
        <f t="shared" si="129"/>
        <v>0</v>
      </c>
      <c r="AB1423" s="722"/>
    </row>
    <row r="1424" spans="1:28" ht="15" customHeight="1" x14ac:dyDescent="0.35">
      <c r="A1424" s="98" t="s">
        <v>4583</v>
      </c>
      <c r="C1424" s="118">
        <v>43867</v>
      </c>
      <c r="D1424" s="318">
        <v>43907</v>
      </c>
      <c r="E1424" s="570"/>
      <c r="F1424" s="88" t="s">
        <v>4678</v>
      </c>
      <c r="G1424" s="88" t="s">
        <v>195</v>
      </c>
      <c r="H1424" s="98" t="s">
        <v>220</v>
      </c>
      <c r="I1424" s="98" t="s">
        <v>648</v>
      </c>
      <c r="J1424" s="75">
        <f t="shared" si="130"/>
        <v>1</v>
      </c>
      <c r="K1424" s="76" t="s">
        <v>211</v>
      </c>
      <c r="N1424" s="78" t="s">
        <v>17</v>
      </c>
      <c r="Q1424" s="78" t="s">
        <v>2163</v>
      </c>
      <c r="R1424" s="75">
        <f t="shared" si="131"/>
        <v>1</v>
      </c>
      <c r="S1424" s="263" t="s">
        <v>1991</v>
      </c>
      <c r="T1424" s="263"/>
      <c r="U1424" s="263"/>
      <c r="V1424" s="263"/>
      <c r="W1424" s="263"/>
      <c r="X1424" s="263"/>
      <c r="Y1424" s="575"/>
      <c r="Z1424" s="575"/>
      <c r="AA1424" s="576">
        <f t="shared" si="129"/>
        <v>0</v>
      </c>
      <c r="AB1424" s="722"/>
    </row>
    <row r="1425" spans="1:28" ht="15" customHeight="1" x14ac:dyDescent="0.35">
      <c r="A1425" s="98" t="s">
        <v>4590</v>
      </c>
      <c r="C1425" s="118">
        <v>43867</v>
      </c>
      <c r="D1425" s="318">
        <v>43907</v>
      </c>
      <c r="E1425" s="570"/>
      <c r="F1425" s="88" t="s">
        <v>4685</v>
      </c>
      <c r="G1425" s="88" t="s">
        <v>158</v>
      </c>
      <c r="H1425" s="98" t="s">
        <v>220</v>
      </c>
      <c r="I1425" s="98" t="s">
        <v>722</v>
      </c>
      <c r="J1425" s="75">
        <f t="shared" si="130"/>
        <v>1</v>
      </c>
      <c r="K1425" s="76" t="s">
        <v>211</v>
      </c>
      <c r="N1425" s="78" t="s">
        <v>18</v>
      </c>
      <c r="Q1425" s="78" t="s">
        <v>2097</v>
      </c>
      <c r="R1425" s="75">
        <f t="shared" si="131"/>
        <v>1</v>
      </c>
      <c r="S1425" s="263" t="s">
        <v>1991</v>
      </c>
      <c r="T1425" s="263"/>
      <c r="U1425" s="263"/>
      <c r="V1425" s="263"/>
      <c r="W1425" s="263"/>
      <c r="X1425" s="263"/>
      <c r="Y1425" s="575"/>
      <c r="Z1425" s="575"/>
      <c r="AA1425" s="576">
        <f t="shared" si="129"/>
        <v>0</v>
      </c>
      <c r="AB1425" s="722"/>
    </row>
    <row r="1426" spans="1:28" ht="15" customHeight="1" x14ac:dyDescent="0.35">
      <c r="A1426" s="98" t="s">
        <v>4591</v>
      </c>
      <c r="C1426" s="118">
        <v>43868</v>
      </c>
      <c r="D1426" s="318">
        <v>43908</v>
      </c>
      <c r="E1426" s="570"/>
      <c r="F1426" s="88" t="s">
        <v>4686</v>
      </c>
      <c r="G1426" s="88" t="s">
        <v>179</v>
      </c>
      <c r="H1426" s="98" t="s">
        <v>220</v>
      </c>
      <c r="I1426" s="98" t="s">
        <v>722</v>
      </c>
      <c r="J1426" s="75">
        <f t="shared" si="130"/>
        <v>1</v>
      </c>
      <c r="K1426" s="76" t="s">
        <v>211</v>
      </c>
      <c r="N1426" s="78" t="s">
        <v>17</v>
      </c>
      <c r="Q1426" s="78" t="s">
        <v>2056</v>
      </c>
      <c r="R1426" s="75">
        <f t="shared" si="131"/>
        <v>1</v>
      </c>
      <c r="S1426" s="263" t="s">
        <v>1991</v>
      </c>
      <c r="T1426" s="263"/>
      <c r="U1426" s="263" t="s">
        <v>5182</v>
      </c>
      <c r="V1426" s="263"/>
      <c r="W1426" s="263"/>
      <c r="X1426" s="263"/>
      <c r="Y1426" s="575"/>
      <c r="Z1426" s="575"/>
      <c r="AA1426" s="576">
        <f t="shared" si="129"/>
        <v>0</v>
      </c>
      <c r="AB1426" s="722"/>
    </row>
    <row r="1427" spans="1:28" ht="15" customHeight="1" x14ac:dyDescent="0.35">
      <c r="A1427" s="98" t="s">
        <v>4593</v>
      </c>
      <c r="C1427" s="118">
        <v>43868</v>
      </c>
      <c r="D1427" s="318">
        <v>43908</v>
      </c>
      <c r="E1427" s="570"/>
      <c r="F1427" s="88" t="s">
        <v>4688</v>
      </c>
      <c r="G1427" s="88" t="s">
        <v>154</v>
      </c>
      <c r="H1427" s="81" t="s">
        <v>275</v>
      </c>
      <c r="I1427" s="98" t="s">
        <v>648</v>
      </c>
      <c r="J1427" s="75">
        <f t="shared" si="130"/>
        <v>1</v>
      </c>
      <c r="K1427" s="76" t="s">
        <v>211</v>
      </c>
      <c r="L1427" s="99" t="s">
        <v>5208</v>
      </c>
      <c r="N1427" s="78" t="s">
        <v>18</v>
      </c>
      <c r="Q1427" s="78" t="s">
        <v>2163</v>
      </c>
      <c r="R1427" s="75">
        <f t="shared" si="131"/>
        <v>1</v>
      </c>
      <c r="S1427" s="263" t="s">
        <v>1991</v>
      </c>
      <c r="T1427" s="263"/>
      <c r="U1427" s="263"/>
      <c r="V1427" s="263"/>
      <c r="W1427" s="263"/>
      <c r="X1427" s="263"/>
      <c r="Y1427" s="575"/>
      <c r="Z1427" s="575"/>
      <c r="AA1427" s="576">
        <f t="shared" si="129"/>
        <v>0</v>
      </c>
      <c r="AB1427" s="722"/>
    </row>
    <row r="1428" spans="1:28" ht="15" customHeight="1" x14ac:dyDescent="0.35">
      <c r="A1428" s="98" t="s">
        <v>4594</v>
      </c>
      <c r="C1428" s="118">
        <v>43868</v>
      </c>
      <c r="D1428" s="318">
        <v>43908</v>
      </c>
      <c r="E1428" s="570"/>
      <c r="F1428" s="88" t="s">
        <v>4689</v>
      </c>
      <c r="G1428" s="88" t="s">
        <v>176</v>
      </c>
      <c r="H1428" s="98" t="s">
        <v>220</v>
      </c>
      <c r="I1428" s="98" t="s">
        <v>722</v>
      </c>
      <c r="J1428" s="75">
        <f t="shared" si="130"/>
        <v>1</v>
      </c>
      <c r="K1428" s="76" t="s">
        <v>211</v>
      </c>
      <c r="N1428" s="78" t="s">
        <v>17</v>
      </c>
      <c r="Q1428" s="78" t="s">
        <v>2097</v>
      </c>
      <c r="R1428" s="75">
        <f t="shared" si="131"/>
        <v>1</v>
      </c>
      <c r="S1428" s="263" t="s">
        <v>1991</v>
      </c>
      <c r="T1428" s="263"/>
      <c r="U1428" s="263" t="s">
        <v>5201</v>
      </c>
      <c r="V1428" s="263"/>
      <c r="W1428" s="263"/>
      <c r="X1428" s="263"/>
      <c r="Y1428" s="575"/>
      <c r="Z1428" s="575"/>
      <c r="AA1428" s="576">
        <f t="shared" si="129"/>
        <v>0</v>
      </c>
      <c r="AB1428" s="722"/>
    </row>
    <row r="1429" spans="1:28" ht="15" customHeight="1" x14ac:dyDescent="0.35">
      <c r="A1429" s="98" t="s">
        <v>4977</v>
      </c>
      <c r="C1429" s="118">
        <v>43868</v>
      </c>
      <c r="D1429" s="318">
        <v>43907</v>
      </c>
      <c r="E1429" s="570"/>
      <c r="F1429" s="88" t="s">
        <v>5064</v>
      </c>
      <c r="G1429" s="88" t="s">
        <v>162</v>
      </c>
      <c r="H1429" s="98" t="s">
        <v>220</v>
      </c>
      <c r="I1429" s="98" t="s">
        <v>722</v>
      </c>
      <c r="J1429" s="75">
        <f t="shared" si="130"/>
        <v>1</v>
      </c>
      <c r="K1429" s="76" t="s">
        <v>211</v>
      </c>
      <c r="N1429" s="78" t="s">
        <v>17</v>
      </c>
      <c r="Q1429" s="78" t="s">
        <v>2056</v>
      </c>
      <c r="R1429" s="75">
        <f t="shared" si="131"/>
        <v>1</v>
      </c>
      <c r="S1429" s="263" t="s">
        <v>1991</v>
      </c>
      <c r="T1429" s="263"/>
      <c r="U1429" s="263"/>
      <c r="V1429" s="263"/>
      <c r="W1429" s="263"/>
      <c r="X1429" s="263"/>
      <c r="Y1429" s="575"/>
      <c r="Z1429" s="575"/>
      <c r="AA1429" s="576">
        <f t="shared" si="129"/>
        <v>0</v>
      </c>
      <c r="AB1429" s="722"/>
    </row>
    <row r="1430" spans="1:28" ht="15" customHeight="1" x14ac:dyDescent="0.35">
      <c r="A1430" s="98" t="s">
        <v>4598</v>
      </c>
      <c r="C1430" s="118">
        <v>43868</v>
      </c>
      <c r="D1430" s="318">
        <v>43908</v>
      </c>
      <c r="E1430" s="570"/>
      <c r="F1430" s="88" t="s">
        <v>4693</v>
      </c>
      <c r="G1430" s="88" t="s">
        <v>152</v>
      </c>
      <c r="H1430" s="98" t="s">
        <v>220</v>
      </c>
      <c r="I1430" s="98" t="s">
        <v>730</v>
      </c>
      <c r="J1430" s="75">
        <f t="shared" si="130"/>
        <v>1</v>
      </c>
      <c r="K1430" s="76" t="s">
        <v>211</v>
      </c>
      <c r="L1430" s="88" t="s">
        <v>4763</v>
      </c>
      <c r="N1430" s="78" t="s">
        <v>17</v>
      </c>
      <c r="Q1430" s="78" t="s">
        <v>2163</v>
      </c>
      <c r="R1430" s="75">
        <f t="shared" si="131"/>
        <v>1</v>
      </c>
      <c r="S1430" s="263" t="s">
        <v>1991</v>
      </c>
      <c r="T1430" s="263"/>
      <c r="U1430" s="263"/>
      <c r="V1430" s="263"/>
      <c r="W1430" s="263"/>
      <c r="X1430" s="263"/>
      <c r="Y1430" s="575"/>
      <c r="Z1430" s="575"/>
      <c r="AA1430" s="576">
        <f t="shared" si="129"/>
        <v>0</v>
      </c>
      <c r="AB1430" s="722"/>
    </row>
    <row r="1431" spans="1:28" ht="15" customHeight="1" x14ac:dyDescent="0.35">
      <c r="A1431" s="81" t="s">
        <v>4601</v>
      </c>
      <c r="C1431" s="118">
        <v>43868</v>
      </c>
      <c r="D1431" s="318">
        <v>43908</v>
      </c>
      <c r="E1431" s="570"/>
      <c r="F1431" s="88" t="s">
        <v>4696</v>
      </c>
      <c r="G1431" s="88" t="s">
        <v>162</v>
      </c>
      <c r="H1431" s="98" t="s">
        <v>220</v>
      </c>
      <c r="I1431" s="98" t="s">
        <v>649</v>
      </c>
      <c r="J1431" s="75">
        <f t="shared" si="130"/>
        <v>1</v>
      </c>
      <c r="K1431" s="76" t="s">
        <v>211</v>
      </c>
      <c r="N1431" s="78" t="s">
        <v>18</v>
      </c>
      <c r="Q1431" s="78" t="s">
        <v>2130</v>
      </c>
      <c r="R1431" s="75">
        <f t="shared" si="131"/>
        <v>1</v>
      </c>
      <c r="S1431" s="263" t="s">
        <v>1991</v>
      </c>
      <c r="T1431" s="263"/>
      <c r="U1431" s="263"/>
      <c r="V1431" s="263"/>
      <c r="W1431" s="263"/>
      <c r="X1431" s="263"/>
      <c r="Y1431" s="575"/>
      <c r="Z1431" s="575"/>
      <c r="AA1431" s="576">
        <f t="shared" si="129"/>
        <v>0</v>
      </c>
      <c r="AB1431" s="722"/>
    </row>
    <row r="1432" spans="1:28" ht="15" customHeight="1" x14ac:dyDescent="0.35">
      <c r="A1432" s="98" t="s">
        <v>4603</v>
      </c>
      <c r="C1432" s="118">
        <v>43868</v>
      </c>
      <c r="D1432" s="318">
        <v>43908</v>
      </c>
      <c r="E1432" s="570"/>
      <c r="F1432" s="88" t="s">
        <v>4698</v>
      </c>
      <c r="G1432" s="88" t="s">
        <v>154</v>
      </c>
      <c r="H1432" s="98" t="s">
        <v>220</v>
      </c>
      <c r="I1432" s="98" t="s">
        <v>649</v>
      </c>
      <c r="J1432" s="75">
        <f t="shared" si="130"/>
        <v>1</v>
      </c>
      <c r="K1432" s="76" t="s">
        <v>211</v>
      </c>
      <c r="N1432" s="78" t="s">
        <v>18</v>
      </c>
      <c r="Q1432" s="78" t="s">
        <v>2130</v>
      </c>
      <c r="R1432" s="75">
        <f t="shared" si="131"/>
        <v>1</v>
      </c>
      <c r="S1432" s="263" t="s">
        <v>1991</v>
      </c>
      <c r="T1432" s="263"/>
      <c r="U1432" s="263"/>
      <c r="V1432" s="263"/>
      <c r="W1432" s="263"/>
      <c r="X1432" s="263"/>
      <c r="Y1432" s="575"/>
      <c r="Z1432" s="575"/>
      <c r="AA1432" s="576">
        <f t="shared" si="129"/>
        <v>0</v>
      </c>
      <c r="AB1432" s="722"/>
    </row>
    <row r="1433" spans="1:28" ht="15" customHeight="1" x14ac:dyDescent="0.35">
      <c r="A1433" s="98" t="s">
        <v>4605</v>
      </c>
      <c r="C1433" s="118">
        <v>43868</v>
      </c>
      <c r="D1433" s="318">
        <v>43908</v>
      </c>
      <c r="E1433" s="570"/>
      <c r="F1433" s="88" t="s">
        <v>4700</v>
      </c>
      <c r="G1433" s="88" t="s">
        <v>158</v>
      </c>
      <c r="H1433" s="98" t="s">
        <v>220</v>
      </c>
      <c r="I1433" s="98" t="s">
        <v>722</v>
      </c>
      <c r="J1433" s="75">
        <f t="shared" si="130"/>
        <v>1</v>
      </c>
      <c r="K1433" s="76" t="s">
        <v>211</v>
      </c>
      <c r="N1433" s="78" t="s">
        <v>17</v>
      </c>
      <c r="Q1433" s="78" t="s">
        <v>2097</v>
      </c>
      <c r="R1433" s="75">
        <f t="shared" si="131"/>
        <v>1</v>
      </c>
      <c r="S1433" s="263" t="s">
        <v>1991</v>
      </c>
      <c r="T1433" s="263"/>
      <c r="U1433" s="263" t="s">
        <v>5202</v>
      </c>
      <c r="V1433" s="263"/>
      <c r="W1433" s="263"/>
      <c r="X1433" s="263"/>
      <c r="Y1433" s="575"/>
      <c r="Z1433" s="575"/>
      <c r="AA1433" s="576">
        <f t="shared" si="129"/>
        <v>0</v>
      </c>
      <c r="AB1433" s="722"/>
    </row>
    <row r="1434" spans="1:28" ht="15" customHeight="1" x14ac:dyDescent="0.35">
      <c r="A1434" s="98" t="s">
        <v>4606</v>
      </c>
      <c r="C1434" s="118">
        <v>43868</v>
      </c>
      <c r="D1434" s="318">
        <v>43908</v>
      </c>
      <c r="E1434" s="570"/>
      <c r="F1434" s="88" t="s">
        <v>4701</v>
      </c>
      <c r="G1434" s="88" t="s">
        <v>152</v>
      </c>
      <c r="H1434" s="98" t="s">
        <v>220</v>
      </c>
      <c r="I1434" s="98" t="s">
        <v>722</v>
      </c>
      <c r="J1434" s="75">
        <f t="shared" si="130"/>
        <v>1</v>
      </c>
      <c r="K1434" s="76" t="s">
        <v>211</v>
      </c>
      <c r="N1434" s="78" t="s">
        <v>17</v>
      </c>
      <c r="Q1434" s="78" t="s">
        <v>2056</v>
      </c>
      <c r="R1434" s="75">
        <f t="shared" si="131"/>
        <v>1</v>
      </c>
      <c r="S1434" s="263" t="s">
        <v>1991</v>
      </c>
      <c r="T1434" s="263"/>
      <c r="U1434" s="263"/>
      <c r="V1434" s="263"/>
      <c r="W1434" s="263"/>
      <c r="X1434" s="263"/>
      <c r="Y1434" s="575"/>
      <c r="Z1434" s="575"/>
      <c r="AA1434" s="576">
        <f t="shared" si="129"/>
        <v>0</v>
      </c>
      <c r="AB1434" s="722"/>
    </row>
    <row r="1435" spans="1:28" ht="15" customHeight="1" x14ac:dyDescent="0.35">
      <c r="A1435" s="98" t="s">
        <v>4608</v>
      </c>
      <c r="C1435" s="118">
        <v>43871</v>
      </c>
      <c r="D1435" s="318">
        <v>43909</v>
      </c>
      <c r="E1435" s="570"/>
      <c r="F1435" s="88" t="s">
        <v>4703</v>
      </c>
      <c r="G1435" s="88" t="s">
        <v>156</v>
      </c>
      <c r="H1435" s="98" t="s">
        <v>220</v>
      </c>
      <c r="I1435" s="98" t="s">
        <v>648</v>
      </c>
      <c r="J1435" s="75">
        <f t="shared" si="130"/>
        <v>1</v>
      </c>
      <c r="K1435" s="76" t="s">
        <v>211</v>
      </c>
      <c r="N1435" s="78" t="s">
        <v>17</v>
      </c>
      <c r="Q1435" s="78" t="s">
        <v>2056</v>
      </c>
      <c r="R1435" s="75">
        <f t="shared" si="131"/>
        <v>1</v>
      </c>
      <c r="S1435" s="263" t="s">
        <v>1991</v>
      </c>
      <c r="T1435" s="263" t="s">
        <v>933</v>
      </c>
      <c r="U1435" s="263" t="s">
        <v>5209</v>
      </c>
      <c r="V1435" s="263"/>
      <c r="W1435" s="263"/>
      <c r="X1435" s="263"/>
      <c r="Y1435" s="575"/>
      <c r="Z1435" s="575"/>
      <c r="AA1435" s="576">
        <f t="shared" si="129"/>
        <v>0</v>
      </c>
      <c r="AB1435" s="722"/>
    </row>
    <row r="1436" spans="1:28" ht="15" customHeight="1" x14ac:dyDescent="0.35">
      <c r="A1436" s="98" t="s">
        <v>4609</v>
      </c>
      <c r="C1436" s="118">
        <v>43871</v>
      </c>
      <c r="D1436" s="318">
        <v>43909</v>
      </c>
      <c r="E1436" s="570"/>
      <c r="F1436" s="88" t="s">
        <v>4704</v>
      </c>
      <c r="G1436" s="88" t="s">
        <v>158</v>
      </c>
      <c r="H1436" s="98" t="s">
        <v>220</v>
      </c>
      <c r="I1436" s="98" t="s">
        <v>649</v>
      </c>
      <c r="J1436" s="75">
        <f t="shared" si="130"/>
        <v>1</v>
      </c>
      <c r="K1436" s="76" t="s">
        <v>211</v>
      </c>
      <c r="L1436" s="99" t="s">
        <v>5211</v>
      </c>
      <c r="N1436" s="78" t="s">
        <v>18</v>
      </c>
      <c r="Q1436" s="78" t="s">
        <v>2097</v>
      </c>
      <c r="R1436" s="75">
        <f t="shared" si="131"/>
        <v>1</v>
      </c>
      <c r="S1436" s="263" t="s">
        <v>1991</v>
      </c>
      <c r="T1436" s="263" t="s">
        <v>932</v>
      </c>
      <c r="U1436" s="263"/>
      <c r="V1436" s="263"/>
      <c r="W1436" s="263"/>
      <c r="X1436" s="263"/>
      <c r="Y1436" s="575"/>
      <c r="Z1436" s="575"/>
      <c r="AA1436" s="576">
        <f t="shared" si="129"/>
        <v>0</v>
      </c>
      <c r="AB1436" s="722"/>
    </row>
    <row r="1437" spans="1:28" ht="15" customHeight="1" x14ac:dyDescent="0.35">
      <c r="A1437" s="81" t="s">
        <v>4610</v>
      </c>
      <c r="C1437" s="118">
        <v>43871</v>
      </c>
      <c r="D1437" s="318">
        <v>43908</v>
      </c>
      <c r="E1437" s="570"/>
      <c r="F1437" s="88" t="s">
        <v>4705</v>
      </c>
      <c r="G1437" s="88" t="s">
        <v>160</v>
      </c>
      <c r="H1437" s="98" t="s">
        <v>220</v>
      </c>
      <c r="I1437" s="98" t="s">
        <v>649</v>
      </c>
      <c r="J1437" s="75">
        <f t="shared" si="130"/>
        <v>1</v>
      </c>
      <c r="K1437" s="76" t="s">
        <v>211</v>
      </c>
      <c r="N1437" s="78" t="s">
        <v>17</v>
      </c>
      <c r="Q1437" s="78" t="s">
        <v>2163</v>
      </c>
      <c r="R1437" s="75">
        <f t="shared" si="131"/>
        <v>1</v>
      </c>
      <c r="S1437" s="263" t="s">
        <v>1991</v>
      </c>
      <c r="T1437" s="263"/>
      <c r="U1437" s="263"/>
      <c r="V1437" s="263"/>
      <c r="W1437" s="263"/>
      <c r="X1437" s="263"/>
      <c r="Y1437" s="575"/>
      <c r="Z1437" s="575"/>
      <c r="AA1437" s="576">
        <f t="shared" si="129"/>
        <v>0</v>
      </c>
      <c r="AB1437" s="722"/>
    </row>
    <row r="1438" spans="1:28" ht="15" customHeight="1" x14ac:dyDescent="0.35">
      <c r="A1438" s="98" t="s">
        <v>4611</v>
      </c>
      <c r="C1438" s="118">
        <v>43871</v>
      </c>
      <c r="D1438" s="318">
        <v>43909</v>
      </c>
      <c r="E1438" s="570"/>
      <c r="F1438" s="88" t="s">
        <v>4706</v>
      </c>
      <c r="G1438" s="88" t="s">
        <v>152</v>
      </c>
      <c r="H1438" s="98" t="s">
        <v>220</v>
      </c>
      <c r="I1438" s="98" t="s">
        <v>649</v>
      </c>
      <c r="J1438" s="75">
        <f t="shared" si="130"/>
        <v>1</v>
      </c>
      <c r="K1438" s="76" t="s">
        <v>211</v>
      </c>
      <c r="N1438" s="78" t="s">
        <v>17</v>
      </c>
      <c r="Q1438" s="78" t="s">
        <v>2130</v>
      </c>
      <c r="R1438" s="75">
        <f t="shared" si="131"/>
        <v>1</v>
      </c>
      <c r="S1438" s="263" t="s">
        <v>1991</v>
      </c>
      <c r="T1438" s="263" t="s">
        <v>934</v>
      </c>
      <c r="U1438" s="263"/>
      <c r="V1438" s="263"/>
      <c r="W1438" s="263"/>
      <c r="X1438" s="263"/>
      <c r="Y1438" s="575"/>
      <c r="Z1438" s="575"/>
      <c r="AA1438" s="576">
        <f t="shared" si="129"/>
        <v>0</v>
      </c>
      <c r="AB1438" s="722"/>
    </row>
    <row r="1439" spans="1:28" ht="15" customHeight="1" x14ac:dyDescent="0.35">
      <c r="A1439" s="81" t="s">
        <v>4613</v>
      </c>
      <c r="C1439" s="118">
        <v>43871</v>
      </c>
      <c r="D1439" s="318">
        <v>43909</v>
      </c>
      <c r="E1439" s="570"/>
      <c r="F1439" s="88" t="s">
        <v>4708</v>
      </c>
      <c r="G1439" s="88" t="s">
        <v>417</v>
      </c>
      <c r="H1439" s="98" t="s">
        <v>220</v>
      </c>
      <c r="I1439" s="98" t="s">
        <v>722</v>
      </c>
      <c r="J1439" s="75">
        <f t="shared" si="130"/>
        <v>1</v>
      </c>
      <c r="K1439" s="76" t="s">
        <v>211</v>
      </c>
      <c r="N1439" s="78" t="s">
        <v>18</v>
      </c>
      <c r="Q1439" s="78" t="s">
        <v>2163</v>
      </c>
      <c r="R1439" s="75">
        <f t="shared" si="131"/>
        <v>1</v>
      </c>
      <c r="S1439" s="263" t="s">
        <v>1991</v>
      </c>
      <c r="T1439" s="263" t="s">
        <v>932</v>
      </c>
      <c r="U1439" s="263" t="s">
        <v>5210</v>
      </c>
      <c r="V1439" s="263"/>
      <c r="W1439" s="263"/>
      <c r="X1439" s="263"/>
      <c r="Y1439" s="575"/>
      <c r="Z1439" s="575"/>
      <c r="AA1439" s="576">
        <f t="shared" si="129"/>
        <v>0</v>
      </c>
      <c r="AB1439" s="722"/>
    </row>
    <row r="1440" spans="1:28" ht="15" customHeight="1" x14ac:dyDescent="0.35">
      <c r="A1440" s="98" t="s">
        <v>4614</v>
      </c>
      <c r="C1440" s="118">
        <v>43871</v>
      </c>
      <c r="D1440" s="318">
        <v>43909</v>
      </c>
      <c r="E1440" s="570"/>
      <c r="F1440" s="88" t="s">
        <v>4709</v>
      </c>
      <c r="G1440" s="88" t="s">
        <v>154</v>
      </c>
      <c r="H1440" s="98" t="s">
        <v>220</v>
      </c>
      <c r="I1440" s="98" t="s">
        <v>648</v>
      </c>
      <c r="J1440" s="75">
        <f t="shared" si="130"/>
        <v>1</v>
      </c>
      <c r="K1440" s="76" t="s">
        <v>211</v>
      </c>
      <c r="N1440" s="78" t="s">
        <v>17</v>
      </c>
      <c r="Q1440" s="78" t="s">
        <v>2056</v>
      </c>
      <c r="R1440" s="75">
        <f t="shared" si="131"/>
        <v>1</v>
      </c>
      <c r="S1440" s="263" t="s">
        <v>1991</v>
      </c>
      <c r="T1440" s="263" t="s">
        <v>933</v>
      </c>
      <c r="U1440" s="263"/>
      <c r="V1440" s="263"/>
      <c r="W1440" s="263"/>
      <c r="X1440" s="263"/>
      <c r="Y1440" s="575"/>
      <c r="Z1440" s="575"/>
      <c r="AA1440" s="576">
        <f t="shared" si="129"/>
        <v>0</v>
      </c>
      <c r="AB1440" s="722"/>
    </row>
    <row r="1441" spans="1:28" ht="15" customHeight="1" x14ac:dyDescent="0.35">
      <c r="A1441" s="81" t="s">
        <v>4615</v>
      </c>
      <c r="C1441" s="118">
        <v>43871</v>
      </c>
      <c r="D1441" s="318">
        <v>43909</v>
      </c>
      <c r="E1441" s="570"/>
      <c r="F1441" s="88" t="s">
        <v>4710</v>
      </c>
      <c r="G1441" s="88" t="s">
        <v>154</v>
      </c>
      <c r="H1441" s="81" t="s">
        <v>275</v>
      </c>
      <c r="I1441" s="98" t="s">
        <v>722</v>
      </c>
      <c r="J1441" s="75">
        <f t="shared" si="130"/>
        <v>1</v>
      </c>
      <c r="K1441" s="76" t="s">
        <v>211</v>
      </c>
      <c r="N1441" s="78" t="s">
        <v>17</v>
      </c>
      <c r="Q1441" s="78" t="s">
        <v>2163</v>
      </c>
      <c r="R1441" s="75">
        <f t="shared" si="131"/>
        <v>1</v>
      </c>
      <c r="S1441" s="263" t="s">
        <v>1991</v>
      </c>
      <c r="T1441" s="263" t="s">
        <v>934</v>
      </c>
      <c r="U1441" s="263"/>
      <c r="V1441" s="263"/>
      <c r="W1441" s="263"/>
      <c r="X1441" s="263"/>
      <c r="Y1441" s="575"/>
      <c r="Z1441" s="575"/>
      <c r="AA1441" s="576">
        <f t="shared" si="129"/>
        <v>0</v>
      </c>
      <c r="AB1441" s="722"/>
    </row>
    <row r="1442" spans="1:28" ht="15" customHeight="1" x14ac:dyDescent="0.35">
      <c r="A1442" s="98" t="s">
        <v>4617</v>
      </c>
      <c r="C1442" s="118">
        <v>43871</v>
      </c>
      <c r="D1442" s="318">
        <v>43909</v>
      </c>
      <c r="E1442" s="570"/>
      <c r="F1442" s="88" t="s">
        <v>4712</v>
      </c>
      <c r="G1442" s="88" t="s">
        <v>195</v>
      </c>
      <c r="H1442" s="98" t="s">
        <v>220</v>
      </c>
      <c r="I1442" s="98" t="s">
        <v>722</v>
      </c>
      <c r="J1442" s="75">
        <f t="shared" si="130"/>
        <v>1</v>
      </c>
      <c r="K1442" s="76" t="s">
        <v>211</v>
      </c>
      <c r="N1442" s="78" t="s">
        <v>18</v>
      </c>
      <c r="Q1442" s="78" t="s">
        <v>2097</v>
      </c>
      <c r="R1442" s="75">
        <f t="shared" si="131"/>
        <v>1</v>
      </c>
      <c r="S1442" s="263" t="s">
        <v>1991</v>
      </c>
      <c r="T1442" s="263" t="s">
        <v>933</v>
      </c>
      <c r="U1442" s="263"/>
      <c r="V1442" s="263"/>
      <c r="W1442" s="263"/>
      <c r="X1442" s="263"/>
      <c r="Y1442" s="575"/>
      <c r="Z1442" s="575"/>
      <c r="AA1442" s="576">
        <f t="shared" si="129"/>
        <v>0</v>
      </c>
      <c r="AB1442" s="722"/>
    </row>
    <row r="1443" spans="1:28" ht="15" customHeight="1" x14ac:dyDescent="0.35">
      <c r="A1443" s="98" t="s">
        <v>4978</v>
      </c>
      <c r="C1443" s="118">
        <v>43871</v>
      </c>
      <c r="D1443" s="318">
        <v>43909</v>
      </c>
      <c r="E1443" s="570"/>
      <c r="F1443" s="88" t="s">
        <v>5065</v>
      </c>
      <c r="G1443" s="88" t="s">
        <v>168</v>
      </c>
      <c r="H1443" s="98" t="s">
        <v>220</v>
      </c>
      <c r="I1443" s="98" t="s">
        <v>763</v>
      </c>
      <c r="J1443" s="75">
        <f t="shared" si="130"/>
        <v>1</v>
      </c>
      <c r="K1443" s="76" t="s">
        <v>211</v>
      </c>
      <c r="N1443" s="78" t="s">
        <v>18</v>
      </c>
      <c r="Q1443" s="78" t="s">
        <v>2130</v>
      </c>
      <c r="R1443" s="75">
        <f t="shared" si="131"/>
        <v>1</v>
      </c>
      <c r="S1443" s="263" t="s">
        <v>1991</v>
      </c>
      <c r="T1443" s="263" t="s">
        <v>932</v>
      </c>
      <c r="U1443" s="263"/>
      <c r="V1443" s="263"/>
      <c r="W1443" s="263"/>
      <c r="X1443" s="263"/>
      <c r="Y1443" s="575"/>
      <c r="Z1443" s="575"/>
      <c r="AA1443" s="576">
        <f t="shared" si="129"/>
        <v>0</v>
      </c>
      <c r="AB1443" s="722"/>
    </row>
    <row r="1444" spans="1:28" ht="15" customHeight="1" x14ac:dyDescent="0.35">
      <c r="A1444" s="98" t="s">
        <v>4621</v>
      </c>
      <c r="C1444" s="118">
        <v>43871</v>
      </c>
      <c r="D1444" s="318">
        <v>43909</v>
      </c>
      <c r="E1444" s="570"/>
      <c r="F1444" s="88" t="s">
        <v>4716</v>
      </c>
      <c r="G1444" s="88" t="s">
        <v>162</v>
      </c>
      <c r="H1444" s="98" t="s">
        <v>220</v>
      </c>
      <c r="J1444" s="75">
        <f t="shared" si="130"/>
        <v>1</v>
      </c>
      <c r="K1444" s="76" t="s">
        <v>211</v>
      </c>
      <c r="N1444" s="78" t="s">
        <v>18</v>
      </c>
      <c r="Q1444" s="78" t="s">
        <v>2130</v>
      </c>
      <c r="R1444" s="75">
        <f t="shared" si="131"/>
        <v>1</v>
      </c>
      <c r="S1444" s="263" t="s">
        <v>1991</v>
      </c>
      <c r="T1444" s="263" t="s">
        <v>932</v>
      </c>
      <c r="U1444" s="263"/>
      <c r="V1444" s="263"/>
      <c r="W1444" s="263"/>
      <c r="X1444" s="263"/>
      <c r="Y1444" s="575"/>
      <c r="Z1444" s="575"/>
      <c r="AA1444" s="576">
        <f t="shared" si="129"/>
        <v>0</v>
      </c>
      <c r="AB1444" s="722"/>
    </row>
    <row r="1445" spans="1:28" ht="15" customHeight="1" x14ac:dyDescent="0.35">
      <c r="A1445" s="81" t="s">
        <v>4623</v>
      </c>
      <c r="C1445" s="118">
        <v>43871</v>
      </c>
      <c r="D1445" s="318">
        <v>43908</v>
      </c>
      <c r="E1445" s="570"/>
      <c r="F1445" s="88" t="s">
        <v>4718</v>
      </c>
      <c r="G1445" s="88" t="s">
        <v>152</v>
      </c>
      <c r="H1445" s="98" t="s">
        <v>220</v>
      </c>
      <c r="I1445" s="98" t="s">
        <v>664</v>
      </c>
      <c r="J1445" s="75">
        <f t="shared" si="130"/>
        <v>1</v>
      </c>
      <c r="K1445" s="76" t="s">
        <v>211</v>
      </c>
      <c r="Q1445" s="78" t="s">
        <v>2097</v>
      </c>
      <c r="R1445" s="75">
        <f t="shared" si="131"/>
        <v>1</v>
      </c>
      <c r="S1445" s="263" t="s">
        <v>1991</v>
      </c>
      <c r="T1445" s="263"/>
      <c r="U1445" s="263" t="s">
        <v>5203</v>
      </c>
      <c r="V1445" s="263"/>
      <c r="W1445" s="263"/>
      <c r="X1445" s="263"/>
      <c r="Y1445" s="575"/>
      <c r="Z1445" s="575"/>
      <c r="AA1445" s="576">
        <f t="shared" si="129"/>
        <v>0</v>
      </c>
      <c r="AB1445" s="722"/>
    </row>
    <row r="1446" spans="1:28" ht="15" customHeight="1" x14ac:dyDescent="0.35">
      <c r="A1446" s="98" t="s">
        <v>4624</v>
      </c>
      <c r="C1446" s="118">
        <v>43871</v>
      </c>
      <c r="D1446" s="318">
        <v>43909</v>
      </c>
      <c r="E1446" s="570"/>
      <c r="F1446" s="88" t="s">
        <v>4719</v>
      </c>
      <c r="G1446" s="88" t="s">
        <v>179</v>
      </c>
      <c r="H1446" s="98" t="s">
        <v>220</v>
      </c>
      <c r="J1446" s="75">
        <f t="shared" si="130"/>
        <v>1</v>
      </c>
      <c r="K1446" s="76" t="s">
        <v>221</v>
      </c>
      <c r="Q1446" s="78" t="s">
        <v>2097</v>
      </c>
      <c r="R1446" s="75">
        <f t="shared" si="131"/>
        <v>1</v>
      </c>
      <c r="S1446" s="263" t="s">
        <v>1991</v>
      </c>
      <c r="T1446" s="263"/>
      <c r="U1446" s="263"/>
      <c r="V1446" s="263"/>
      <c r="W1446" s="263"/>
      <c r="X1446" s="263"/>
      <c r="Y1446" s="575"/>
      <c r="Z1446" s="575"/>
      <c r="AA1446" s="576">
        <f t="shared" si="129"/>
        <v>0</v>
      </c>
      <c r="AB1446" s="722"/>
    </row>
    <row r="1447" spans="1:28" ht="15" customHeight="1" x14ac:dyDescent="0.35">
      <c r="A1447" s="98" t="s">
        <v>4626</v>
      </c>
      <c r="C1447" s="118">
        <v>43872</v>
      </c>
      <c r="D1447" s="318">
        <v>43910</v>
      </c>
      <c r="E1447" s="570"/>
      <c r="F1447" s="88" t="s">
        <v>4721</v>
      </c>
      <c r="G1447" s="88" t="s">
        <v>152</v>
      </c>
      <c r="H1447" s="98" t="s">
        <v>220</v>
      </c>
      <c r="I1447" s="98" t="s">
        <v>664</v>
      </c>
      <c r="J1447" s="75">
        <f t="shared" si="130"/>
        <v>1</v>
      </c>
      <c r="K1447" s="76" t="s">
        <v>211</v>
      </c>
      <c r="N1447" s="78" t="s">
        <v>17</v>
      </c>
      <c r="Q1447" s="78" t="s">
        <v>2130</v>
      </c>
      <c r="R1447" s="75">
        <f t="shared" si="131"/>
        <v>1</v>
      </c>
      <c r="S1447" s="263" t="s">
        <v>1991</v>
      </c>
      <c r="T1447" s="263" t="s">
        <v>933</v>
      </c>
      <c r="U1447" s="263" t="s">
        <v>5216</v>
      </c>
      <c r="V1447" s="263"/>
      <c r="W1447" s="263"/>
      <c r="X1447" s="263"/>
      <c r="Y1447" s="575"/>
      <c r="Z1447" s="575"/>
      <c r="AA1447" s="576">
        <f t="shared" si="129"/>
        <v>0</v>
      </c>
      <c r="AB1447" s="722"/>
    </row>
    <row r="1448" spans="1:28" ht="15" customHeight="1" x14ac:dyDescent="0.35">
      <c r="A1448" s="98" t="s">
        <v>4627</v>
      </c>
      <c r="C1448" s="118">
        <v>43872</v>
      </c>
      <c r="D1448" s="318">
        <v>43910</v>
      </c>
      <c r="E1448" s="570"/>
      <c r="F1448" s="88" t="s">
        <v>4722</v>
      </c>
      <c r="G1448" s="88" t="s">
        <v>417</v>
      </c>
      <c r="H1448" s="98" t="s">
        <v>220</v>
      </c>
      <c r="I1448" s="98" t="s">
        <v>730</v>
      </c>
      <c r="J1448" s="75">
        <f t="shared" si="130"/>
        <v>1</v>
      </c>
      <c r="K1448" s="76" t="s">
        <v>211</v>
      </c>
      <c r="N1448" s="78" t="s">
        <v>18</v>
      </c>
      <c r="Q1448" s="78" t="s">
        <v>2130</v>
      </c>
      <c r="R1448" s="75">
        <f t="shared" si="131"/>
        <v>1</v>
      </c>
      <c r="S1448" s="263" t="s">
        <v>1991</v>
      </c>
      <c r="T1448" s="263" t="s">
        <v>933</v>
      </c>
      <c r="U1448" s="263"/>
      <c r="V1448" s="263"/>
      <c r="W1448" s="263"/>
      <c r="X1448" s="263"/>
      <c r="Y1448" s="575"/>
      <c r="Z1448" s="575"/>
      <c r="AA1448" s="576">
        <f t="shared" si="129"/>
        <v>0</v>
      </c>
      <c r="AB1448" s="722"/>
    </row>
    <row r="1449" spans="1:28" ht="15" customHeight="1" x14ac:dyDescent="0.35">
      <c r="A1449" s="81" t="s">
        <v>4631</v>
      </c>
      <c r="C1449" s="118">
        <v>43872</v>
      </c>
      <c r="D1449" s="318">
        <v>43910</v>
      </c>
      <c r="E1449" s="570"/>
      <c r="F1449" s="88" t="s">
        <v>4726</v>
      </c>
      <c r="G1449" s="88" t="s">
        <v>2766</v>
      </c>
      <c r="H1449" s="98" t="s">
        <v>220</v>
      </c>
      <c r="I1449" s="98" t="s">
        <v>648</v>
      </c>
      <c r="J1449" s="75">
        <f t="shared" si="130"/>
        <v>1</v>
      </c>
      <c r="K1449" s="76" t="s">
        <v>211</v>
      </c>
      <c r="N1449" s="78" t="s">
        <v>18</v>
      </c>
      <c r="Q1449" s="78" t="s">
        <v>2056</v>
      </c>
      <c r="R1449" s="75">
        <f t="shared" si="131"/>
        <v>1</v>
      </c>
      <c r="S1449" s="263" t="s">
        <v>1991</v>
      </c>
      <c r="T1449" s="263" t="s">
        <v>933</v>
      </c>
      <c r="U1449" s="263"/>
      <c r="V1449" s="263"/>
      <c r="W1449" s="263"/>
      <c r="X1449" s="263"/>
      <c r="Y1449" s="575"/>
      <c r="Z1449" s="575"/>
      <c r="AA1449" s="576">
        <f t="shared" si="129"/>
        <v>0</v>
      </c>
      <c r="AB1449" s="722"/>
    </row>
    <row r="1450" spans="1:28" ht="15" customHeight="1" x14ac:dyDescent="0.35">
      <c r="A1450" s="81" t="s">
        <v>4632</v>
      </c>
      <c r="C1450" s="118">
        <v>43872</v>
      </c>
      <c r="D1450" s="318">
        <v>43909</v>
      </c>
      <c r="E1450" s="570"/>
      <c r="F1450" s="88" t="s">
        <v>4727</v>
      </c>
      <c r="G1450" s="88" t="s">
        <v>149</v>
      </c>
      <c r="H1450" s="98" t="s">
        <v>220</v>
      </c>
      <c r="I1450" s="98" t="s">
        <v>722</v>
      </c>
      <c r="J1450" s="75">
        <f t="shared" si="130"/>
        <v>1</v>
      </c>
      <c r="K1450" s="76" t="s">
        <v>211</v>
      </c>
      <c r="L1450" s="99"/>
      <c r="N1450" s="78" t="s">
        <v>17</v>
      </c>
      <c r="Q1450" s="78" t="s">
        <v>2056</v>
      </c>
      <c r="R1450" s="75">
        <f t="shared" si="131"/>
        <v>1</v>
      </c>
      <c r="S1450" s="263" t="s">
        <v>1991</v>
      </c>
      <c r="T1450" s="263" t="s">
        <v>932</v>
      </c>
      <c r="U1450" s="263"/>
      <c r="V1450" s="263"/>
      <c r="W1450" s="263"/>
      <c r="X1450" s="263"/>
      <c r="Y1450" s="575"/>
      <c r="Z1450" s="575"/>
      <c r="AA1450" s="576">
        <f t="shared" si="129"/>
        <v>0</v>
      </c>
      <c r="AB1450" s="722"/>
    </row>
    <row r="1451" spans="1:28" ht="15" customHeight="1" x14ac:dyDescent="0.35">
      <c r="A1451" s="98" t="s">
        <v>4633</v>
      </c>
      <c r="C1451" s="118">
        <v>43872</v>
      </c>
      <c r="D1451" s="318">
        <v>43910</v>
      </c>
      <c r="E1451" s="570"/>
      <c r="F1451" s="88" t="s">
        <v>4728</v>
      </c>
      <c r="G1451" s="88" t="s">
        <v>156</v>
      </c>
      <c r="H1451" s="98" t="s">
        <v>220</v>
      </c>
      <c r="I1451" s="98" t="s">
        <v>722</v>
      </c>
      <c r="J1451" s="75">
        <f t="shared" si="130"/>
        <v>1</v>
      </c>
      <c r="K1451" s="76" t="s">
        <v>211</v>
      </c>
      <c r="L1451" s="99" t="s">
        <v>5223</v>
      </c>
      <c r="N1451" s="78" t="s">
        <v>17</v>
      </c>
      <c r="Q1451" s="78" t="s">
        <v>2163</v>
      </c>
      <c r="R1451" s="75">
        <f t="shared" si="131"/>
        <v>1</v>
      </c>
      <c r="S1451" s="263" t="s">
        <v>1991</v>
      </c>
      <c r="T1451" s="263" t="s">
        <v>932</v>
      </c>
      <c r="U1451" s="263"/>
      <c r="V1451" s="263"/>
      <c r="W1451" s="263"/>
      <c r="X1451" s="263"/>
      <c r="Y1451" s="575"/>
      <c r="Z1451" s="575"/>
      <c r="AA1451" s="576">
        <f t="shared" si="129"/>
        <v>0</v>
      </c>
      <c r="AB1451" s="722"/>
    </row>
    <row r="1452" spans="1:28" ht="15" customHeight="1" x14ac:dyDescent="0.35">
      <c r="A1452" s="98" t="s">
        <v>4979</v>
      </c>
      <c r="C1452" s="118">
        <v>43872</v>
      </c>
      <c r="D1452" s="318">
        <v>43910</v>
      </c>
      <c r="E1452" s="570"/>
      <c r="F1452" s="88" t="s">
        <v>5066</v>
      </c>
      <c r="G1452" s="88" t="s">
        <v>152</v>
      </c>
      <c r="H1452" s="98" t="s">
        <v>220</v>
      </c>
      <c r="I1452" s="98" t="s">
        <v>649</v>
      </c>
      <c r="J1452" s="75">
        <f t="shared" si="130"/>
        <v>1</v>
      </c>
      <c r="K1452" s="76" t="s">
        <v>211</v>
      </c>
      <c r="N1452" s="78" t="s">
        <v>18</v>
      </c>
      <c r="Q1452" s="78" t="s">
        <v>2056</v>
      </c>
      <c r="R1452" s="75">
        <f t="shared" si="131"/>
        <v>1</v>
      </c>
      <c r="S1452" s="263" t="s">
        <v>1991</v>
      </c>
      <c r="T1452" s="263" t="s">
        <v>933</v>
      </c>
      <c r="U1452" s="263"/>
      <c r="V1452" s="263"/>
      <c r="W1452" s="263"/>
      <c r="X1452" s="263"/>
      <c r="Y1452" s="575"/>
      <c r="Z1452" s="575"/>
      <c r="AA1452" s="576">
        <f t="shared" si="129"/>
        <v>0</v>
      </c>
      <c r="AB1452" s="722"/>
    </row>
    <row r="1453" spans="1:28" ht="15" customHeight="1" x14ac:dyDescent="0.35">
      <c r="A1453" s="98" t="s">
        <v>4980</v>
      </c>
      <c r="C1453" s="118">
        <v>43872</v>
      </c>
      <c r="D1453" s="318">
        <v>43910</v>
      </c>
      <c r="E1453" s="570"/>
      <c r="F1453" s="88" t="s">
        <v>5067</v>
      </c>
      <c r="G1453" s="88" t="s">
        <v>149</v>
      </c>
      <c r="H1453" s="98" t="s">
        <v>220</v>
      </c>
      <c r="I1453" s="98" t="s">
        <v>3557</v>
      </c>
      <c r="J1453" s="75">
        <f t="shared" si="130"/>
        <v>1</v>
      </c>
      <c r="K1453" s="76" t="s">
        <v>211</v>
      </c>
      <c r="N1453" s="78" t="s">
        <v>18</v>
      </c>
      <c r="Q1453" s="78" t="s">
        <v>2097</v>
      </c>
      <c r="R1453" s="75">
        <f t="shared" si="131"/>
        <v>1</v>
      </c>
      <c r="S1453" s="263" t="s">
        <v>1991</v>
      </c>
      <c r="T1453" s="263" t="s">
        <v>933</v>
      </c>
      <c r="U1453" s="263"/>
      <c r="V1453" s="263"/>
      <c r="W1453" s="263"/>
      <c r="X1453" s="263"/>
      <c r="Y1453" s="575"/>
      <c r="Z1453" s="575"/>
      <c r="AA1453" s="576">
        <f t="shared" si="129"/>
        <v>0</v>
      </c>
      <c r="AB1453" s="722"/>
    </row>
    <row r="1454" spans="1:28" ht="15" customHeight="1" x14ac:dyDescent="0.35">
      <c r="A1454" s="98" t="s">
        <v>4636</v>
      </c>
      <c r="C1454" s="118">
        <v>43872</v>
      </c>
      <c r="D1454" s="318">
        <v>43909</v>
      </c>
      <c r="E1454" s="570"/>
      <c r="F1454" s="88" t="s">
        <v>4731</v>
      </c>
      <c r="G1454" s="88" t="s">
        <v>162</v>
      </c>
      <c r="H1454" s="98" t="s">
        <v>220</v>
      </c>
      <c r="I1454" s="98" t="s">
        <v>648</v>
      </c>
      <c r="J1454" s="75">
        <f t="shared" si="130"/>
        <v>1</v>
      </c>
      <c r="K1454" s="76" t="s">
        <v>211</v>
      </c>
      <c r="N1454" s="78" t="s">
        <v>17</v>
      </c>
      <c r="Q1454" s="78" t="s">
        <v>2163</v>
      </c>
      <c r="R1454" s="75">
        <f t="shared" si="131"/>
        <v>1</v>
      </c>
      <c r="S1454" s="263" t="s">
        <v>1991</v>
      </c>
      <c r="T1454" s="263" t="s">
        <v>932</v>
      </c>
      <c r="U1454" s="263"/>
      <c r="V1454" s="263"/>
      <c r="W1454" s="263"/>
      <c r="X1454" s="263"/>
      <c r="Y1454" s="575"/>
      <c r="Z1454" s="575"/>
      <c r="AA1454" s="576">
        <f t="shared" si="129"/>
        <v>0</v>
      </c>
      <c r="AB1454" s="722"/>
    </row>
    <row r="1455" spans="1:28" ht="15" customHeight="1" x14ac:dyDescent="0.35">
      <c r="A1455" s="81" t="s">
        <v>4640</v>
      </c>
      <c r="C1455" s="118">
        <v>43872</v>
      </c>
      <c r="D1455" s="318">
        <v>43910</v>
      </c>
      <c r="E1455" s="570"/>
      <c r="F1455" s="88" t="s">
        <v>4735</v>
      </c>
      <c r="G1455" s="88" t="s">
        <v>1692</v>
      </c>
      <c r="H1455" s="98" t="s">
        <v>220</v>
      </c>
      <c r="I1455" s="98" t="s">
        <v>722</v>
      </c>
      <c r="J1455" s="75">
        <f t="shared" si="130"/>
        <v>1</v>
      </c>
      <c r="K1455" s="76" t="s">
        <v>211</v>
      </c>
      <c r="N1455" s="78" t="s">
        <v>18</v>
      </c>
      <c r="Q1455" s="78" t="s">
        <v>2163</v>
      </c>
      <c r="R1455" s="75">
        <f t="shared" si="131"/>
        <v>1</v>
      </c>
      <c r="S1455" s="263" t="s">
        <v>1991</v>
      </c>
      <c r="T1455" s="263" t="s">
        <v>933</v>
      </c>
      <c r="U1455" s="263"/>
      <c r="V1455" s="263"/>
      <c r="W1455" s="263"/>
      <c r="X1455" s="263"/>
      <c r="Y1455" s="575"/>
      <c r="Z1455" s="575"/>
      <c r="AA1455" s="576">
        <f t="shared" si="129"/>
        <v>0</v>
      </c>
      <c r="AB1455" s="722"/>
    </row>
    <row r="1456" spans="1:28" ht="15" customHeight="1" x14ac:dyDescent="0.35">
      <c r="A1456" s="81" t="s">
        <v>4645</v>
      </c>
      <c r="C1456" s="118">
        <v>43873</v>
      </c>
      <c r="D1456" s="318">
        <v>43910</v>
      </c>
      <c r="E1456" s="570"/>
      <c r="F1456" s="88" t="s">
        <v>4740</v>
      </c>
      <c r="G1456" s="88" t="s">
        <v>152</v>
      </c>
      <c r="H1456" s="98" t="s">
        <v>220</v>
      </c>
      <c r="I1456" s="98" t="s">
        <v>722</v>
      </c>
      <c r="J1456" s="75">
        <f t="shared" si="130"/>
        <v>1</v>
      </c>
      <c r="K1456" s="76" t="s">
        <v>211</v>
      </c>
      <c r="N1456" s="78" t="s">
        <v>18</v>
      </c>
      <c r="Q1456" s="78" t="s">
        <v>2056</v>
      </c>
      <c r="R1456" s="75">
        <f t="shared" si="131"/>
        <v>1</v>
      </c>
      <c r="S1456" s="263" t="s">
        <v>1991</v>
      </c>
      <c r="T1456" s="263" t="s">
        <v>933</v>
      </c>
      <c r="U1456" s="263"/>
      <c r="V1456" s="263"/>
      <c r="W1456" s="263"/>
      <c r="X1456" s="263"/>
      <c r="Y1456" s="575"/>
      <c r="Z1456" s="575"/>
      <c r="AA1456" s="576">
        <f t="shared" si="129"/>
        <v>0</v>
      </c>
      <c r="AB1456" s="722"/>
    </row>
    <row r="1457" spans="1:28" ht="15" customHeight="1" x14ac:dyDescent="0.35">
      <c r="A1457" s="81" t="s">
        <v>4981</v>
      </c>
      <c r="C1457" s="118">
        <v>43880</v>
      </c>
      <c r="D1457" s="118">
        <v>43906</v>
      </c>
      <c r="E1457" s="570"/>
      <c r="F1457" s="88" t="s">
        <v>5068</v>
      </c>
      <c r="G1457" s="88" t="s">
        <v>168</v>
      </c>
      <c r="H1457" s="98" t="s">
        <v>220</v>
      </c>
      <c r="J1457" s="75">
        <f t="shared" si="130"/>
        <v>1</v>
      </c>
      <c r="K1457" s="76" t="s">
        <v>221</v>
      </c>
      <c r="Q1457" s="78" t="s">
        <v>2056</v>
      </c>
      <c r="R1457" s="75">
        <f t="shared" si="131"/>
        <v>1</v>
      </c>
      <c r="S1457" s="263" t="s">
        <v>1991</v>
      </c>
      <c r="T1457" s="263"/>
      <c r="U1457" s="263"/>
      <c r="V1457" s="263"/>
      <c r="W1457" s="263"/>
      <c r="X1457" s="263"/>
      <c r="Y1457" s="575"/>
      <c r="Z1457" s="575"/>
      <c r="AA1457" s="576">
        <f t="shared" si="129"/>
        <v>0</v>
      </c>
      <c r="AB1457" s="722"/>
    </row>
    <row r="1458" spans="1:28" ht="15" customHeight="1" x14ac:dyDescent="0.35">
      <c r="A1458" s="81" t="s">
        <v>4983</v>
      </c>
      <c r="C1458" s="118">
        <v>43880</v>
      </c>
      <c r="D1458" s="318">
        <v>43906</v>
      </c>
      <c r="E1458" s="570"/>
      <c r="F1458" s="88" t="s">
        <v>5070</v>
      </c>
      <c r="G1458" s="88" t="s">
        <v>158</v>
      </c>
      <c r="H1458" s="98" t="s">
        <v>220</v>
      </c>
      <c r="I1458" s="98" t="s">
        <v>629</v>
      </c>
      <c r="J1458" s="75">
        <f t="shared" si="130"/>
        <v>1</v>
      </c>
      <c r="K1458" s="76" t="s">
        <v>211</v>
      </c>
      <c r="L1458" s="99" t="s">
        <v>5147</v>
      </c>
      <c r="N1458" s="78" t="s">
        <v>19</v>
      </c>
      <c r="Q1458" s="78" t="s">
        <v>2097</v>
      </c>
      <c r="R1458" s="75">
        <f t="shared" si="131"/>
        <v>1</v>
      </c>
      <c r="S1458" s="263" t="s">
        <v>1991</v>
      </c>
      <c r="T1458" s="263"/>
      <c r="U1458" s="263"/>
      <c r="V1458" s="263"/>
      <c r="W1458" s="263"/>
      <c r="X1458" s="263"/>
      <c r="Y1458" s="575"/>
      <c r="Z1458" s="575"/>
      <c r="AA1458" s="576">
        <f t="shared" si="129"/>
        <v>0</v>
      </c>
      <c r="AB1458" s="722"/>
    </row>
    <row r="1459" spans="1:28" ht="15" customHeight="1" x14ac:dyDescent="0.35">
      <c r="A1459" s="98" t="s">
        <v>4984</v>
      </c>
      <c r="C1459" s="118">
        <v>43880</v>
      </c>
      <c r="D1459" s="318">
        <v>43906</v>
      </c>
      <c r="E1459" s="570"/>
      <c r="F1459" s="88" t="s">
        <v>5071</v>
      </c>
      <c r="G1459" s="88" t="s">
        <v>152</v>
      </c>
      <c r="H1459" s="98" t="s">
        <v>220</v>
      </c>
      <c r="I1459" s="98" t="s">
        <v>3553</v>
      </c>
      <c r="J1459" s="75">
        <f t="shared" si="130"/>
        <v>1</v>
      </c>
      <c r="K1459" s="76" t="s">
        <v>211</v>
      </c>
      <c r="L1459" s="99" t="s">
        <v>2210</v>
      </c>
      <c r="N1459" s="78" t="s">
        <v>19</v>
      </c>
      <c r="Q1459" s="78" t="s">
        <v>2130</v>
      </c>
      <c r="R1459" s="75">
        <f t="shared" si="131"/>
        <v>1</v>
      </c>
      <c r="S1459" s="263" t="s">
        <v>1991</v>
      </c>
      <c r="T1459" s="263"/>
      <c r="U1459" s="263"/>
      <c r="V1459" s="263"/>
      <c r="W1459" s="263"/>
      <c r="X1459" s="263"/>
      <c r="Y1459" s="575"/>
      <c r="Z1459" s="575"/>
      <c r="AA1459" s="576">
        <f t="shared" si="129"/>
        <v>0</v>
      </c>
      <c r="AB1459" s="722"/>
    </row>
    <row r="1460" spans="1:28" ht="15" customHeight="1" x14ac:dyDescent="0.35">
      <c r="A1460" s="81" t="s">
        <v>4991</v>
      </c>
      <c r="C1460" s="118">
        <v>43880</v>
      </c>
      <c r="D1460" s="118">
        <v>43906</v>
      </c>
      <c r="E1460" s="570"/>
      <c r="F1460" s="88" t="s">
        <v>5078</v>
      </c>
      <c r="G1460" s="88" t="s">
        <v>168</v>
      </c>
      <c r="H1460" s="98" t="s">
        <v>220</v>
      </c>
      <c r="J1460" s="75">
        <f t="shared" si="130"/>
        <v>1</v>
      </c>
      <c r="K1460" s="76" t="s">
        <v>221</v>
      </c>
      <c r="Q1460" s="78" t="s">
        <v>2163</v>
      </c>
      <c r="R1460" s="75">
        <f t="shared" si="131"/>
        <v>1</v>
      </c>
      <c r="S1460" s="263" t="s">
        <v>1991</v>
      </c>
      <c r="T1460" s="263"/>
      <c r="U1460" s="263"/>
      <c r="V1460" s="263"/>
      <c r="W1460" s="263"/>
      <c r="X1460" s="263"/>
      <c r="Y1460" s="575"/>
      <c r="Z1460" s="575"/>
      <c r="AA1460" s="576">
        <f t="shared" si="129"/>
        <v>0</v>
      </c>
      <c r="AB1460" s="722"/>
    </row>
    <row r="1461" spans="1:28" ht="15" customHeight="1" x14ac:dyDescent="0.35">
      <c r="A1461" s="81" t="s">
        <v>4992</v>
      </c>
      <c r="C1461" s="118">
        <v>43880</v>
      </c>
      <c r="D1461" s="318">
        <v>43906</v>
      </c>
      <c r="E1461" s="570"/>
      <c r="F1461" s="88" t="s">
        <v>5079</v>
      </c>
      <c r="G1461" s="88" t="s">
        <v>154</v>
      </c>
      <c r="H1461" s="98" t="s">
        <v>220</v>
      </c>
      <c r="I1461" s="98" t="s">
        <v>3260</v>
      </c>
      <c r="J1461" s="75">
        <f t="shared" si="130"/>
        <v>1</v>
      </c>
      <c r="K1461" s="76" t="s">
        <v>211</v>
      </c>
      <c r="N1461" s="78" t="s">
        <v>19</v>
      </c>
      <c r="Q1461" s="78" t="s">
        <v>2056</v>
      </c>
      <c r="R1461" s="75">
        <f t="shared" si="131"/>
        <v>1</v>
      </c>
      <c r="S1461" s="263" t="s">
        <v>1991</v>
      </c>
      <c r="T1461" s="263"/>
      <c r="U1461" s="263"/>
      <c r="V1461" s="263"/>
      <c r="W1461" s="263"/>
      <c r="X1461" s="263"/>
      <c r="Y1461" s="575"/>
      <c r="Z1461" s="575"/>
      <c r="AA1461" s="576">
        <f t="shared" si="129"/>
        <v>0</v>
      </c>
      <c r="AB1461" s="722"/>
    </row>
    <row r="1462" spans="1:28" ht="15" customHeight="1" x14ac:dyDescent="0.35">
      <c r="A1462" s="98" t="s">
        <v>4993</v>
      </c>
      <c r="C1462" s="118">
        <v>43880</v>
      </c>
      <c r="D1462" s="318">
        <v>43906</v>
      </c>
      <c r="E1462" s="570"/>
      <c r="F1462" s="88" t="s">
        <v>5080</v>
      </c>
      <c r="G1462" s="88" t="s">
        <v>154</v>
      </c>
      <c r="H1462" s="98" t="s">
        <v>220</v>
      </c>
      <c r="I1462" s="98" t="s">
        <v>2516</v>
      </c>
      <c r="J1462" s="75">
        <f t="shared" ref="J1462:J1493" si="132">IF(OR(K1462="Документы готовы",K1462="Запрос в ФО",K1462="ЭЗ",K1462="РЕШ",K1462="РЕШ шаблон"),0.1,IF(OR(K1462="ЭЗ согласование",K1462="РЕШ согласование"),0.3,IF(OR(K1462="ЭЗ согласовано",K1462="РЕШ согласовано",K1462="РЕШ подписано"),0.6,IF(OR(K1462="ЭЗ ПР согласование",K1462="РЕШ УВ согласование"),0.9,IF(OR(K1462="ЭЗ ПР DONE",K1462="РЕШ УВ DONE"),1,0)))))</f>
        <v>1</v>
      </c>
      <c r="K1462" s="76" t="s">
        <v>211</v>
      </c>
      <c r="N1462" s="78" t="s">
        <v>17</v>
      </c>
      <c r="Q1462" s="78" t="s">
        <v>2130</v>
      </c>
      <c r="R1462" s="75">
        <f t="shared" ref="R1462:R1493" si="133">IF(S1462="В работе",0.3,IF(S1462="Отписано",0.6,IF(S1462="На доработку",0.9,IF(S1462="Согласовано",1,0))))</f>
        <v>1</v>
      </c>
      <c r="S1462" s="263" t="s">
        <v>1991</v>
      </c>
      <c r="T1462" s="263"/>
      <c r="U1462" s="263"/>
      <c r="V1462" s="263"/>
      <c r="W1462" s="263" t="s">
        <v>5174</v>
      </c>
      <c r="X1462" s="263"/>
      <c r="Y1462" s="575"/>
      <c r="Z1462" s="575"/>
      <c r="AA1462" s="576">
        <f t="shared" si="129"/>
        <v>0</v>
      </c>
      <c r="AB1462" s="722"/>
    </row>
    <row r="1463" spans="1:28" ht="15" customHeight="1" x14ac:dyDescent="0.35">
      <c r="A1463" s="81" t="s">
        <v>4996</v>
      </c>
      <c r="C1463" s="118">
        <v>43880</v>
      </c>
      <c r="D1463" s="318">
        <v>43906</v>
      </c>
      <c r="E1463" s="570"/>
      <c r="F1463" s="88" t="s">
        <v>5083</v>
      </c>
      <c r="G1463" s="88" t="s">
        <v>162</v>
      </c>
      <c r="H1463" s="98" t="s">
        <v>220</v>
      </c>
      <c r="I1463" s="98" t="s">
        <v>2516</v>
      </c>
      <c r="J1463" s="75">
        <f t="shared" si="132"/>
        <v>1</v>
      </c>
      <c r="K1463" s="76" t="s">
        <v>211</v>
      </c>
      <c r="N1463" s="78" t="s">
        <v>17</v>
      </c>
      <c r="Q1463" s="78" t="s">
        <v>2097</v>
      </c>
      <c r="R1463" s="75">
        <f t="shared" si="133"/>
        <v>1</v>
      </c>
      <c r="S1463" s="263" t="s">
        <v>1991</v>
      </c>
      <c r="T1463" s="263"/>
      <c r="U1463" s="263"/>
      <c r="V1463" s="263"/>
      <c r="W1463" s="263"/>
      <c r="X1463" s="263"/>
      <c r="Y1463" s="575"/>
      <c r="Z1463" s="575"/>
      <c r="AA1463" s="576">
        <f t="shared" si="129"/>
        <v>0</v>
      </c>
      <c r="AB1463" s="722"/>
    </row>
    <row r="1464" spans="1:28" ht="15" customHeight="1" x14ac:dyDescent="0.35">
      <c r="A1464" s="98" t="s">
        <v>4999</v>
      </c>
      <c r="C1464" s="118">
        <v>43881</v>
      </c>
      <c r="D1464" s="318">
        <v>43907</v>
      </c>
      <c r="E1464" s="570"/>
      <c r="F1464" s="88" t="s">
        <v>5086</v>
      </c>
      <c r="G1464" s="88" t="s">
        <v>158</v>
      </c>
      <c r="H1464" s="98" t="s">
        <v>220</v>
      </c>
      <c r="I1464" s="98" t="s">
        <v>656</v>
      </c>
      <c r="J1464" s="75">
        <f t="shared" si="132"/>
        <v>1</v>
      </c>
      <c r="K1464" s="76" t="s">
        <v>211</v>
      </c>
      <c r="L1464" s="99" t="s">
        <v>5167</v>
      </c>
      <c r="N1464" s="78" t="s">
        <v>18</v>
      </c>
      <c r="Q1464" s="78" t="s">
        <v>2056</v>
      </c>
      <c r="R1464" s="75">
        <f t="shared" si="133"/>
        <v>1</v>
      </c>
      <c r="S1464" s="263" t="s">
        <v>1991</v>
      </c>
      <c r="T1464" s="263"/>
      <c r="U1464" s="263"/>
      <c r="V1464" s="263"/>
      <c r="W1464" s="263"/>
      <c r="X1464" s="263"/>
      <c r="Y1464" s="575"/>
      <c r="Z1464" s="575"/>
      <c r="AA1464" s="576">
        <f t="shared" si="129"/>
        <v>0</v>
      </c>
      <c r="AB1464" s="722"/>
    </row>
    <row r="1465" spans="1:28" ht="15" customHeight="1" x14ac:dyDescent="0.35">
      <c r="A1465" s="81" t="s">
        <v>5000</v>
      </c>
      <c r="C1465" s="118">
        <v>43881</v>
      </c>
      <c r="D1465" s="118">
        <v>43907</v>
      </c>
      <c r="E1465" s="570"/>
      <c r="F1465" s="88" t="s">
        <v>5087</v>
      </c>
      <c r="G1465" s="88" t="s">
        <v>154</v>
      </c>
      <c r="H1465" s="98" t="s">
        <v>220</v>
      </c>
      <c r="J1465" s="75">
        <f t="shared" si="132"/>
        <v>1</v>
      </c>
      <c r="K1465" s="76" t="s">
        <v>221</v>
      </c>
      <c r="Q1465" s="78" t="s">
        <v>2097</v>
      </c>
      <c r="R1465" s="75">
        <f t="shared" si="133"/>
        <v>1</v>
      </c>
      <c r="S1465" s="263" t="s">
        <v>1991</v>
      </c>
      <c r="T1465" s="263"/>
      <c r="U1465" s="263"/>
      <c r="V1465" s="263"/>
      <c r="W1465" s="263"/>
      <c r="X1465" s="263"/>
      <c r="Y1465" s="575"/>
      <c r="Z1465" s="575"/>
      <c r="AA1465" s="576">
        <f t="shared" si="129"/>
        <v>0</v>
      </c>
      <c r="AB1465" s="722"/>
    </row>
    <row r="1466" spans="1:28" ht="15" customHeight="1" x14ac:dyDescent="0.35">
      <c r="A1466" s="81" t="s">
        <v>5001</v>
      </c>
      <c r="C1466" s="118">
        <v>43881</v>
      </c>
      <c r="D1466" s="118">
        <v>43907</v>
      </c>
      <c r="E1466" s="570"/>
      <c r="F1466" s="88" t="s">
        <v>5088</v>
      </c>
      <c r="G1466" s="88" t="s">
        <v>154</v>
      </c>
      <c r="H1466" s="98" t="s">
        <v>220</v>
      </c>
      <c r="J1466" s="75">
        <f t="shared" si="132"/>
        <v>1</v>
      </c>
      <c r="K1466" s="76" t="s">
        <v>221</v>
      </c>
      <c r="Q1466" s="78" t="s">
        <v>2163</v>
      </c>
      <c r="R1466" s="75">
        <f t="shared" si="133"/>
        <v>1</v>
      </c>
      <c r="S1466" s="263" t="s">
        <v>1991</v>
      </c>
      <c r="T1466" s="263"/>
      <c r="U1466" s="263"/>
      <c r="V1466" s="263"/>
      <c r="W1466" s="263"/>
      <c r="X1466" s="263"/>
      <c r="Y1466" s="575"/>
      <c r="Z1466" s="575"/>
      <c r="AA1466" s="576">
        <f t="shared" ref="AA1466:AA1528" si="134">Z1466-Y1466</f>
        <v>0</v>
      </c>
      <c r="AB1466" s="722"/>
    </row>
    <row r="1467" spans="1:28" ht="15" customHeight="1" x14ac:dyDescent="0.35">
      <c r="A1467" s="81" t="s">
        <v>5002</v>
      </c>
      <c r="C1467" s="118">
        <v>43881</v>
      </c>
      <c r="D1467" s="318">
        <v>43907</v>
      </c>
      <c r="E1467" s="570"/>
      <c r="F1467" s="88" t="s">
        <v>5089</v>
      </c>
      <c r="G1467" s="88" t="s">
        <v>176</v>
      </c>
      <c r="H1467" s="98" t="s">
        <v>220</v>
      </c>
      <c r="I1467" s="98" t="s">
        <v>1004</v>
      </c>
      <c r="J1467" s="75">
        <f t="shared" si="132"/>
        <v>1</v>
      </c>
      <c r="K1467" s="76" t="s">
        <v>211</v>
      </c>
      <c r="L1467" s="99" t="s">
        <v>1755</v>
      </c>
      <c r="N1467" s="78" t="s">
        <v>19</v>
      </c>
      <c r="Q1467" s="78" t="s">
        <v>2097</v>
      </c>
      <c r="R1467" s="75">
        <f t="shared" si="133"/>
        <v>1</v>
      </c>
      <c r="S1467" s="263" t="s">
        <v>1991</v>
      </c>
      <c r="T1467" s="263"/>
      <c r="U1467" s="263"/>
      <c r="V1467" s="263"/>
      <c r="W1467" s="263"/>
      <c r="X1467" s="263"/>
      <c r="Y1467" s="575"/>
      <c r="Z1467" s="575"/>
      <c r="AA1467" s="576">
        <f t="shared" si="134"/>
        <v>0</v>
      </c>
      <c r="AB1467" s="722"/>
    </row>
    <row r="1468" spans="1:28" ht="15" customHeight="1" x14ac:dyDescent="0.35">
      <c r="A1468" s="81" t="s">
        <v>5003</v>
      </c>
      <c r="C1468" s="118">
        <v>43881</v>
      </c>
      <c r="D1468" s="318">
        <v>43907</v>
      </c>
      <c r="E1468" s="570"/>
      <c r="F1468" s="88" t="s">
        <v>5090</v>
      </c>
      <c r="G1468" s="88" t="s">
        <v>195</v>
      </c>
      <c r="H1468" s="98" t="s">
        <v>220</v>
      </c>
      <c r="J1468" s="75">
        <f t="shared" si="132"/>
        <v>1</v>
      </c>
      <c r="K1468" s="76" t="s">
        <v>211</v>
      </c>
      <c r="Q1468" s="78" t="s">
        <v>2097</v>
      </c>
      <c r="R1468" s="75">
        <f t="shared" si="133"/>
        <v>1</v>
      </c>
      <c r="S1468" s="263" t="s">
        <v>1991</v>
      </c>
      <c r="T1468" s="263"/>
      <c r="U1468" s="263"/>
      <c r="V1468" s="263"/>
      <c r="W1468" s="263"/>
      <c r="X1468" s="263"/>
      <c r="Y1468" s="575"/>
      <c r="Z1468" s="575"/>
      <c r="AA1468" s="576">
        <f t="shared" si="134"/>
        <v>0</v>
      </c>
      <c r="AB1468" s="722"/>
    </row>
    <row r="1469" spans="1:28" ht="15" customHeight="1" x14ac:dyDescent="0.35">
      <c r="A1469" s="81" t="s">
        <v>5004</v>
      </c>
      <c r="C1469" s="118">
        <v>43881</v>
      </c>
      <c r="D1469" s="318">
        <v>43907</v>
      </c>
      <c r="E1469" s="570"/>
      <c r="F1469" s="88" t="s">
        <v>5091</v>
      </c>
      <c r="G1469" s="88" t="s">
        <v>152</v>
      </c>
      <c r="H1469" s="98" t="s">
        <v>220</v>
      </c>
      <c r="I1469" s="98" t="s">
        <v>656</v>
      </c>
      <c r="J1469" s="75">
        <f t="shared" si="132"/>
        <v>1</v>
      </c>
      <c r="K1469" s="76" t="s">
        <v>211</v>
      </c>
      <c r="N1469" s="78" t="s">
        <v>18</v>
      </c>
      <c r="Q1469" s="78" t="s">
        <v>2056</v>
      </c>
      <c r="R1469" s="75">
        <f t="shared" si="133"/>
        <v>1</v>
      </c>
      <c r="S1469" s="263" t="s">
        <v>1991</v>
      </c>
      <c r="T1469" s="263"/>
      <c r="U1469" s="263"/>
      <c r="V1469" s="263"/>
      <c r="W1469" s="263"/>
      <c r="X1469" s="263"/>
      <c r="Y1469" s="575"/>
      <c r="Z1469" s="575"/>
      <c r="AA1469" s="576">
        <f t="shared" si="134"/>
        <v>0</v>
      </c>
      <c r="AB1469" s="722"/>
    </row>
    <row r="1470" spans="1:28" ht="15" customHeight="1" x14ac:dyDescent="0.35">
      <c r="A1470" s="81" t="s">
        <v>5006</v>
      </c>
      <c r="C1470" s="118">
        <v>43881</v>
      </c>
      <c r="D1470" s="318">
        <v>43907</v>
      </c>
      <c r="E1470" s="570"/>
      <c r="F1470" s="88" t="s">
        <v>5093</v>
      </c>
      <c r="G1470" s="88" t="s">
        <v>158</v>
      </c>
      <c r="H1470" s="98" t="s">
        <v>220</v>
      </c>
      <c r="I1470" s="98" t="s">
        <v>656</v>
      </c>
      <c r="J1470" s="75">
        <f t="shared" si="132"/>
        <v>1</v>
      </c>
      <c r="K1470" s="76" t="s">
        <v>211</v>
      </c>
      <c r="N1470" s="78" t="s">
        <v>18</v>
      </c>
      <c r="Q1470" s="78" t="s">
        <v>2056</v>
      </c>
      <c r="R1470" s="75">
        <f t="shared" si="133"/>
        <v>1</v>
      </c>
      <c r="S1470" s="263" t="s">
        <v>1991</v>
      </c>
      <c r="T1470" s="263"/>
      <c r="U1470" s="263"/>
      <c r="V1470" s="263"/>
      <c r="W1470" s="263"/>
      <c r="X1470" s="263"/>
      <c r="Y1470" s="575"/>
      <c r="Z1470" s="575"/>
      <c r="AA1470" s="576">
        <f t="shared" si="134"/>
        <v>0</v>
      </c>
      <c r="AB1470" s="722"/>
    </row>
    <row r="1471" spans="1:28" ht="15" customHeight="1" x14ac:dyDescent="0.35">
      <c r="A1471" s="81" t="s">
        <v>5008</v>
      </c>
      <c r="C1471" s="118">
        <v>43881</v>
      </c>
      <c r="D1471" s="118">
        <v>43907</v>
      </c>
      <c r="E1471" s="570"/>
      <c r="F1471" s="88" t="s">
        <v>5095</v>
      </c>
      <c r="G1471" s="88" t="s">
        <v>158</v>
      </c>
      <c r="H1471" s="98" t="s">
        <v>220</v>
      </c>
      <c r="J1471" s="75">
        <f t="shared" si="132"/>
        <v>1</v>
      </c>
      <c r="K1471" s="76" t="s">
        <v>221</v>
      </c>
      <c r="Q1471" s="78" t="s">
        <v>2130</v>
      </c>
      <c r="R1471" s="75">
        <f t="shared" si="133"/>
        <v>1</v>
      </c>
      <c r="S1471" s="263" t="s">
        <v>1991</v>
      </c>
      <c r="T1471" s="263"/>
      <c r="U1471" s="263"/>
      <c r="V1471" s="263"/>
      <c r="W1471" s="263"/>
      <c r="X1471" s="263"/>
      <c r="Y1471" s="575"/>
      <c r="Z1471" s="575"/>
      <c r="AA1471" s="576">
        <f t="shared" si="134"/>
        <v>0</v>
      </c>
      <c r="AB1471" s="722"/>
    </row>
    <row r="1472" spans="1:28" ht="15" customHeight="1" x14ac:dyDescent="0.35">
      <c r="A1472" s="98" t="s">
        <v>5011</v>
      </c>
      <c r="C1472" s="118">
        <v>43882</v>
      </c>
      <c r="D1472" s="318">
        <v>43908</v>
      </c>
      <c r="E1472" s="570"/>
      <c r="F1472" s="88" t="s">
        <v>5098</v>
      </c>
      <c r="G1472" s="88" t="s">
        <v>152</v>
      </c>
      <c r="H1472" s="98" t="s">
        <v>220</v>
      </c>
      <c r="I1472" s="98" t="s">
        <v>730</v>
      </c>
      <c r="J1472" s="75">
        <f t="shared" si="132"/>
        <v>1</v>
      </c>
      <c r="K1472" s="76" t="s">
        <v>211</v>
      </c>
      <c r="N1472" s="78" t="s">
        <v>18</v>
      </c>
      <c r="Q1472" s="78" t="s">
        <v>2163</v>
      </c>
      <c r="R1472" s="75">
        <f t="shared" si="133"/>
        <v>1</v>
      </c>
      <c r="S1472" s="263" t="s">
        <v>1991</v>
      </c>
      <c r="T1472" s="263"/>
      <c r="U1472" s="263"/>
      <c r="V1472" s="263"/>
      <c r="W1472" s="263"/>
      <c r="X1472" s="263"/>
      <c r="Y1472" s="575"/>
      <c r="Z1472" s="575"/>
      <c r="AA1472" s="576">
        <f t="shared" si="134"/>
        <v>0</v>
      </c>
      <c r="AB1472" s="722"/>
    </row>
    <row r="1473" spans="1:28" ht="15" customHeight="1" x14ac:dyDescent="0.35">
      <c r="A1473" s="98" t="s">
        <v>5014</v>
      </c>
      <c r="C1473" s="118">
        <v>43882</v>
      </c>
      <c r="D1473" s="318">
        <v>43908</v>
      </c>
      <c r="E1473" s="570"/>
      <c r="F1473" s="88" t="s">
        <v>5101</v>
      </c>
      <c r="G1473" s="88" t="s">
        <v>186</v>
      </c>
      <c r="H1473" s="98" t="s">
        <v>220</v>
      </c>
      <c r="I1473" s="98" t="s">
        <v>629</v>
      </c>
      <c r="J1473" s="75">
        <f t="shared" si="132"/>
        <v>1</v>
      </c>
      <c r="K1473" s="76" t="s">
        <v>211</v>
      </c>
      <c r="N1473" s="78" t="s">
        <v>19</v>
      </c>
      <c r="Q1473" s="78" t="s">
        <v>2130</v>
      </c>
      <c r="R1473" s="75">
        <f t="shared" si="133"/>
        <v>1</v>
      </c>
      <c r="S1473" s="263" t="s">
        <v>1991</v>
      </c>
      <c r="T1473" s="263"/>
      <c r="U1473" s="263" t="s">
        <v>5199</v>
      </c>
      <c r="V1473" s="263"/>
      <c r="W1473" s="263"/>
      <c r="X1473" s="263"/>
      <c r="Y1473" s="575"/>
      <c r="Z1473" s="575"/>
      <c r="AA1473" s="576">
        <f t="shared" si="134"/>
        <v>0</v>
      </c>
      <c r="AB1473" s="722"/>
    </row>
    <row r="1474" spans="1:28" ht="15" customHeight="1" x14ac:dyDescent="0.35">
      <c r="A1474" s="98" t="s">
        <v>5016</v>
      </c>
      <c r="C1474" s="118">
        <v>43882</v>
      </c>
      <c r="D1474" s="318">
        <v>43908</v>
      </c>
      <c r="E1474" s="570"/>
      <c r="F1474" s="88" t="s">
        <v>5103</v>
      </c>
      <c r="G1474" s="88" t="s">
        <v>154</v>
      </c>
      <c r="H1474" s="98" t="s">
        <v>220</v>
      </c>
      <c r="I1474" s="98" t="s">
        <v>1122</v>
      </c>
      <c r="J1474" s="75">
        <f t="shared" si="132"/>
        <v>1</v>
      </c>
      <c r="K1474" s="76" t="s">
        <v>211</v>
      </c>
      <c r="N1474" s="78" t="s">
        <v>18</v>
      </c>
      <c r="Q1474" s="78" t="s">
        <v>2056</v>
      </c>
      <c r="R1474" s="75">
        <f t="shared" si="133"/>
        <v>1</v>
      </c>
      <c r="S1474" s="263" t="s">
        <v>1991</v>
      </c>
      <c r="T1474" s="263"/>
      <c r="U1474" s="263"/>
      <c r="V1474" s="263"/>
      <c r="W1474" s="263"/>
      <c r="X1474" s="263"/>
      <c r="Y1474" s="575"/>
      <c r="Z1474" s="575"/>
      <c r="AA1474" s="576">
        <f t="shared" si="134"/>
        <v>0</v>
      </c>
      <c r="AB1474" s="722"/>
    </row>
    <row r="1475" spans="1:28" ht="15" customHeight="1" x14ac:dyDescent="0.35">
      <c r="A1475" s="81" t="s">
        <v>5019</v>
      </c>
      <c r="C1475" s="118">
        <v>43882</v>
      </c>
      <c r="D1475" s="318">
        <v>43908</v>
      </c>
      <c r="E1475" s="570"/>
      <c r="F1475" s="88" t="s">
        <v>5106</v>
      </c>
      <c r="G1475" s="88" t="s">
        <v>154</v>
      </c>
      <c r="H1475" s="98" t="s">
        <v>220</v>
      </c>
      <c r="I1475" s="98" t="s">
        <v>3260</v>
      </c>
      <c r="J1475" s="75">
        <f t="shared" si="132"/>
        <v>1</v>
      </c>
      <c r="K1475" s="76" t="s">
        <v>211</v>
      </c>
      <c r="L1475" s="99" t="s">
        <v>6075</v>
      </c>
      <c r="N1475" s="78" t="s">
        <v>19</v>
      </c>
      <c r="Q1475" s="78" t="s">
        <v>2056</v>
      </c>
      <c r="R1475" s="75">
        <f t="shared" si="133"/>
        <v>1</v>
      </c>
      <c r="S1475" s="263" t="s">
        <v>1991</v>
      </c>
      <c r="T1475" s="263"/>
      <c r="U1475" s="263" t="s">
        <v>5196</v>
      </c>
      <c r="V1475" s="263"/>
      <c r="W1475" s="263"/>
      <c r="X1475" s="263"/>
      <c r="Y1475" s="575"/>
      <c r="Z1475" s="575"/>
      <c r="AA1475" s="576">
        <f t="shared" si="134"/>
        <v>0</v>
      </c>
      <c r="AB1475" s="722"/>
    </row>
    <row r="1476" spans="1:28" ht="15" customHeight="1" x14ac:dyDescent="0.35">
      <c r="A1476" s="81" t="s">
        <v>5020</v>
      </c>
      <c r="C1476" s="118">
        <v>43882</v>
      </c>
      <c r="D1476" s="318">
        <v>43908</v>
      </c>
      <c r="E1476" s="570"/>
      <c r="F1476" s="88" t="s">
        <v>5107</v>
      </c>
      <c r="G1476" s="88" t="s">
        <v>195</v>
      </c>
      <c r="H1476" s="98" t="s">
        <v>220</v>
      </c>
      <c r="I1476" s="98" t="s">
        <v>3893</v>
      </c>
      <c r="J1476" s="75">
        <f t="shared" si="132"/>
        <v>1</v>
      </c>
      <c r="K1476" s="76" t="s">
        <v>211</v>
      </c>
      <c r="N1476" s="78" t="s">
        <v>18</v>
      </c>
      <c r="Q1476" s="78" t="s">
        <v>2097</v>
      </c>
      <c r="R1476" s="75">
        <f t="shared" si="133"/>
        <v>1</v>
      </c>
      <c r="S1476" s="263" t="s">
        <v>1991</v>
      </c>
      <c r="T1476" s="263"/>
      <c r="U1476" s="263"/>
      <c r="V1476" s="263"/>
      <c r="W1476" s="263"/>
      <c r="X1476" s="263"/>
      <c r="Y1476" s="575"/>
      <c r="Z1476" s="575"/>
      <c r="AA1476" s="576">
        <f t="shared" si="134"/>
        <v>0</v>
      </c>
      <c r="AB1476" s="722"/>
    </row>
    <row r="1477" spans="1:28" ht="15" customHeight="1" x14ac:dyDescent="0.35">
      <c r="A1477" s="98" t="s">
        <v>5021</v>
      </c>
      <c r="C1477" s="118">
        <v>43882</v>
      </c>
      <c r="D1477" s="318">
        <v>43908</v>
      </c>
      <c r="E1477" s="570"/>
      <c r="F1477" s="88" t="s">
        <v>5108</v>
      </c>
      <c r="G1477" s="88" t="s">
        <v>154</v>
      </c>
      <c r="H1477" s="98" t="s">
        <v>220</v>
      </c>
      <c r="I1477" s="98" t="s">
        <v>2516</v>
      </c>
      <c r="J1477" s="75">
        <f t="shared" si="132"/>
        <v>1</v>
      </c>
      <c r="K1477" s="76" t="s">
        <v>211</v>
      </c>
      <c r="N1477" s="78" t="s">
        <v>18</v>
      </c>
      <c r="Q1477" s="78" t="s">
        <v>2130</v>
      </c>
      <c r="R1477" s="75">
        <f t="shared" si="133"/>
        <v>1</v>
      </c>
      <c r="S1477" s="263" t="s">
        <v>1991</v>
      </c>
      <c r="T1477" s="263"/>
      <c r="U1477" s="263" t="s">
        <v>5200</v>
      </c>
      <c r="V1477" s="263"/>
      <c r="W1477" s="263"/>
      <c r="X1477" s="263"/>
      <c r="Y1477" s="575"/>
      <c r="Z1477" s="575"/>
      <c r="AA1477" s="576">
        <f t="shared" si="134"/>
        <v>0</v>
      </c>
      <c r="AB1477" s="722"/>
    </row>
    <row r="1478" spans="1:28" ht="15" customHeight="1" x14ac:dyDescent="0.35">
      <c r="A1478" s="98" t="s">
        <v>5022</v>
      </c>
      <c r="C1478" s="118">
        <v>43886</v>
      </c>
      <c r="D1478" s="318">
        <v>43909</v>
      </c>
      <c r="E1478" s="570"/>
      <c r="F1478" s="88" t="s">
        <v>5109</v>
      </c>
      <c r="G1478" s="88" t="s">
        <v>154</v>
      </c>
      <c r="H1478" s="98" t="s">
        <v>220</v>
      </c>
      <c r="I1478" s="98" t="s">
        <v>1122</v>
      </c>
      <c r="J1478" s="75">
        <f t="shared" si="132"/>
        <v>1</v>
      </c>
      <c r="K1478" s="76" t="s">
        <v>211</v>
      </c>
      <c r="N1478" s="78" t="s">
        <v>18</v>
      </c>
      <c r="Q1478" s="78" t="s">
        <v>2097</v>
      </c>
      <c r="R1478" s="75">
        <f t="shared" si="133"/>
        <v>1</v>
      </c>
      <c r="S1478" s="263" t="s">
        <v>1991</v>
      </c>
      <c r="T1478" s="263" t="s">
        <v>934</v>
      </c>
      <c r="U1478" s="263"/>
      <c r="V1478" s="263"/>
      <c r="W1478" s="263"/>
      <c r="X1478" s="263"/>
      <c r="Y1478" s="575"/>
      <c r="Z1478" s="575"/>
      <c r="AA1478" s="576">
        <f t="shared" si="134"/>
        <v>0</v>
      </c>
      <c r="AB1478" s="722"/>
    </row>
    <row r="1479" spans="1:28" ht="15" customHeight="1" x14ac:dyDescent="0.35">
      <c r="A1479" s="98" t="s">
        <v>5025</v>
      </c>
      <c r="C1479" s="118">
        <v>43886</v>
      </c>
      <c r="D1479" s="318">
        <v>43909</v>
      </c>
      <c r="E1479" s="570"/>
      <c r="F1479" s="88" t="s">
        <v>5112</v>
      </c>
      <c r="G1479" s="88" t="s">
        <v>417</v>
      </c>
      <c r="H1479" s="98" t="s">
        <v>220</v>
      </c>
      <c r="I1479" s="98" t="s">
        <v>656</v>
      </c>
      <c r="J1479" s="75">
        <f t="shared" si="132"/>
        <v>1</v>
      </c>
      <c r="K1479" s="76" t="s">
        <v>211</v>
      </c>
      <c r="N1479" s="78" t="s">
        <v>17</v>
      </c>
      <c r="Q1479" s="78" t="s">
        <v>2056</v>
      </c>
      <c r="R1479" s="75">
        <f t="shared" si="133"/>
        <v>1</v>
      </c>
      <c r="S1479" s="263" t="s">
        <v>1991</v>
      </c>
      <c r="T1479" s="263" t="s">
        <v>934</v>
      </c>
      <c r="U1479" s="263"/>
      <c r="V1479" s="263"/>
      <c r="W1479" s="263"/>
      <c r="X1479" s="263"/>
      <c r="Y1479" s="575"/>
      <c r="Z1479" s="575"/>
      <c r="AA1479" s="576">
        <f t="shared" si="134"/>
        <v>0</v>
      </c>
      <c r="AB1479" s="722"/>
    </row>
    <row r="1480" spans="1:28" ht="15" customHeight="1" x14ac:dyDescent="0.35">
      <c r="A1480" s="81" t="s">
        <v>5027</v>
      </c>
      <c r="C1480" s="118">
        <v>43886</v>
      </c>
      <c r="D1480" s="318">
        <v>43909</v>
      </c>
      <c r="E1480" s="570"/>
      <c r="F1480" s="88" t="s">
        <v>5114</v>
      </c>
      <c r="G1480" s="88" t="s">
        <v>154</v>
      </c>
      <c r="H1480" s="98" t="s">
        <v>220</v>
      </c>
      <c r="I1480" s="98" t="s">
        <v>1293</v>
      </c>
      <c r="J1480" s="75">
        <f t="shared" si="132"/>
        <v>1</v>
      </c>
      <c r="K1480" s="76" t="s">
        <v>211</v>
      </c>
      <c r="N1480" s="78" t="s">
        <v>19</v>
      </c>
      <c r="Q1480" s="78" t="s">
        <v>2163</v>
      </c>
      <c r="R1480" s="75">
        <f t="shared" si="133"/>
        <v>1</v>
      </c>
      <c r="S1480" s="263" t="s">
        <v>1991</v>
      </c>
      <c r="T1480" s="263" t="s">
        <v>933</v>
      </c>
      <c r="U1480" s="263"/>
      <c r="V1480" s="263"/>
      <c r="W1480" s="263"/>
      <c r="X1480" s="263"/>
      <c r="Y1480" s="575"/>
      <c r="Z1480" s="575"/>
      <c r="AA1480" s="576">
        <f t="shared" si="134"/>
        <v>0</v>
      </c>
      <c r="AB1480" s="722"/>
    </row>
    <row r="1481" spans="1:28" ht="15" customHeight="1" x14ac:dyDescent="0.35">
      <c r="A1481" s="98" t="s">
        <v>5029</v>
      </c>
      <c r="C1481" s="118">
        <v>43886</v>
      </c>
      <c r="D1481" s="318">
        <v>43909</v>
      </c>
      <c r="E1481" s="570"/>
      <c r="F1481" s="88" t="s">
        <v>5116</v>
      </c>
      <c r="G1481" s="88" t="s">
        <v>156</v>
      </c>
      <c r="H1481" s="98" t="s">
        <v>220</v>
      </c>
      <c r="I1481" s="98" t="s">
        <v>5213</v>
      </c>
      <c r="J1481" s="75">
        <f t="shared" si="132"/>
        <v>1</v>
      </c>
      <c r="K1481" s="76" t="s">
        <v>211</v>
      </c>
      <c r="N1481" s="78" t="s">
        <v>17</v>
      </c>
      <c r="Q1481" s="78" t="s">
        <v>2097</v>
      </c>
      <c r="R1481" s="75">
        <f t="shared" si="133"/>
        <v>1</v>
      </c>
      <c r="S1481" s="263" t="s">
        <v>1991</v>
      </c>
      <c r="T1481" s="263" t="s">
        <v>934</v>
      </c>
      <c r="U1481" s="263"/>
      <c r="V1481" s="263"/>
      <c r="W1481" s="263"/>
      <c r="X1481" s="263"/>
      <c r="Y1481" s="575"/>
      <c r="Z1481" s="575"/>
      <c r="AA1481" s="576">
        <f t="shared" si="134"/>
        <v>0</v>
      </c>
      <c r="AB1481" s="722"/>
    </row>
    <row r="1482" spans="1:28" ht="15" customHeight="1" x14ac:dyDescent="0.35">
      <c r="A1482" s="98" t="s">
        <v>5034</v>
      </c>
      <c r="C1482" s="118">
        <v>43886</v>
      </c>
      <c r="D1482" s="318">
        <v>43908</v>
      </c>
      <c r="E1482" s="570"/>
      <c r="F1482" s="88" t="s">
        <v>5121</v>
      </c>
      <c r="G1482" s="88" t="s">
        <v>176</v>
      </c>
      <c r="H1482" s="98" t="s">
        <v>220</v>
      </c>
      <c r="I1482" s="98" t="s">
        <v>1122</v>
      </c>
      <c r="J1482" s="75">
        <f t="shared" si="132"/>
        <v>1</v>
      </c>
      <c r="K1482" s="76" t="s">
        <v>211</v>
      </c>
      <c r="N1482" s="78" t="s">
        <v>18</v>
      </c>
      <c r="Q1482" s="78" t="s">
        <v>2056</v>
      </c>
      <c r="R1482" s="75">
        <f t="shared" si="133"/>
        <v>1</v>
      </c>
      <c r="S1482" s="263" t="s">
        <v>1991</v>
      </c>
      <c r="T1482" s="263"/>
      <c r="U1482" s="263"/>
      <c r="V1482" s="263"/>
      <c r="W1482" s="263"/>
      <c r="X1482" s="263"/>
      <c r="Y1482" s="575"/>
      <c r="Z1482" s="575"/>
      <c r="AA1482" s="576">
        <f t="shared" si="134"/>
        <v>0</v>
      </c>
      <c r="AB1482" s="722"/>
    </row>
    <row r="1483" spans="1:28" ht="15" customHeight="1" x14ac:dyDescent="0.35">
      <c r="A1483" s="98" t="s">
        <v>5035</v>
      </c>
      <c r="C1483" s="118">
        <v>43886</v>
      </c>
      <c r="D1483" s="318">
        <v>43909</v>
      </c>
      <c r="E1483" s="570"/>
      <c r="F1483" s="88" t="s">
        <v>5122</v>
      </c>
      <c r="G1483" s="88" t="s">
        <v>176</v>
      </c>
      <c r="H1483" s="98" t="s">
        <v>220</v>
      </c>
      <c r="I1483" s="98" t="s">
        <v>1122</v>
      </c>
      <c r="J1483" s="75">
        <f t="shared" si="132"/>
        <v>1</v>
      </c>
      <c r="K1483" s="76" t="s">
        <v>211</v>
      </c>
      <c r="N1483" s="78" t="s">
        <v>18</v>
      </c>
      <c r="Q1483" s="78" t="s">
        <v>2163</v>
      </c>
      <c r="R1483" s="75">
        <f t="shared" si="133"/>
        <v>1</v>
      </c>
      <c r="S1483" s="263" t="s">
        <v>1991</v>
      </c>
      <c r="T1483" s="263" t="s">
        <v>934</v>
      </c>
      <c r="U1483" s="263"/>
      <c r="V1483" s="263"/>
      <c r="W1483" s="263"/>
      <c r="X1483" s="263"/>
      <c r="Y1483" s="575"/>
      <c r="Z1483" s="575"/>
      <c r="AA1483" s="576">
        <f t="shared" si="134"/>
        <v>0</v>
      </c>
      <c r="AB1483" s="722"/>
    </row>
    <row r="1484" spans="1:28" ht="15" customHeight="1" x14ac:dyDescent="0.35">
      <c r="A1484" s="98" t="s">
        <v>5036</v>
      </c>
      <c r="C1484" s="118">
        <v>43886</v>
      </c>
      <c r="D1484" s="318">
        <v>43909</v>
      </c>
      <c r="E1484" s="570"/>
      <c r="F1484" s="88" t="s">
        <v>5123</v>
      </c>
      <c r="G1484" s="88" t="s">
        <v>170</v>
      </c>
      <c r="H1484" s="98" t="s">
        <v>220</v>
      </c>
      <c r="I1484" s="98" t="s">
        <v>665</v>
      </c>
      <c r="J1484" s="75">
        <f t="shared" si="132"/>
        <v>1</v>
      </c>
      <c r="K1484" s="76" t="s">
        <v>211</v>
      </c>
      <c r="N1484" s="78" t="s">
        <v>18</v>
      </c>
      <c r="Q1484" s="78" t="s">
        <v>2163</v>
      </c>
      <c r="R1484" s="75">
        <f t="shared" si="133"/>
        <v>1</v>
      </c>
      <c r="S1484" s="263" t="s">
        <v>1991</v>
      </c>
      <c r="T1484" s="263" t="s">
        <v>933</v>
      </c>
      <c r="U1484" s="263"/>
      <c r="V1484" s="263"/>
      <c r="W1484" s="263"/>
      <c r="X1484" s="263"/>
      <c r="Y1484" s="575"/>
      <c r="Z1484" s="575"/>
      <c r="AA1484" s="576">
        <f t="shared" si="134"/>
        <v>0</v>
      </c>
      <c r="AB1484" s="722"/>
    </row>
    <row r="1485" spans="1:28" ht="15" customHeight="1" x14ac:dyDescent="0.35">
      <c r="A1485" s="98" t="s">
        <v>5037</v>
      </c>
      <c r="C1485" s="118">
        <v>43886</v>
      </c>
      <c r="D1485" s="318">
        <v>43909</v>
      </c>
      <c r="E1485" s="570"/>
      <c r="F1485" s="88" t="s">
        <v>5124</v>
      </c>
      <c r="G1485" s="88" t="s">
        <v>154</v>
      </c>
      <c r="H1485" s="98" t="s">
        <v>220</v>
      </c>
      <c r="I1485" s="98" t="s">
        <v>1122</v>
      </c>
      <c r="J1485" s="75">
        <f t="shared" si="132"/>
        <v>1</v>
      </c>
      <c r="K1485" s="76" t="s">
        <v>211</v>
      </c>
      <c r="N1485" s="78" t="s">
        <v>18</v>
      </c>
      <c r="Q1485" s="78" t="s">
        <v>2130</v>
      </c>
      <c r="R1485" s="75">
        <f t="shared" si="133"/>
        <v>1</v>
      </c>
      <c r="S1485" s="263" t="s">
        <v>1991</v>
      </c>
      <c r="T1485" s="263" t="s">
        <v>933</v>
      </c>
      <c r="U1485" s="263"/>
      <c r="V1485" s="263"/>
      <c r="W1485" s="263"/>
      <c r="X1485" s="263"/>
      <c r="Y1485" s="575"/>
      <c r="Z1485" s="575"/>
      <c r="AA1485" s="576">
        <f t="shared" si="134"/>
        <v>0</v>
      </c>
      <c r="AB1485" s="722"/>
    </row>
    <row r="1486" spans="1:28" ht="15" customHeight="1" x14ac:dyDescent="0.35">
      <c r="A1486" s="98" t="s">
        <v>5041</v>
      </c>
      <c r="C1486" s="118">
        <v>43886</v>
      </c>
      <c r="D1486" s="318">
        <v>43909</v>
      </c>
      <c r="E1486" s="570"/>
      <c r="F1486" s="88" t="s">
        <v>5128</v>
      </c>
      <c r="G1486" s="88" t="s">
        <v>154</v>
      </c>
      <c r="H1486" s="98" t="s">
        <v>220</v>
      </c>
      <c r="I1486" s="98" t="s">
        <v>656</v>
      </c>
      <c r="J1486" s="75">
        <f t="shared" si="132"/>
        <v>1</v>
      </c>
      <c r="K1486" s="76" t="s">
        <v>211</v>
      </c>
      <c r="N1486" s="78" t="s">
        <v>18</v>
      </c>
      <c r="Q1486" s="78" t="s">
        <v>2056</v>
      </c>
      <c r="R1486" s="75">
        <f t="shared" si="133"/>
        <v>1</v>
      </c>
      <c r="S1486" s="263" t="s">
        <v>1991</v>
      </c>
      <c r="T1486" s="263" t="s">
        <v>933</v>
      </c>
      <c r="U1486" s="263"/>
      <c r="V1486" s="263"/>
      <c r="W1486" s="263"/>
      <c r="X1486" s="263"/>
      <c r="Y1486" s="575"/>
      <c r="Z1486" s="575"/>
      <c r="AA1486" s="576">
        <f t="shared" si="134"/>
        <v>0</v>
      </c>
      <c r="AB1486" s="722"/>
    </row>
    <row r="1487" spans="1:28" ht="15" customHeight="1" x14ac:dyDescent="0.35">
      <c r="A1487" s="81" t="s">
        <v>5045</v>
      </c>
      <c r="C1487" s="118">
        <v>43887</v>
      </c>
      <c r="D1487" s="118">
        <v>43910</v>
      </c>
      <c r="E1487" s="570"/>
      <c r="F1487" s="88" t="s">
        <v>5132</v>
      </c>
      <c r="G1487" s="88" t="s">
        <v>160</v>
      </c>
      <c r="H1487" s="98" t="s">
        <v>220</v>
      </c>
      <c r="J1487" s="75">
        <f t="shared" si="132"/>
        <v>1</v>
      </c>
      <c r="K1487" s="76" t="s">
        <v>221</v>
      </c>
      <c r="Q1487" s="78" t="s">
        <v>2097</v>
      </c>
      <c r="R1487" s="75">
        <f t="shared" si="133"/>
        <v>1</v>
      </c>
      <c r="S1487" s="263" t="s">
        <v>1991</v>
      </c>
      <c r="T1487" s="263"/>
      <c r="U1487" s="263"/>
      <c r="V1487" s="263"/>
      <c r="W1487" s="263"/>
      <c r="X1487" s="263"/>
      <c r="Y1487" s="575"/>
      <c r="Z1487" s="575"/>
      <c r="AA1487" s="576">
        <f t="shared" si="134"/>
        <v>0</v>
      </c>
      <c r="AB1487" s="722"/>
    </row>
    <row r="1488" spans="1:28" ht="15" customHeight="1" x14ac:dyDescent="0.35">
      <c r="A1488" s="81" t="s">
        <v>5046</v>
      </c>
      <c r="C1488" s="118">
        <v>43887</v>
      </c>
      <c r="D1488" s="118">
        <v>43910</v>
      </c>
      <c r="E1488" s="570"/>
      <c r="F1488" s="88" t="s">
        <v>5133</v>
      </c>
      <c r="G1488" s="88" t="s">
        <v>156</v>
      </c>
      <c r="H1488" s="98" t="s">
        <v>220</v>
      </c>
      <c r="J1488" s="75">
        <f t="shared" si="132"/>
        <v>1</v>
      </c>
      <c r="K1488" s="76" t="s">
        <v>221</v>
      </c>
      <c r="Q1488" s="78" t="s">
        <v>2056</v>
      </c>
      <c r="R1488" s="75">
        <f t="shared" si="133"/>
        <v>1</v>
      </c>
      <c r="S1488" s="263" t="s">
        <v>1991</v>
      </c>
      <c r="T1488" s="263"/>
      <c r="U1488" s="263"/>
      <c r="V1488" s="263"/>
      <c r="W1488" s="263"/>
      <c r="X1488" s="263"/>
      <c r="Y1488" s="575"/>
      <c r="Z1488" s="575"/>
      <c r="AA1488" s="576">
        <f t="shared" si="134"/>
        <v>0</v>
      </c>
      <c r="AB1488" s="722"/>
    </row>
    <row r="1489" spans="1:28" ht="15" customHeight="1" x14ac:dyDescent="0.35">
      <c r="A1489" s="81" t="s">
        <v>5049</v>
      </c>
      <c r="C1489" s="118">
        <v>43887</v>
      </c>
      <c r="D1489" s="118">
        <v>43910</v>
      </c>
      <c r="E1489" s="570"/>
      <c r="F1489" s="88" t="s">
        <v>5136</v>
      </c>
      <c r="G1489" s="88" t="s">
        <v>3356</v>
      </c>
      <c r="H1489" s="98" t="s">
        <v>220</v>
      </c>
      <c r="J1489" s="75">
        <f t="shared" si="132"/>
        <v>1</v>
      </c>
      <c r="K1489" s="76" t="s">
        <v>221</v>
      </c>
      <c r="Q1489" s="78" t="s">
        <v>2130</v>
      </c>
      <c r="R1489" s="75">
        <f t="shared" si="133"/>
        <v>1</v>
      </c>
      <c r="S1489" s="263" t="s">
        <v>1991</v>
      </c>
      <c r="T1489" s="263"/>
      <c r="U1489" s="263"/>
      <c r="V1489" s="263"/>
      <c r="W1489" s="263"/>
      <c r="X1489" s="263"/>
      <c r="Y1489" s="575"/>
      <c r="Z1489" s="575"/>
      <c r="AA1489" s="576">
        <f t="shared" si="134"/>
        <v>0</v>
      </c>
      <c r="AB1489" s="722"/>
    </row>
    <row r="1490" spans="1:28" ht="15" customHeight="1" x14ac:dyDescent="0.35">
      <c r="A1490" s="81" t="s">
        <v>5051</v>
      </c>
      <c r="C1490" s="118">
        <v>43887</v>
      </c>
      <c r="D1490" s="118">
        <v>43910</v>
      </c>
      <c r="E1490" s="570"/>
      <c r="F1490" s="88" t="s">
        <v>5138</v>
      </c>
      <c r="G1490" s="88" t="s">
        <v>156</v>
      </c>
      <c r="H1490" s="98" t="s">
        <v>220</v>
      </c>
      <c r="J1490" s="75">
        <f t="shared" si="132"/>
        <v>1</v>
      </c>
      <c r="K1490" s="76" t="s">
        <v>221</v>
      </c>
      <c r="Q1490" s="78" t="s">
        <v>2097</v>
      </c>
      <c r="R1490" s="75">
        <f t="shared" si="133"/>
        <v>1</v>
      </c>
      <c r="S1490" s="263" t="s">
        <v>1991</v>
      </c>
      <c r="T1490" s="263"/>
      <c r="U1490" s="263"/>
      <c r="V1490" s="263"/>
      <c r="W1490" s="263"/>
      <c r="X1490" s="263"/>
      <c r="Y1490" s="575"/>
      <c r="Z1490" s="575"/>
      <c r="AA1490" s="576">
        <f t="shared" si="134"/>
        <v>0</v>
      </c>
      <c r="AB1490" s="722"/>
    </row>
    <row r="1491" spans="1:28" ht="15" customHeight="1" x14ac:dyDescent="0.35">
      <c r="A1491" s="98" t="s">
        <v>5052</v>
      </c>
      <c r="C1491" s="118">
        <v>43887</v>
      </c>
      <c r="D1491" s="318">
        <v>43910</v>
      </c>
      <c r="E1491" s="570"/>
      <c r="F1491" s="88" t="s">
        <v>5139</v>
      </c>
      <c r="G1491" s="88" t="s">
        <v>154</v>
      </c>
      <c r="H1491" s="98" t="s">
        <v>220</v>
      </c>
      <c r="I1491" s="98" t="s">
        <v>2516</v>
      </c>
      <c r="J1491" s="75">
        <f t="shared" si="132"/>
        <v>1</v>
      </c>
      <c r="K1491" s="76" t="s">
        <v>211</v>
      </c>
      <c r="N1491" s="78" t="s">
        <v>18</v>
      </c>
      <c r="Q1491" s="78" t="s">
        <v>2097</v>
      </c>
      <c r="R1491" s="75">
        <f t="shared" si="133"/>
        <v>1</v>
      </c>
      <c r="S1491" s="263" t="s">
        <v>1991</v>
      </c>
      <c r="T1491" s="263" t="s">
        <v>934</v>
      </c>
      <c r="U1491" s="263"/>
      <c r="V1491" s="263"/>
      <c r="W1491" s="263"/>
      <c r="X1491" s="263"/>
      <c r="Y1491" s="575"/>
      <c r="Z1491" s="575"/>
      <c r="AA1491" s="576">
        <f t="shared" si="134"/>
        <v>0</v>
      </c>
      <c r="AB1491" s="722"/>
    </row>
    <row r="1492" spans="1:28" ht="15" customHeight="1" x14ac:dyDescent="0.35">
      <c r="A1492" s="81" t="s">
        <v>5053</v>
      </c>
      <c r="C1492" s="118">
        <v>43887</v>
      </c>
      <c r="D1492" s="318">
        <v>43910</v>
      </c>
      <c r="E1492" s="570"/>
      <c r="F1492" s="88" t="s">
        <v>5140</v>
      </c>
      <c r="G1492" s="88" t="s">
        <v>156</v>
      </c>
      <c r="H1492" s="98" t="s">
        <v>220</v>
      </c>
      <c r="I1492" s="98" t="s">
        <v>5215</v>
      </c>
      <c r="J1492" s="75">
        <f t="shared" si="132"/>
        <v>1</v>
      </c>
      <c r="K1492" s="76" t="s">
        <v>211</v>
      </c>
      <c r="L1492" s="99" t="s">
        <v>5214</v>
      </c>
      <c r="N1492" s="78" t="s">
        <v>19</v>
      </c>
      <c r="Q1492" s="78" t="s">
        <v>2056</v>
      </c>
      <c r="R1492" s="75">
        <f t="shared" si="133"/>
        <v>1</v>
      </c>
      <c r="S1492" s="263" t="s">
        <v>1991</v>
      </c>
      <c r="T1492" s="263" t="s">
        <v>932</v>
      </c>
      <c r="U1492" s="263"/>
      <c r="V1492" s="263"/>
      <c r="W1492" s="263"/>
      <c r="X1492" s="263"/>
      <c r="Y1492" s="575"/>
      <c r="Z1492" s="575"/>
      <c r="AA1492" s="576">
        <f t="shared" si="134"/>
        <v>0</v>
      </c>
      <c r="AB1492" s="722"/>
    </row>
    <row r="1493" spans="1:28" ht="15" customHeight="1" x14ac:dyDescent="0.35">
      <c r="A1493" s="81" t="s">
        <v>5056</v>
      </c>
      <c r="C1493" s="118">
        <v>43887</v>
      </c>
      <c r="D1493" s="118">
        <v>43910</v>
      </c>
      <c r="E1493" s="570"/>
      <c r="F1493" s="88" t="s">
        <v>5143</v>
      </c>
      <c r="G1493" s="88" t="s">
        <v>160</v>
      </c>
      <c r="H1493" s="98" t="s">
        <v>220</v>
      </c>
      <c r="J1493" s="75">
        <f t="shared" si="132"/>
        <v>1</v>
      </c>
      <c r="K1493" s="76" t="s">
        <v>221</v>
      </c>
      <c r="Q1493" s="78" t="s">
        <v>2163</v>
      </c>
      <c r="R1493" s="75">
        <f t="shared" si="133"/>
        <v>1</v>
      </c>
      <c r="S1493" s="263" t="s">
        <v>1991</v>
      </c>
      <c r="T1493" s="263"/>
      <c r="U1493" s="263"/>
      <c r="V1493" s="263"/>
      <c r="W1493" s="263"/>
      <c r="X1493" s="263"/>
      <c r="Y1493" s="575"/>
      <c r="Z1493" s="575"/>
      <c r="AA1493" s="576">
        <f t="shared" si="134"/>
        <v>0</v>
      </c>
      <c r="AB1493" s="722"/>
    </row>
    <row r="1494" spans="1:28" ht="15" customHeight="1" x14ac:dyDescent="0.35">
      <c r="A1494" s="98" t="s">
        <v>5169</v>
      </c>
      <c r="C1494" s="83">
        <v>43881</v>
      </c>
      <c r="D1494" s="112">
        <v>43907</v>
      </c>
      <c r="E1494" s="570"/>
      <c r="F1494" s="99" t="s">
        <v>5170</v>
      </c>
      <c r="G1494" s="99" t="s">
        <v>154</v>
      </c>
      <c r="H1494" s="98" t="s">
        <v>220</v>
      </c>
      <c r="I1494" s="98" t="s">
        <v>5180</v>
      </c>
      <c r="J1494" s="75">
        <f t="shared" ref="J1494:J1551" si="135">IF(OR(K1494="Документы готовы",K1494="Запрос в ФО",K1494="ЭЗ",K1494="РЕШ",K1494="РЕШ шаблон"),0.1,IF(OR(K1494="ЭЗ согласование",K1494="РЕШ согласование"),0.3,IF(OR(K1494="ЭЗ согласовано",K1494="РЕШ согласовано",K1494="РЕШ подписано"),0.6,IF(OR(K1494="ЭЗ ПР согласование",K1494="РЕШ УВ согласование"),0.9,IF(OR(K1494="ЭЗ ПР DONE",K1494="РЕШ УВ DONE"),1,0)))))</f>
        <v>1</v>
      </c>
      <c r="K1494" s="76" t="s">
        <v>211</v>
      </c>
      <c r="N1494" s="78" t="s">
        <v>19</v>
      </c>
      <c r="Q1494" s="304" t="s">
        <v>2056</v>
      </c>
      <c r="R1494" s="75">
        <f t="shared" ref="R1494:R1551" si="136">IF(S1494="В работе",0.3,IF(S1494="Отписано",0.6,IF(S1494="На доработку",0.9,IF(S1494="Согласовано",1,0))))</f>
        <v>1</v>
      </c>
      <c r="S1494" s="263" t="s">
        <v>1991</v>
      </c>
      <c r="T1494" s="263"/>
      <c r="U1494" s="263"/>
      <c r="V1494" s="263"/>
      <c r="W1494" s="263"/>
      <c r="X1494" s="263"/>
      <c r="Y1494" s="575"/>
      <c r="Z1494" s="575"/>
      <c r="AA1494" s="576">
        <f t="shared" si="134"/>
        <v>0</v>
      </c>
      <c r="AB1494" s="722"/>
    </row>
    <row r="1495" spans="1:28" ht="15" customHeight="1" x14ac:dyDescent="0.35">
      <c r="A1495" s="98" t="s">
        <v>5171</v>
      </c>
      <c r="C1495" s="83">
        <v>43880</v>
      </c>
      <c r="D1495" s="112">
        <v>43906</v>
      </c>
      <c r="E1495" s="570"/>
      <c r="F1495" s="99" t="s">
        <v>5172</v>
      </c>
      <c r="G1495" s="99" t="s">
        <v>186</v>
      </c>
      <c r="H1495" s="98" t="s">
        <v>220</v>
      </c>
      <c r="I1495" s="98" t="s">
        <v>656</v>
      </c>
      <c r="J1495" s="75">
        <f t="shared" si="135"/>
        <v>1</v>
      </c>
      <c r="K1495" s="76" t="s">
        <v>211</v>
      </c>
      <c r="N1495" s="78" t="s">
        <v>17</v>
      </c>
      <c r="Q1495" s="304" t="s">
        <v>2163</v>
      </c>
      <c r="R1495" s="75">
        <f t="shared" si="136"/>
        <v>1</v>
      </c>
      <c r="S1495" s="263" t="s">
        <v>1991</v>
      </c>
      <c r="T1495" s="263"/>
      <c r="U1495" s="263"/>
      <c r="V1495" s="263"/>
      <c r="W1495" s="263"/>
      <c r="X1495" s="263"/>
      <c r="Y1495" s="575"/>
      <c r="Z1495" s="575"/>
      <c r="AA1495" s="576">
        <f t="shared" si="134"/>
        <v>0</v>
      </c>
      <c r="AB1495" s="722"/>
    </row>
    <row r="1496" spans="1:28" ht="15" customHeight="1" x14ac:dyDescent="0.35">
      <c r="A1496" s="98" t="s">
        <v>5175</v>
      </c>
      <c r="C1496" s="83">
        <v>43881</v>
      </c>
      <c r="D1496" s="112">
        <v>43907</v>
      </c>
      <c r="E1496" s="570"/>
      <c r="F1496" s="127" t="s">
        <v>5176</v>
      </c>
      <c r="G1496" s="99" t="s">
        <v>154</v>
      </c>
      <c r="H1496" s="98" t="s">
        <v>220</v>
      </c>
      <c r="I1496" s="98" t="s">
        <v>1294</v>
      </c>
      <c r="J1496" s="75">
        <f t="shared" si="135"/>
        <v>1</v>
      </c>
      <c r="K1496" s="76" t="s">
        <v>211</v>
      </c>
      <c r="L1496" s="99" t="s">
        <v>5181</v>
      </c>
      <c r="N1496" s="78" t="s">
        <v>19</v>
      </c>
      <c r="Q1496" s="304" t="s">
        <v>2130</v>
      </c>
      <c r="R1496" s="75">
        <f t="shared" si="136"/>
        <v>1</v>
      </c>
      <c r="S1496" s="263" t="s">
        <v>1991</v>
      </c>
      <c r="T1496" s="263"/>
      <c r="U1496" s="263"/>
      <c r="V1496" s="263"/>
      <c r="W1496" s="263"/>
      <c r="X1496" s="263"/>
      <c r="Y1496" s="575"/>
      <c r="Z1496" s="575"/>
      <c r="AA1496" s="576">
        <f t="shared" si="134"/>
        <v>0</v>
      </c>
      <c r="AB1496" s="722"/>
    </row>
    <row r="1497" spans="1:28" ht="15" customHeight="1" x14ac:dyDescent="0.35">
      <c r="A1497" s="98" t="s">
        <v>4220</v>
      </c>
      <c r="C1497" s="118">
        <v>43860</v>
      </c>
      <c r="D1497" s="318">
        <v>43914</v>
      </c>
      <c r="E1497" s="570"/>
      <c r="F1497" s="255" t="s">
        <v>4221</v>
      </c>
      <c r="G1497" s="88" t="s">
        <v>158</v>
      </c>
      <c r="H1497" s="98" t="s">
        <v>220</v>
      </c>
      <c r="I1497" s="98" t="s">
        <v>730</v>
      </c>
      <c r="J1497" s="75">
        <f t="shared" si="135"/>
        <v>1</v>
      </c>
      <c r="K1497" s="76" t="s">
        <v>211</v>
      </c>
      <c r="L1497" s="99" t="s">
        <v>5573</v>
      </c>
      <c r="N1497" s="78" t="s">
        <v>17</v>
      </c>
      <c r="Q1497" s="78" t="s">
        <v>2056</v>
      </c>
      <c r="R1497" s="75">
        <f t="shared" si="136"/>
        <v>1</v>
      </c>
      <c r="S1497" s="263" t="s">
        <v>1991</v>
      </c>
      <c r="T1497" s="263" t="s">
        <v>932</v>
      </c>
      <c r="U1497" s="263"/>
      <c r="V1497" s="263"/>
      <c r="W1497" s="263"/>
      <c r="X1497" s="263"/>
      <c r="Y1497" s="575"/>
      <c r="Z1497" s="575"/>
      <c r="AA1497" s="576">
        <f t="shared" si="134"/>
        <v>0</v>
      </c>
      <c r="AB1497" s="722"/>
    </row>
    <row r="1498" spans="1:28" ht="15" customHeight="1" x14ac:dyDescent="0.35">
      <c r="A1498" s="98" t="s">
        <v>5224</v>
      </c>
      <c r="C1498" s="118">
        <v>43860</v>
      </c>
      <c r="D1498" s="318">
        <v>43914</v>
      </c>
      <c r="E1498" s="570"/>
      <c r="F1498" s="88" t="s">
        <v>5363</v>
      </c>
      <c r="G1498" s="88" t="s">
        <v>154</v>
      </c>
      <c r="H1498" s="98" t="s">
        <v>220</v>
      </c>
      <c r="I1498" s="98" t="s">
        <v>730</v>
      </c>
      <c r="J1498" s="75">
        <f t="shared" si="135"/>
        <v>1</v>
      </c>
      <c r="K1498" s="76" t="s">
        <v>211</v>
      </c>
      <c r="L1498" s="99" t="s">
        <v>5574</v>
      </c>
      <c r="N1498" s="78" t="s">
        <v>17</v>
      </c>
      <c r="Q1498" s="78" t="s">
        <v>5501</v>
      </c>
      <c r="R1498" s="75">
        <f t="shared" si="136"/>
        <v>1</v>
      </c>
      <c r="S1498" s="263" t="s">
        <v>1991</v>
      </c>
      <c r="T1498" s="263" t="s">
        <v>933</v>
      </c>
      <c r="U1498" s="263"/>
      <c r="V1498" s="263"/>
      <c r="W1498" s="263"/>
      <c r="X1498" s="263"/>
      <c r="Y1498" s="575"/>
      <c r="Z1498" s="575"/>
      <c r="AA1498" s="576">
        <f t="shared" si="134"/>
        <v>0</v>
      </c>
      <c r="AB1498" s="722"/>
    </row>
    <row r="1499" spans="1:28" ht="15" customHeight="1" x14ac:dyDescent="0.35">
      <c r="A1499" s="98" t="s">
        <v>5225</v>
      </c>
      <c r="C1499" s="118">
        <v>43864</v>
      </c>
      <c r="D1499" s="318">
        <v>43915</v>
      </c>
      <c r="E1499" s="570"/>
      <c r="F1499" s="88" t="s">
        <v>5364</v>
      </c>
      <c r="G1499" s="88" t="s">
        <v>158</v>
      </c>
      <c r="H1499" s="98" t="s">
        <v>220</v>
      </c>
      <c r="I1499" s="98" t="s">
        <v>722</v>
      </c>
      <c r="J1499" s="75">
        <f t="shared" si="135"/>
        <v>1</v>
      </c>
      <c r="K1499" s="76" t="s">
        <v>211</v>
      </c>
      <c r="N1499" s="78" t="s">
        <v>18</v>
      </c>
      <c r="Q1499" s="78" t="s">
        <v>2130</v>
      </c>
      <c r="R1499" s="75">
        <f t="shared" si="136"/>
        <v>1</v>
      </c>
      <c r="S1499" s="263" t="s">
        <v>1991</v>
      </c>
      <c r="T1499" s="263" t="s">
        <v>933</v>
      </c>
      <c r="U1499" s="263"/>
      <c r="V1499" s="263"/>
      <c r="W1499" s="263"/>
      <c r="X1499" s="263"/>
      <c r="Y1499" s="575"/>
      <c r="Z1499" s="575"/>
      <c r="AA1499" s="576">
        <f t="shared" si="134"/>
        <v>0</v>
      </c>
      <c r="AB1499" s="722"/>
    </row>
    <row r="1500" spans="1:28" ht="15" customHeight="1" x14ac:dyDescent="0.35">
      <c r="A1500" s="98" t="s">
        <v>4388</v>
      </c>
      <c r="C1500" s="118">
        <v>43865</v>
      </c>
      <c r="D1500" s="318">
        <v>43917</v>
      </c>
      <c r="E1500" s="570"/>
      <c r="F1500" s="88" t="s">
        <v>4389</v>
      </c>
      <c r="G1500" s="88" t="s">
        <v>162</v>
      </c>
      <c r="H1500" s="81" t="s">
        <v>275</v>
      </c>
      <c r="I1500" s="98" t="s">
        <v>649</v>
      </c>
      <c r="J1500" s="75">
        <f t="shared" si="135"/>
        <v>1</v>
      </c>
      <c r="K1500" s="76" t="s">
        <v>211</v>
      </c>
      <c r="L1500" s="99" t="s">
        <v>5625</v>
      </c>
      <c r="N1500" s="78" t="s">
        <v>19</v>
      </c>
      <c r="Q1500" s="78" t="s">
        <v>2130</v>
      </c>
      <c r="R1500" s="75">
        <f t="shared" si="136"/>
        <v>1</v>
      </c>
      <c r="S1500" s="263" t="s">
        <v>1991</v>
      </c>
      <c r="T1500" s="263" t="s">
        <v>933</v>
      </c>
      <c r="U1500" s="263" t="s">
        <v>5592</v>
      </c>
      <c r="V1500" s="263" t="s">
        <v>5619</v>
      </c>
      <c r="W1500" s="263"/>
      <c r="X1500" s="263"/>
      <c r="Y1500" s="575"/>
      <c r="Z1500" s="575"/>
      <c r="AA1500" s="576">
        <f t="shared" si="134"/>
        <v>0</v>
      </c>
      <c r="AB1500" s="722"/>
    </row>
    <row r="1501" spans="1:28" ht="15" customHeight="1" x14ac:dyDescent="0.35">
      <c r="A1501" s="98" t="s">
        <v>4390</v>
      </c>
      <c r="C1501" s="118">
        <v>43865</v>
      </c>
      <c r="D1501" s="318">
        <v>43917</v>
      </c>
      <c r="E1501" s="570"/>
      <c r="F1501" s="88" t="s">
        <v>4391</v>
      </c>
      <c r="G1501" s="88" t="s">
        <v>158</v>
      </c>
      <c r="H1501" s="98" t="s">
        <v>220</v>
      </c>
      <c r="I1501" s="98" t="s">
        <v>722</v>
      </c>
      <c r="J1501" s="75">
        <f t="shared" si="135"/>
        <v>1</v>
      </c>
      <c r="K1501" s="76" t="s">
        <v>211</v>
      </c>
      <c r="N1501" s="78" t="s">
        <v>17</v>
      </c>
      <c r="Q1501" s="78" t="s">
        <v>2130</v>
      </c>
      <c r="R1501" s="75">
        <f t="shared" si="136"/>
        <v>1</v>
      </c>
      <c r="S1501" s="263" t="s">
        <v>1991</v>
      </c>
      <c r="T1501" s="263" t="s">
        <v>934</v>
      </c>
      <c r="U1501" s="263" t="s">
        <v>5592</v>
      </c>
      <c r="V1501" s="263" t="s">
        <v>5620</v>
      </c>
      <c r="W1501" s="263"/>
      <c r="X1501" s="263"/>
      <c r="Y1501" s="575"/>
      <c r="Z1501" s="575"/>
      <c r="AA1501" s="576">
        <f t="shared" si="134"/>
        <v>0</v>
      </c>
      <c r="AB1501" s="722"/>
    </row>
    <row r="1502" spans="1:28" ht="15" customHeight="1" x14ac:dyDescent="0.35">
      <c r="A1502" s="81" t="s">
        <v>5228</v>
      </c>
      <c r="C1502" s="118">
        <v>43872</v>
      </c>
      <c r="D1502" s="118">
        <v>43917</v>
      </c>
      <c r="E1502" s="570"/>
      <c r="F1502" s="88" t="s">
        <v>5366</v>
      </c>
      <c r="G1502" s="88" t="s">
        <v>154</v>
      </c>
      <c r="H1502" s="98" t="s">
        <v>220</v>
      </c>
      <c r="J1502" s="75">
        <f t="shared" si="135"/>
        <v>1</v>
      </c>
      <c r="K1502" s="76" t="s">
        <v>221</v>
      </c>
      <c r="Q1502" s="78" t="s">
        <v>2097</v>
      </c>
      <c r="R1502" s="75">
        <f t="shared" si="136"/>
        <v>1</v>
      </c>
      <c r="S1502" s="263" t="s">
        <v>1991</v>
      </c>
      <c r="T1502" s="263"/>
      <c r="U1502" s="263"/>
      <c r="V1502" s="263"/>
      <c r="W1502" s="263"/>
      <c r="X1502" s="263"/>
      <c r="Y1502" s="575"/>
      <c r="Z1502" s="575"/>
      <c r="AA1502" s="576">
        <f t="shared" si="134"/>
        <v>0</v>
      </c>
      <c r="AB1502" s="722"/>
    </row>
    <row r="1503" spans="1:28" ht="15" customHeight="1" x14ac:dyDescent="0.35">
      <c r="A1503" s="81" t="s">
        <v>5229</v>
      </c>
      <c r="C1503" s="118">
        <v>43873</v>
      </c>
      <c r="D1503" s="318">
        <v>43913</v>
      </c>
      <c r="E1503" s="570"/>
      <c r="F1503" s="88" t="s">
        <v>5367</v>
      </c>
      <c r="G1503" s="88" t="s">
        <v>176</v>
      </c>
      <c r="H1503" s="98" t="s">
        <v>220</v>
      </c>
      <c r="I1503" s="98" t="s">
        <v>730</v>
      </c>
      <c r="J1503" s="75">
        <f t="shared" si="135"/>
        <v>1</v>
      </c>
      <c r="K1503" s="76" t="s">
        <v>211</v>
      </c>
      <c r="N1503" s="78" t="s">
        <v>17</v>
      </c>
      <c r="Q1503" s="78" t="s">
        <v>5501</v>
      </c>
      <c r="R1503" s="75">
        <f t="shared" si="136"/>
        <v>1</v>
      </c>
      <c r="S1503" s="263" t="s">
        <v>1991</v>
      </c>
      <c r="T1503" s="263" t="s">
        <v>932</v>
      </c>
      <c r="U1503" s="263"/>
      <c r="V1503" s="263"/>
      <c r="W1503" s="263"/>
      <c r="X1503" s="263"/>
      <c r="Y1503" s="575"/>
      <c r="Z1503" s="575"/>
      <c r="AA1503" s="576">
        <f t="shared" si="134"/>
        <v>0</v>
      </c>
      <c r="AB1503" s="722"/>
    </row>
    <row r="1504" spans="1:28" ht="15" customHeight="1" x14ac:dyDescent="0.35">
      <c r="A1504" s="98" t="s">
        <v>4642</v>
      </c>
      <c r="C1504" s="118">
        <v>43873</v>
      </c>
      <c r="D1504" s="318">
        <v>43913</v>
      </c>
      <c r="E1504" s="570"/>
      <c r="F1504" s="88" t="s">
        <v>4737</v>
      </c>
      <c r="G1504" s="88" t="s">
        <v>154</v>
      </c>
      <c r="H1504" s="98" t="s">
        <v>220</v>
      </c>
      <c r="I1504" s="98" t="s">
        <v>763</v>
      </c>
      <c r="J1504" s="75">
        <f t="shared" si="135"/>
        <v>1</v>
      </c>
      <c r="K1504" s="76" t="s">
        <v>211</v>
      </c>
      <c r="L1504" s="99" t="s">
        <v>5552</v>
      </c>
      <c r="N1504" s="78" t="s">
        <v>17</v>
      </c>
      <c r="Q1504" s="78" t="s">
        <v>2163</v>
      </c>
      <c r="R1504" s="75">
        <f t="shared" si="136"/>
        <v>1</v>
      </c>
      <c r="S1504" s="263" t="s">
        <v>1991</v>
      </c>
      <c r="T1504" s="263" t="s">
        <v>932</v>
      </c>
      <c r="U1504" s="263" t="s">
        <v>5592</v>
      </c>
      <c r="V1504" s="263" t="s">
        <v>5611</v>
      </c>
      <c r="W1504" s="263"/>
      <c r="X1504" s="263"/>
      <c r="Y1504" s="575"/>
      <c r="Z1504" s="575"/>
      <c r="AA1504" s="576">
        <f t="shared" si="134"/>
        <v>0</v>
      </c>
      <c r="AB1504" s="722"/>
    </row>
    <row r="1505" spans="1:28" ht="15" customHeight="1" x14ac:dyDescent="0.35">
      <c r="A1505" s="98" t="s">
        <v>5230</v>
      </c>
      <c r="C1505" s="118">
        <v>43873</v>
      </c>
      <c r="D1505" s="318">
        <v>43913</v>
      </c>
      <c r="E1505" s="570"/>
      <c r="F1505" s="88" t="s">
        <v>5368</v>
      </c>
      <c r="G1505" s="88" t="s">
        <v>152</v>
      </c>
      <c r="H1505" s="98" t="s">
        <v>220</v>
      </c>
      <c r="I1505" s="98" t="s">
        <v>1004</v>
      </c>
      <c r="J1505" s="75">
        <f t="shared" si="135"/>
        <v>1</v>
      </c>
      <c r="K1505" s="76" t="s">
        <v>211</v>
      </c>
      <c r="N1505" s="78" t="s">
        <v>19</v>
      </c>
      <c r="Q1505" s="78" t="s">
        <v>2130</v>
      </c>
      <c r="R1505" s="75">
        <f t="shared" si="136"/>
        <v>1</v>
      </c>
      <c r="S1505" s="263" t="s">
        <v>1991</v>
      </c>
      <c r="T1505" s="263" t="s">
        <v>934</v>
      </c>
      <c r="U1505" s="263"/>
      <c r="V1505" s="263"/>
      <c r="W1505" s="263"/>
      <c r="X1505" s="263"/>
      <c r="Y1505" s="575"/>
      <c r="Z1505" s="575"/>
      <c r="AA1505" s="576">
        <f t="shared" si="134"/>
        <v>0</v>
      </c>
      <c r="AB1505" s="722"/>
    </row>
    <row r="1506" spans="1:28" ht="15" customHeight="1" x14ac:dyDescent="0.35">
      <c r="A1506" s="98" t="s">
        <v>4646</v>
      </c>
      <c r="C1506" s="118">
        <v>43873</v>
      </c>
      <c r="D1506" s="318">
        <v>43913</v>
      </c>
      <c r="E1506" s="570"/>
      <c r="F1506" s="88" t="s">
        <v>4741</v>
      </c>
      <c r="G1506" s="88" t="s">
        <v>162</v>
      </c>
      <c r="H1506" s="98" t="s">
        <v>220</v>
      </c>
      <c r="I1506" s="98" t="s">
        <v>649</v>
      </c>
      <c r="J1506" s="75">
        <f t="shared" si="135"/>
        <v>1</v>
      </c>
      <c r="K1506" s="76" t="s">
        <v>211</v>
      </c>
      <c r="N1506" s="78" t="s">
        <v>18</v>
      </c>
      <c r="Q1506" s="304" t="s">
        <v>2130</v>
      </c>
      <c r="R1506" s="75">
        <f t="shared" si="136"/>
        <v>1</v>
      </c>
      <c r="S1506" s="263" t="s">
        <v>1991</v>
      </c>
      <c r="T1506" s="263" t="s">
        <v>934</v>
      </c>
      <c r="U1506" s="263"/>
      <c r="V1506" s="263"/>
      <c r="W1506" s="263"/>
      <c r="X1506" s="263"/>
      <c r="Y1506" s="575"/>
      <c r="Z1506" s="575"/>
      <c r="AA1506" s="576">
        <f t="shared" si="134"/>
        <v>0</v>
      </c>
      <c r="AB1506" s="722"/>
    </row>
    <row r="1507" spans="1:28" ht="15" customHeight="1" x14ac:dyDescent="0.35">
      <c r="A1507" s="98" t="s">
        <v>4647</v>
      </c>
      <c r="C1507" s="118">
        <v>43873</v>
      </c>
      <c r="D1507" s="318">
        <v>43913</v>
      </c>
      <c r="E1507" s="570"/>
      <c r="F1507" s="88" t="s">
        <v>4742</v>
      </c>
      <c r="G1507" s="88" t="s">
        <v>158</v>
      </c>
      <c r="H1507" s="98" t="s">
        <v>220</v>
      </c>
      <c r="I1507" s="98" t="s">
        <v>649</v>
      </c>
      <c r="J1507" s="75">
        <f t="shared" si="135"/>
        <v>1</v>
      </c>
      <c r="K1507" s="76" t="s">
        <v>211</v>
      </c>
      <c r="N1507" s="78" t="s">
        <v>17</v>
      </c>
      <c r="Q1507" s="304" t="s">
        <v>2097</v>
      </c>
      <c r="R1507" s="75">
        <f t="shared" si="136"/>
        <v>1</v>
      </c>
      <c r="S1507" s="263" t="s">
        <v>1991</v>
      </c>
      <c r="T1507" s="263" t="s">
        <v>932</v>
      </c>
      <c r="U1507" s="263"/>
      <c r="V1507" s="263"/>
      <c r="W1507" s="263"/>
      <c r="X1507" s="263"/>
      <c r="Y1507" s="575"/>
      <c r="Z1507" s="575"/>
      <c r="AA1507" s="576">
        <f t="shared" si="134"/>
        <v>0</v>
      </c>
      <c r="AB1507" s="722"/>
    </row>
    <row r="1508" spans="1:28" ht="15" customHeight="1" x14ac:dyDescent="0.35">
      <c r="A1508" s="81" t="s">
        <v>5231</v>
      </c>
      <c r="C1508" s="118">
        <v>43873</v>
      </c>
      <c r="D1508" s="318">
        <v>43913</v>
      </c>
      <c r="E1508" s="570"/>
      <c r="F1508" s="88" t="s">
        <v>5369</v>
      </c>
      <c r="G1508" s="88" t="s">
        <v>176</v>
      </c>
      <c r="H1508" s="98" t="s">
        <v>220</v>
      </c>
      <c r="I1508" s="98" t="s">
        <v>722</v>
      </c>
      <c r="J1508" s="75">
        <f t="shared" si="135"/>
        <v>1</v>
      </c>
      <c r="K1508" s="76" t="s">
        <v>211</v>
      </c>
      <c r="N1508" s="78" t="s">
        <v>18</v>
      </c>
      <c r="Q1508" s="78" t="s">
        <v>5501</v>
      </c>
      <c r="R1508" s="75">
        <f t="shared" si="136"/>
        <v>1</v>
      </c>
      <c r="S1508" s="263" t="s">
        <v>1991</v>
      </c>
      <c r="T1508" s="263" t="s">
        <v>933</v>
      </c>
      <c r="U1508" s="263"/>
      <c r="V1508" s="263"/>
      <c r="W1508" s="263"/>
      <c r="X1508" s="263"/>
      <c r="Y1508" s="575"/>
      <c r="Z1508" s="575"/>
      <c r="AA1508" s="576">
        <f t="shared" si="134"/>
        <v>0</v>
      </c>
      <c r="AB1508" s="722"/>
    </row>
    <row r="1509" spans="1:28" ht="15" customHeight="1" x14ac:dyDescent="0.35">
      <c r="A1509" s="98" t="s">
        <v>4649</v>
      </c>
      <c r="C1509" s="118">
        <v>43873</v>
      </c>
      <c r="D1509" s="318">
        <v>43913</v>
      </c>
      <c r="E1509" s="570"/>
      <c r="F1509" s="88" t="s">
        <v>4744</v>
      </c>
      <c r="G1509" s="88" t="s">
        <v>152</v>
      </c>
      <c r="H1509" s="98" t="s">
        <v>220</v>
      </c>
      <c r="I1509" s="98" t="s">
        <v>730</v>
      </c>
      <c r="J1509" s="75">
        <f t="shared" si="135"/>
        <v>1</v>
      </c>
      <c r="K1509" s="76" t="s">
        <v>211</v>
      </c>
      <c r="N1509" s="78" t="s">
        <v>18</v>
      </c>
      <c r="Q1509" s="304" t="s">
        <v>2056</v>
      </c>
      <c r="R1509" s="75">
        <f t="shared" si="136"/>
        <v>1</v>
      </c>
      <c r="S1509" s="263" t="s">
        <v>1991</v>
      </c>
      <c r="T1509" s="263" t="s">
        <v>934</v>
      </c>
      <c r="U1509" s="263"/>
      <c r="V1509" s="263"/>
      <c r="W1509" s="263"/>
      <c r="X1509" s="263"/>
      <c r="Y1509" s="575"/>
      <c r="Z1509" s="575"/>
      <c r="AA1509" s="576">
        <f t="shared" si="134"/>
        <v>0</v>
      </c>
      <c r="AB1509" s="722"/>
    </row>
    <row r="1510" spans="1:28" ht="15" customHeight="1" x14ac:dyDescent="0.35">
      <c r="A1510" s="98" t="s">
        <v>5232</v>
      </c>
      <c r="C1510" s="118">
        <v>43873</v>
      </c>
      <c r="D1510" s="318">
        <v>43913</v>
      </c>
      <c r="E1510" s="570"/>
      <c r="F1510" s="88" t="s">
        <v>5370</v>
      </c>
      <c r="G1510" s="88" t="s">
        <v>162</v>
      </c>
      <c r="H1510" s="98" t="s">
        <v>220</v>
      </c>
      <c r="I1510" s="98" t="s">
        <v>722</v>
      </c>
      <c r="J1510" s="75">
        <f t="shared" si="135"/>
        <v>1</v>
      </c>
      <c r="K1510" s="76" t="s">
        <v>211</v>
      </c>
      <c r="N1510" s="78" t="s">
        <v>18</v>
      </c>
      <c r="Q1510" s="78" t="s">
        <v>2056</v>
      </c>
      <c r="R1510" s="75">
        <f t="shared" si="136"/>
        <v>1</v>
      </c>
      <c r="S1510" s="263" t="s">
        <v>1991</v>
      </c>
      <c r="T1510" s="263" t="s">
        <v>933</v>
      </c>
      <c r="U1510" s="263"/>
      <c r="V1510" s="263"/>
      <c r="W1510" s="263"/>
      <c r="X1510" s="263"/>
      <c r="Y1510" s="575"/>
      <c r="Z1510" s="575"/>
      <c r="AA1510" s="576">
        <f t="shared" si="134"/>
        <v>0</v>
      </c>
      <c r="AB1510" s="722"/>
    </row>
    <row r="1511" spans="1:28" ht="15" customHeight="1" x14ac:dyDescent="0.35">
      <c r="A1511" s="81" t="s">
        <v>5233</v>
      </c>
      <c r="C1511" s="118">
        <v>43873</v>
      </c>
      <c r="D1511" s="318">
        <v>43913</v>
      </c>
      <c r="E1511" s="570"/>
      <c r="F1511" s="88" t="s">
        <v>5371</v>
      </c>
      <c r="G1511" s="88" t="s">
        <v>154</v>
      </c>
      <c r="H1511" s="98" t="s">
        <v>220</v>
      </c>
      <c r="I1511" s="98" t="s">
        <v>763</v>
      </c>
      <c r="J1511" s="75">
        <f t="shared" si="135"/>
        <v>1</v>
      </c>
      <c r="K1511" s="76" t="s">
        <v>211</v>
      </c>
      <c r="N1511" s="78" t="s">
        <v>18</v>
      </c>
      <c r="Q1511" s="78" t="s">
        <v>5501</v>
      </c>
      <c r="R1511" s="75">
        <f t="shared" si="136"/>
        <v>1</v>
      </c>
      <c r="S1511" s="263" t="s">
        <v>1991</v>
      </c>
      <c r="T1511" s="263" t="s">
        <v>934</v>
      </c>
      <c r="U1511" s="263"/>
      <c r="V1511" s="263"/>
      <c r="W1511" s="263"/>
      <c r="X1511" s="263"/>
      <c r="Y1511" s="575"/>
      <c r="Z1511" s="575"/>
      <c r="AA1511" s="576">
        <f t="shared" si="134"/>
        <v>0</v>
      </c>
      <c r="AB1511" s="722"/>
    </row>
    <row r="1512" spans="1:28" ht="15" customHeight="1" x14ac:dyDescent="0.35">
      <c r="A1512" s="98" t="s">
        <v>4651</v>
      </c>
      <c r="C1512" s="118">
        <v>43874</v>
      </c>
      <c r="D1512" s="318">
        <v>43913</v>
      </c>
      <c r="E1512" s="570"/>
      <c r="F1512" s="88" t="s">
        <v>4746</v>
      </c>
      <c r="G1512" s="88" t="s">
        <v>162</v>
      </c>
      <c r="H1512" s="98" t="s">
        <v>220</v>
      </c>
      <c r="I1512" s="98" t="s">
        <v>648</v>
      </c>
      <c r="J1512" s="75">
        <f t="shared" si="135"/>
        <v>1</v>
      </c>
      <c r="K1512" s="76" t="s">
        <v>211</v>
      </c>
      <c r="N1512" s="78" t="s">
        <v>18</v>
      </c>
      <c r="Q1512" s="78" t="s">
        <v>2163</v>
      </c>
      <c r="R1512" s="75">
        <f t="shared" si="136"/>
        <v>1</v>
      </c>
      <c r="S1512" s="263" t="s">
        <v>1991</v>
      </c>
      <c r="T1512" s="263" t="s">
        <v>933</v>
      </c>
      <c r="U1512" s="263"/>
      <c r="V1512" s="263"/>
      <c r="W1512" s="263"/>
      <c r="X1512" s="263"/>
      <c r="Y1512" s="575"/>
      <c r="Z1512" s="575"/>
      <c r="AA1512" s="576">
        <f t="shared" si="134"/>
        <v>0</v>
      </c>
      <c r="AB1512" s="722"/>
    </row>
    <row r="1513" spans="1:28" ht="15" customHeight="1" x14ac:dyDescent="0.35">
      <c r="A1513" s="98" t="s">
        <v>4654</v>
      </c>
      <c r="C1513" s="118">
        <v>43874</v>
      </c>
      <c r="D1513" s="318">
        <v>43913</v>
      </c>
      <c r="E1513" s="570"/>
      <c r="F1513" s="88" t="s">
        <v>4749</v>
      </c>
      <c r="G1513" s="88" t="s">
        <v>154</v>
      </c>
      <c r="H1513" s="98" t="s">
        <v>220</v>
      </c>
      <c r="I1513" s="98" t="s">
        <v>649</v>
      </c>
      <c r="J1513" s="75">
        <f t="shared" si="135"/>
        <v>1</v>
      </c>
      <c r="K1513" s="76" t="s">
        <v>211</v>
      </c>
      <c r="N1513" s="78" t="s">
        <v>18</v>
      </c>
      <c r="Q1513" s="78" t="s">
        <v>2097</v>
      </c>
      <c r="R1513" s="75">
        <f t="shared" si="136"/>
        <v>1</v>
      </c>
      <c r="S1513" s="263" t="s">
        <v>1991</v>
      </c>
      <c r="T1513" s="263" t="s">
        <v>932</v>
      </c>
      <c r="U1513" s="263" t="s">
        <v>5592</v>
      </c>
      <c r="V1513" s="263" t="s">
        <v>5596</v>
      </c>
      <c r="W1513" s="263"/>
      <c r="X1513" s="263"/>
      <c r="Y1513" s="575"/>
      <c r="Z1513" s="575"/>
      <c r="AA1513" s="576">
        <f t="shared" si="134"/>
        <v>0</v>
      </c>
      <c r="AB1513" s="722"/>
    </row>
    <row r="1514" spans="1:28" ht="15" customHeight="1" x14ac:dyDescent="0.35">
      <c r="A1514" s="98" t="s">
        <v>5234</v>
      </c>
      <c r="C1514" s="118">
        <v>43874</v>
      </c>
      <c r="D1514" s="318">
        <v>43914</v>
      </c>
      <c r="E1514" s="570"/>
      <c r="F1514" s="88" t="s">
        <v>5372</v>
      </c>
      <c r="G1514" s="88" t="s">
        <v>158</v>
      </c>
      <c r="H1514" s="98" t="s">
        <v>220</v>
      </c>
      <c r="I1514" s="98" t="s">
        <v>649</v>
      </c>
      <c r="J1514" s="75">
        <f t="shared" si="135"/>
        <v>1</v>
      </c>
      <c r="K1514" s="76" t="s">
        <v>211</v>
      </c>
      <c r="N1514" s="78" t="s">
        <v>17</v>
      </c>
      <c r="Q1514" s="78" t="s">
        <v>2163</v>
      </c>
      <c r="R1514" s="75">
        <f t="shared" si="136"/>
        <v>1</v>
      </c>
      <c r="S1514" s="263" t="s">
        <v>1991</v>
      </c>
      <c r="T1514" s="263" t="s">
        <v>932</v>
      </c>
      <c r="U1514" s="263"/>
      <c r="V1514" s="263"/>
      <c r="W1514" s="263"/>
      <c r="X1514" s="263"/>
      <c r="Y1514" s="575"/>
      <c r="Z1514" s="575"/>
      <c r="AA1514" s="576">
        <f t="shared" si="134"/>
        <v>0</v>
      </c>
      <c r="AB1514" s="722"/>
    </row>
    <row r="1515" spans="1:28" ht="15" customHeight="1" x14ac:dyDescent="0.35">
      <c r="A1515" s="98" t="s">
        <v>4657</v>
      </c>
      <c r="C1515" s="118">
        <v>43874</v>
      </c>
      <c r="D1515" s="318">
        <v>43913</v>
      </c>
      <c r="E1515" s="570"/>
      <c r="F1515" s="88" t="s">
        <v>4752</v>
      </c>
      <c r="G1515" s="88" t="s">
        <v>172</v>
      </c>
      <c r="H1515" s="98" t="s">
        <v>220</v>
      </c>
      <c r="I1515" s="98" t="s">
        <v>1004</v>
      </c>
      <c r="J1515" s="75">
        <f t="shared" si="135"/>
        <v>1</v>
      </c>
      <c r="K1515" s="76" t="s">
        <v>211</v>
      </c>
      <c r="N1515" s="78" t="s">
        <v>19</v>
      </c>
      <c r="Q1515" s="304" t="s">
        <v>2163</v>
      </c>
      <c r="R1515" s="75">
        <f t="shared" si="136"/>
        <v>1</v>
      </c>
      <c r="S1515" s="263" t="s">
        <v>1991</v>
      </c>
      <c r="T1515" s="263" t="s">
        <v>934</v>
      </c>
      <c r="U1515" s="263"/>
      <c r="V1515" s="263"/>
      <c r="W1515" s="263"/>
      <c r="X1515" s="263"/>
      <c r="Y1515" s="575"/>
      <c r="Z1515" s="575"/>
      <c r="AA1515" s="576">
        <f t="shared" si="134"/>
        <v>0</v>
      </c>
      <c r="AB1515" s="722"/>
    </row>
    <row r="1516" spans="1:28" ht="15" customHeight="1" x14ac:dyDescent="0.35">
      <c r="A1516" s="98" t="s">
        <v>4658</v>
      </c>
      <c r="C1516" s="118">
        <v>43874</v>
      </c>
      <c r="D1516" s="318">
        <v>43913</v>
      </c>
      <c r="E1516" s="570"/>
      <c r="F1516" s="88" t="s">
        <v>4753</v>
      </c>
      <c r="G1516" s="88" t="s">
        <v>170</v>
      </c>
      <c r="H1516" s="98" t="s">
        <v>220</v>
      </c>
      <c r="I1516" s="98" t="s">
        <v>665</v>
      </c>
      <c r="J1516" s="75">
        <f t="shared" si="135"/>
        <v>1</v>
      </c>
      <c r="K1516" s="76" t="s">
        <v>211</v>
      </c>
      <c r="N1516" s="78" t="s">
        <v>18</v>
      </c>
      <c r="Q1516" s="78" t="s">
        <v>2097</v>
      </c>
      <c r="R1516" s="75">
        <f t="shared" si="136"/>
        <v>1</v>
      </c>
      <c r="S1516" s="263" t="s">
        <v>1991</v>
      </c>
      <c r="T1516" s="263" t="s">
        <v>933</v>
      </c>
      <c r="U1516" s="263" t="s">
        <v>5592</v>
      </c>
      <c r="V1516" s="263" t="s">
        <v>5594</v>
      </c>
      <c r="W1516" s="263"/>
      <c r="X1516" s="263"/>
      <c r="Y1516" s="575"/>
      <c r="Z1516" s="575"/>
      <c r="AA1516" s="576">
        <f t="shared" si="134"/>
        <v>0</v>
      </c>
      <c r="AB1516" s="722"/>
    </row>
    <row r="1517" spans="1:28" ht="15" customHeight="1" x14ac:dyDescent="0.35">
      <c r="A1517" s="98" t="s">
        <v>4794</v>
      </c>
      <c r="C1517" s="118">
        <v>43874</v>
      </c>
      <c r="D1517" s="318">
        <v>43914</v>
      </c>
      <c r="E1517" s="570"/>
      <c r="F1517" s="88" t="s">
        <v>4859</v>
      </c>
      <c r="G1517" s="88" t="s">
        <v>3356</v>
      </c>
      <c r="H1517" s="98" t="s">
        <v>220</v>
      </c>
      <c r="I1517" s="98" t="s">
        <v>722</v>
      </c>
      <c r="J1517" s="75">
        <f t="shared" si="135"/>
        <v>1</v>
      </c>
      <c r="K1517" s="76" t="s">
        <v>211</v>
      </c>
      <c r="N1517" s="78" t="s">
        <v>18</v>
      </c>
      <c r="Q1517" s="78" t="s">
        <v>2130</v>
      </c>
      <c r="R1517" s="75">
        <f t="shared" si="136"/>
        <v>1</v>
      </c>
      <c r="S1517" s="263" t="s">
        <v>1991</v>
      </c>
      <c r="T1517" s="263" t="s">
        <v>934</v>
      </c>
      <c r="U1517" s="263"/>
      <c r="V1517" s="263"/>
      <c r="W1517" s="263"/>
      <c r="X1517" s="263"/>
      <c r="Y1517" s="575"/>
      <c r="Z1517" s="575"/>
      <c r="AA1517" s="576">
        <f t="shared" si="134"/>
        <v>0</v>
      </c>
      <c r="AB1517" s="722"/>
    </row>
    <row r="1518" spans="1:28" ht="15" customHeight="1" x14ac:dyDescent="0.35">
      <c r="A1518" s="98" t="s">
        <v>4659</v>
      </c>
      <c r="C1518" s="118">
        <v>43874</v>
      </c>
      <c r="D1518" s="318">
        <v>43913</v>
      </c>
      <c r="E1518" s="570"/>
      <c r="F1518" s="88" t="s">
        <v>4754</v>
      </c>
      <c r="G1518" s="88" t="s">
        <v>149</v>
      </c>
      <c r="H1518" s="98" t="s">
        <v>220</v>
      </c>
      <c r="I1518" s="98" t="s">
        <v>722</v>
      </c>
      <c r="J1518" s="75">
        <f t="shared" si="135"/>
        <v>1</v>
      </c>
      <c r="K1518" s="76" t="s">
        <v>211</v>
      </c>
      <c r="N1518" s="78" t="s">
        <v>18</v>
      </c>
      <c r="Q1518" s="78" t="s">
        <v>2130</v>
      </c>
      <c r="R1518" s="75">
        <f t="shared" si="136"/>
        <v>1</v>
      </c>
      <c r="S1518" s="263" t="s">
        <v>1991</v>
      </c>
      <c r="T1518" s="263" t="s">
        <v>932</v>
      </c>
      <c r="U1518" s="263"/>
      <c r="V1518" s="263"/>
      <c r="W1518" s="263"/>
      <c r="X1518" s="263"/>
      <c r="Y1518" s="575"/>
      <c r="Z1518" s="575"/>
      <c r="AA1518" s="576">
        <f t="shared" si="134"/>
        <v>0</v>
      </c>
      <c r="AB1518" s="722"/>
    </row>
    <row r="1519" spans="1:28" ht="15" customHeight="1" x14ac:dyDescent="0.35">
      <c r="A1519" s="98" t="s">
        <v>5235</v>
      </c>
      <c r="C1519" s="118">
        <v>43874</v>
      </c>
      <c r="D1519" s="318">
        <v>43913</v>
      </c>
      <c r="E1519" s="570"/>
      <c r="F1519" s="88" t="s">
        <v>5373</v>
      </c>
      <c r="G1519" s="88" t="s">
        <v>168</v>
      </c>
      <c r="H1519" s="98" t="s">
        <v>220</v>
      </c>
      <c r="I1519" s="98" t="s">
        <v>652</v>
      </c>
      <c r="J1519" s="75">
        <f t="shared" si="135"/>
        <v>1</v>
      </c>
      <c r="K1519" s="76" t="s">
        <v>211</v>
      </c>
      <c r="N1519" s="78" t="s">
        <v>17</v>
      </c>
      <c r="Q1519" s="78" t="s">
        <v>2130</v>
      </c>
      <c r="R1519" s="75">
        <f t="shared" si="136"/>
        <v>1</v>
      </c>
      <c r="S1519" s="263" t="s">
        <v>1991</v>
      </c>
      <c r="T1519" s="263" t="s">
        <v>933</v>
      </c>
      <c r="U1519" s="263"/>
      <c r="V1519" s="263"/>
      <c r="W1519" s="263"/>
      <c r="X1519" s="263"/>
      <c r="Y1519" s="575"/>
      <c r="Z1519" s="575"/>
      <c r="AA1519" s="576">
        <f t="shared" si="134"/>
        <v>0</v>
      </c>
      <c r="AB1519" s="722"/>
    </row>
    <row r="1520" spans="1:28" ht="15" customHeight="1" x14ac:dyDescent="0.35">
      <c r="A1520" s="98" t="s">
        <v>5236</v>
      </c>
      <c r="C1520" s="118">
        <v>43874</v>
      </c>
      <c r="D1520" s="318">
        <v>43913</v>
      </c>
      <c r="E1520" s="570"/>
      <c r="F1520" s="88" t="s">
        <v>5374</v>
      </c>
      <c r="G1520" s="88" t="s">
        <v>3866</v>
      </c>
      <c r="H1520" s="98" t="s">
        <v>220</v>
      </c>
      <c r="I1520" s="98" t="s">
        <v>863</v>
      </c>
      <c r="J1520" s="75">
        <f t="shared" si="135"/>
        <v>1</v>
      </c>
      <c r="K1520" s="76" t="s">
        <v>211</v>
      </c>
      <c r="L1520" s="99" t="s">
        <v>5502</v>
      </c>
      <c r="N1520" s="78" t="s">
        <v>17</v>
      </c>
      <c r="Q1520" s="78" t="s">
        <v>2056</v>
      </c>
      <c r="R1520" s="75">
        <f t="shared" si="136"/>
        <v>1</v>
      </c>
      <c r="S1520" s="263" t="s">
        <v>1991</v>
      </c>
      <c r="T1520" s="263" t="s">
        <v>932</v>
      </c>
      <c r="U1520" s="263"/>
      <c r="V1520" s="263"/>
      <c r="W1520" s="263"/>
      <c r="X1520" s="263"/>
      <c r="Y1520" s="575"/>
      <c r="Z1520" s="575"/>
      <c r="AA1520" s="576">
        <f t="shared" si="134"/>
        <v>0</v>
      </c>
      <c r="AB1520" s="722"/>
    </row>
    <row r="1521" spans="1:28" ht="15" customHeight="1" x14ac:dyDescent="0.35">
      <c r="A1521" s="98" t="s">
        <v>4797</v>
      </c>
      <c r="C1521" s="118">
        <v>43874</v>
      </c>
      <c r="D1521" s="318">
        <v>43914</v>
      </c>
      <c r="E1521" s="570"/>
      <c r="F1521" s="88" t="s">
        <v>4862</v>
      </c>
      <c r="G1521" s="88" t="s">
        <v>152</v>
      </c>
      <c r="H1521" s="98" t="s">
        <v>220</v>
      </c>
      <c r="J1521" s="75">
        <f t="shared" si="135"/>
        <v>1</v>
      </c>
      <c r="K1521" s="76" t="s">
        <v>211</v>
      </c>
      <c r="Q1521" s="78" t="s">
        <v>2097</v>
      </c>
      <c r="R1521" s="75">
        <f t="shared" si="136"/>
        <v>1</v>
      </c>
      <c r="S1521" s="263" t="s">
        <v>1991</v>
      </c>
      <c r="T1521" s="263" t="s">
        <v>934</v>
      </c>
      <c r="U1521" s="263" t="s">
        <v>5592</v>
      </c>
      <c r="V1521" s="263" t="s">
        <v>5595</v>
      </c>
      <c r="W1521" s="263"/>
      <c r="X1521" s="263"/>
      <c r="Y1521" s="575"/>
      <c r="Z1521" s="575"/>
      <c r="AA1521" s="576">
        <f t="shared" si="134"/>
        <v>0</v>
      </c>
      <c r="AB1521" s="722"/>
    </row>
    <row r="1522" spans="1:28" ht="15" customHeight="1" x14ac:dyDescent="0.35">
      <c r="A1522" s="98" t="s">
        <v>4801</v>
      </c>
      <c r="C1522" s="118">
        <v>43875</v>
      </c>
      <c r="D1522" s="318">
        <v>43914</v>
      </c>
      <c r="E1522" s="570"/>
      <c r="F1522" s="88" t="s">
        <v>4866</v>
      </c>
      <c r="G1522" s="88" t="s">
        <v>149</v>
      </c>
      <c r="H1522" s="98" t="s">
        <v>220</v>
      </c>
      <c r="I1522" s="98" t="s">
        <v>649</v>
      </c>
      <c r="J1522" s="75">
        <f t="shared" si="135"/>
        <v>1</v>
      </c>
      <c r="K1522" s="76" t="s">
        <v>211</v>
      </c>
      <c r="N1522" s="78" t="s">
        <v>18</v>
      </c>
      <c r="Q1522" s="78" t="s">
        <v>2163</v>
      </c>
      <c r="R1522" s="75">
        <f t="shared" si="136"/>
        <v>1</v>
      </c>
      <c r="S1522" s="263" t="s">
        <v>1991</v>
      </c>
      <c r="T1522" s="263" t="s">
        <v>933</v>
      </c>
      <c r="U1522" s="263"/>
      <c r="V1522" s="263"/>
      <c r="W1522" s="263"/>
      <c r="X1522" s="263"/>
      <c r="Y1522" s="575"/>
      <c r="Z1522" s="575"/>
      <c r="AA1522" s="576">
        <f t="shared" si="134"/>
        <v>0</v>
      </c>
      <c r="AB1522" s="722"/>
    </row>
    <row r="1523" spans="1:28" ht="15" customHeight="1" x14ac:dyDescent="0.35">
      <c r="A1523" s="81" t="s">
        <v>5237</v>
      </c>
      <c r="C1523" s="118">
        <v>43875</v>
      </c>
      <c r="D1523" s="318">
        <v>43915</v>
      </c>
      <c r="E1523" s="570"/>
      <c r="F1523" s="88" t="s">
        <v>5375</v>
      </c>
      <c r="G1523" s="88" t="s">
        <v>158</v>
      </c>
      <c r="H1523" s="98" t="s">
        <v>220</v>
      </c>
      <c r="I1523" s="98" t="s">
        <v>722</v>
      </c>
      <c r="J1523" s="75">
        <f t="shared" si="135"/>
        <v>1</v>
      </c>
      <c r="K1523" s="76" t="s">
        <v>211</v>
      </c>
      <c r="N1523" s="78" t="s">
        <v>17</v>
      </c>
      <c r="Q1523" s="78" t="s">
        <v>5501</v>
      </c>
      <c r="R1523" s="75">
        <f t="shared" si="136"/>
        <v>1</v>
      </c>
      <c r="S1523" s="263" t="s">
        <v>1991</v>
      </c>
      <c r="T1523" s="263" t="s">
        <v>934</v>
      </c>
      <c r="U1523" s="263"/>
      <c r="V1523" s="263"/>
      <c r="W1523" s="263"/>
      <c r="X1523" s="263"/>
      <c r="Y1523" s="575"/>
      <c r="Z1523" s="575"/>
      <c r="AA1523" s="576">
        <f t="shared" si="134"/>
        <v>0</v>
      </c>
      <c r="AB1523" s="722"/>
    </row>
    <row r="1524" spans="1:28" ht="15" customHeight="1" x14ac:dyDescent="0.35">
      <c r="A1524" s="98" t="s">
        <v>4803</v>
      </c>
      <c r="C1524" s="118">
        <v>43875</v>
      </c>
      <c r="D1524" s="318">
        <v>43915</v>
      </c>
      <c r="E1524" s="570"/>
      <c r="F1524" s="88" t="s">
        <v>4868</v>
      </c>
      <c r="G1524" s="88" t="s">
        <v>166</v>
      </c>
      <c r="H1524" s="98" t="s">
        <v>220</v>
      </c>
      <c r="I1524" s="98" t="s">
        <v>722</v>
      </c>
      <c r="J1524" s="75">
        <f t="shared" si="135"/>
        <v>1</v>
      </c>
      <c r="K1524" s="76" t="s">
        <v>211</v>
      </c>
      <c r="N1524" s="78" t="s">
        <v>18</v>
      </c>
      <c r="Q1524" s="78" t="s">
        <v>2163</v>
      </c>
      <c r="R1524" s="75">
        <f t="shared" si="136"/>
        <v>1</v>
      </c>
      <c r="S1524" s="263" t="s">
        <v>1991</v>
      </c>
      <c r="T1524" s="263" t="s">
        <v>932</v>
      </c>
      <c r="U1524" s="263"/>
      <c r="V1524" s="263"/>
      <c r="W1524" s="263"/>
      <c r="X1524" s="263"/>
      <c r="Y1524" s="575"/>
      <c r="Z1524" s="575"/>
      <c r="AA1524" s="576">
        <f t="shared" si="134"/>
        <v>0</v>
      </c>
      <c r="AB1524" s="722"/>
    </row>
    <row r="1525" spans="1:28" ht="15" customHeight="1" x14ac:dyDescent="0.35">
      <c r="A1525" s="98" t="s">
        <v>4804</v>
      </c>
      <c r="C1525" s="118">
        <v>43875</v>
      </c>
      <c r="D1525" s="318">
        <v>43915</v>
      </c>
      <c r="E1525" s="570"/>
      <c r="F1525" s="88" t="s">
        <v>4869</v>
      </c>
      <c r="G1525" s="88" t="s">
        <v>944</v>
      </c>
      <c r="H1525" s="98" t="s">
        <v>220</v>
      </c>
      <c r="I1525" s="98" t="s">
        <v>5581</v>
      </c>
      <c r="J1525" s="75">
        <f t="shared" si="135"/>
        <v>1</v>
      </c>
      <c r="K1525" s="76" t="s">
        <v>211</v>
      </c>
      <c r="L1525" s="99" t="s">
        <v>5580</v>
      </c>
      <c r="N1525" s="78" t="s">
        <v>17</v>
      </c>
      <c r="Q1525" s="78" t="s">
        <v>2097</v>
      </c>
      <c r="R1525" s="75">
        <f t="shared" si="136"/>
        <v>1</v>
      </c>
      <c r="S1525" s="263" t="s">
        <v>1991</v>
      </c>
      <c r="T1525" s="263" t="s">
        <v>933</v>
      </c>
      <c r="U1525" s="263"/>
      <c r="V1525" s="263"/>
      <c r="W1525" s="263"/>
      <c r="X1525" s="263"/>
      <c r="Y1525" s="575"/>
      <c r="Z1525" s="575"/>
      <c r="AA1525" s="576">
        <f t="shared" si="134"/>
        <v>0</v>
      </c>
      <c r="AB1525" s="722"/>
    </row>
    <row r="1526" spans="1:28" ht="15" customHeight="1" x14ac:dyDescent="0.35">
      <c r="A1526" s="98" t="s">
        <v>4805</v>
      </c>
      <c r="C1526" s="118">
        <v>43875</v>
      </c>
      <c r="D1526" s="318">
        <v>43915</v>
      </c>
      <c r="E1526" s="570"/>
      <c r="F1526" s="88" t="s">
        <v>4870</v>
      </c>
      <c r="G1526" s="88" t="s">
        <v>417</v>
      </c>
      <c r="H1526" s="98" t="s">
        <v>220</v>
      </c>
      <c r="I1526" s="98" t="s">
        <v>722</v>
      </c>
      <c r="J1526" s="75">
        <f t="shared" si="135"/>
        <v>1</v>
      </c>
      <c r="K1526" s="76" t="s">
        <v>211</v>
      </c>
      <c r="N1526" s="78" t="s">
        <v>18</v>
      </c>
      <c r="Q1526" s="78" t="s">
        <v>2163</v>
      </c>
      <c r="R1526" s="75">
        <f t="shared" si="136"/>
        <v>1</v>
      </c>
      <c r="S1526" s="263" t="s">
        <v>1991</v>
      </c>
      <c r="T1526" s="263" t="s">
        <v>933</v>
      </c>
      <c r="U1526" s="263"/>
      <c r="V1526" s="263"/>
      <c r="W1526" s="263"/>
      <c r="X1526" s="263"/>
      <c r="Y1526" s="575"/>
      <c r="Z1526" s="575"/>
      <c r="AA1526" s="576">
        <f t="shared" si="134"/>
        <v>0</v>
      </c>
      <c r="AB1526" s="722"/>
    </row>
    <row r="1527" spans="1:28" ht="15" customHeight="1" x14ac:dyDescent="0.35">
      <c r="A1527" s="98" t="s">
        <v>4806</v>
      </c>
      <c r="C1527" s="118">
        <v>43875</v>
      </c>
      <c r="D1527" s="318">
        <v>43914</v>
      </c>
      <c r="E1527" s="570"/>
      <c r="F1527" s="88" t="s">
        <v>4871</v>
      </c>
      <c r="G1527" s="88" t="s">
        <v>162</v>
      </c>
      <c r="H1527" s="98" t="s">
        <v>220</v>
      </c>
      <c r="I1527" s="98" t="s">
        <v>3260</v>
      </c>
      <c r="J1527" s="75">
        <f t="shared" si="135"/>
        <v>1</v>
      </c>
      <c r="K1527" s="76" t="s">
        <v>211</v>
      </c>
      <c r="N1527" s="78" t="s">
        <v>19</v>
      </c>
      <c r="Q1527" s="78" t="s">
        <v>2130</v>
      </c>
      <c r="R1527" s="75">
        <f t="shared" si="136"/>
        <v>1</v>
      </c>
      <c r="S1527" s="263" t="s">
        <v>1991</v>
      </c>
      <c r="T1527" s="263" t="s">
        <v>933</v>
      </c>
      <c r="U1527" s="263" t="s">
        <v>5592</v>
      </c>
      <c r="V1527" s="263" t="s">
        <v>5597</v>
      </c>
      <c r="W1527" s="263"/>
      <c r="X1527" s="263"/>
      <c r="Y1527" s="575"/>
      <c r="Z1527" s="575"/>
      <c r="AA1527" s="576">
        <f t="shared" si="134"/>
        <v>0</v>
      </c>
      <c r="AB1527" s="722"/>
    </row>
    <row r="1528" spans="1:28" ht="15" customHeight="1" x14ac:dyDescent="0.35">
      <c r="A1528" s="98" t="s">
        <v>4807</v>
      </c>
      <c r="C1528" s="118">
        <v>43875</v>
      </c>
      <c r="D1528" s="318">
        <v>43915</v>
      </c>
      <c r="E1528" s="570"/>
      <c r="F1528" s="88" t="s">
        <v>4872</v>
      </c>
      <c r="G1528" s="88" t="s">
        <v>156</v>
      </c>
      <c r="H1528" s="98" t="s">
        <v>220</v>
      </c>
      <c r="I1528" s="98" t="s">
        <v>652</v>
      </c>
      <c r="J1528" s="75">
        <f t="shared" si="135"/>
        <v>1</v>
      </c>
      <c r="K1528" s="76" t="s">
        <v>211</v>
      </c>
      <c r="N1528" s="78" t="s">
        <v>17</v>
      </c>
      <c r="Q1528" s="78" t="s">
        <v>2056</v>
      </c>
      <c r="R1528" s="75">
        <f t="shared" si="136"/>
        <v>1</v>
      </c>
      <c r="S1528" s="263" t="s">
        <v>1991</v>
      </c>
      <c r="T1528" s="263" t="s">
        <v>933</v>
      </c>
      <c r="U1528" s="263"/>
      <c r="V1528" s="263"/>
      <c r="W1528" s="263"/>
      <c r="X1528" s="263"/>
      <c r="Y1528" s="575"/>
      <c r="Z1528" s="575"/>
      <c r="AA1528" s="576">
        <f t="shared" si="134"/>
        <v>0</v>
      </c>
      <c r="AB1528" s="722"/>
    </row>
    <row r="1529" spans="1:28" ht="15" customHeight="1" x14ac:dyDescent="0.35">
      <c r="A1529" s="98" t="s">
        <v>5238</v>
      </c>
      <c r="C1529" s="118">
        <v>43875</v>
      </c>
      <c r="D1529" s="318">
        <v>43915</v>
      </c>
      <c r="E1529" s="570"/>
      <c r="F1529" s="88" t="s">
        <v>5376</v>
      </c>
      <c r="G1529" s="88" t="s">
        <v>417</v>
      </c>
      <c r="H1529" s="98" t="s">
        <v>220</v>
      </c>
      <c r="I1529" s="98" t="s">
        <v>730</v>
      </c>
      <c r="J1529" s="75">
        <f t="shared" si="135"/>
        <v>1</v>
      </c>
      <c r="K1529" s="76" t="s">
        <v>211</v>
      </c>
      <c r="N1529" s="78" t="s">
        <v>18</v>
      </c>
      <c r="Q1529" s="78" t="s">
        <v>5501</v>
      </c>
      <c r="R1529" s="75">
        <f t="shared" si="136"/>
        <v>1</v>
      </c>
      <c r="S1529" s="263" t="s">
        <v>1991</v>
      </c>
      <c r="T1529" s="263" t="s">
        <v>933</v>
      </c>
      <c r="U1529" s="263"/>
      <c r="V1529" s="263"/>
      <c r="W1529" s="263"/>
      <c r="X1529" s="263"/>
      <c r="Y1529" s="575"/>
      <c r="Z1529" s="575"/>
      <c r="AA1529" s="576">
        <f t="shared" ref="AA1529:AA1587" si="137">Z1529-Y1529</f>
        <v>0</v>
      </c>
      <c r="AB1529" s="722"/>
    </row>
    <row r="1530" spans="1:28" ht="15" customHeight="1" x14ac:dyDescent="0.35">
      <c r="A1530" s="98" t="s">
        <v>5239</v>
      </c>
      <c r="C1530" s="118">
        <v>43875</v>
      </c>
      <c r="D1530" s="318">
        <v>43915</v>
      </c>
      <c r="E1530" s="570"/>
      <c r="F1530" s="88" t="s">
        <v>5377</v>
      </c>
      <c r="G1530" s="88" t="s">
        <v>154</v>
      </c>
      <c r="H1530" s="98" t="s">
        <v>220</v>
      </c>
      <c r="I1530" s="98" t="s">
        <v>5576</v>
      </c>
      <c r="J1530" s="75">
        <f t="shared" si="135"/>
        <v>1</v>
      </c>
      <c r="K1530" s="76" t="s">
        <v>211</v>
      </c>
      <c r="L1530" s="99" t="s">
        <v>5578</v>
      </c>
      <c r="N1530" s="78" t="s">
        <v>17</v>
      </c>
      <c r="Q1530" s="78" t="s">
        <v>2056</v>
      </c>
      <c r="R1530" s="75">
        <f t="shared" si="136"/>
        <v>1</v>
      </c>
      <c r="S1530" s="263" t="s">
        <v>1991</v>
      </c>
      <c r="T1530" s="263" t="s">
        <v>934</v>
      </c>
      <c r="U1530" s="263"/>
      <c r="V1530" s="263"/>
      <c r="W1530" s="263"/>
      <c r="X1530" s="263"/>
      <c r="Y1530" s="575"/>
      <c r="Z1530" s="575"/>
      <c r="AA1530" s="576">
        <f t="shared" si="137"/>
        <v>0</v>
      </c>
      <c r="AB1530" s="722"/>
    </row>
    <row r="1531" spans="1:28" ht="15" customHeight="1" x14ac:dyDescent="0.35">
      <c r="A1531" s="98" t="s">
        <v>5240</v>
      </c>
      <c r="C1531" s="118">
        <v>43875</v>
      </c>
      <c r="D1531" s="318">
        <v>43915</v>
      </c>
      <c r="E1531" s="570"/>
      <c r="F1531" s="88" t="s">
        <v>5378</v>
      </c>
      <c r="G1531" s="88" t="s">
        <v>160</v>
      </c>
      <c r="H1531" s="98" t="s">
        <v>220</v>
      </c>
      <c r="I1531" s="98" t="s">
        <v>649</v>
      </c>
      <c r="J1531" s="75">
        <f t="shared" si="135"/>
        <v>1</v>
      </c>
      <c r="K1531" s="76" t="s">
        <v>211</v>
      </c>
      <c r="N1531" s="78" t="s">
        <v>18</v>
      </c>
      <c r="Q1531" s="78" t="s">
        <v>2130</v>
      </c>
      <c r="R1531" s="75">
        <f t="shared" si="136"/>
        <v>1</v>
      </c>
      <c r="S1531" s="263" t="s">
        <v>1991</v>
      </c>
      <c r="T1531" s="263" t="s">
        <v>934</v>
      </c>
      <c r="U1531" s="263"/>
      <c r="V1531" s="263"/>
      <c r="W1531" s="263"/>
      <c r="X1531" s="263"/>
      <c r="Y1531" s="575"/>
      <c r="Z1531" s="575"/>
      <c r="AA1531" s="576">
        <f t="shared" si="137"/>
        <v>0</v>
      </c>
      <c r="AB1531" s="722"/>
    </row>
    <row r="1532" spans="1:28" ht="15" customHeight="1" x14ac:dyDescent="0.35">
      <c r="A1532" s="98" t="s">
        <v>4811</v>
      </c>
      <c r="C1532" s="118">
        <v>43875</v>
      </c>
      <c r="D1532" s="318">
        <v>43915</v>
      </c>
      <c r="E1532" s="570"/>
      <c r="F1532" s="88" t="s">
        <v>4876</v>
      </c>
      <c r="G1532" s="88" t="s">
        <v>186</v>
      </c>
      <c r="H1532" s="98" t="s">
        <v>220</v>
      </c>
      <c r="I1532" s="98" t="s">
        <v>722</v>
      </c>
      <c r="J1532" s="75">
        <f t="shared" si="135"/>
        <v>1</v>
      </c>
      <c r="K1532" s="76" t="s">
        <v>211</v>
      </c>
      <c r="N1532" s="78" t="s">
        <v>17</v>
      </c>
      <c r="Q1532" s="78" t="s">
        <v>2163</v>
      </c>
      <c r="R1532" s="75">
        <f t="shared" si="136"/>
        <v>1</v>
      </c>
      <c r="S1532" s="263" t="s">
        <v>1991</v>
      </c>
      <c r="T1532" s="263" t="s">
        <v>934</v>
      </c>
      <c r="U1532" s="263"/>
      <c r="V1532" s="263"/>
      <c r="W1532" s="263"/>
      <c r="X1532" s="263"/>
      <c r="Y1532" s="575"/>
      <c r="Z1532" s="575"/>
      <c r="AA1532" s="576">
        <f t="shared" si="137"/>
        <v>0</v>
      </c>
      <c r="AB1532" s="722"/>
    </row>
    <row r="1533" spans="1:28" ht="15" customHeight="1" x14ac:dyDescent="0.35">
      <c r="A1533" s="98" t="s">
        <v>5241</v>
      </c>
      <c r="C1533" s="118">
        <v>43875</v>
      </c>
      <c r="D1533" s="318">
        <v>43915</v>
      </c>
      <c r="E1533" s="570"/>
      <c r="F1533" s="88" t="s">
        <v>5379</v>
      </c>
      <c r="G1533" s="88" t="s">
        <v>149</v>
      </c>
      <c r="H1533" s="98" t="s">
        <v>220</v>
      </c>
      <c r="I1533" s="98" t="s">
        <v>763</v>
      </c>
      <c r="J1533" s="75">
        <f t="shared" si="135"/>
        <v>1</v>
      </c>
      <c r="K1533" s="76" t="s">
        <v>211</v>
      </c>
      <c r="N1533" s="78" t="s">
        <v>18</v>
      </c>
      <c r="Q1533" s="78" t="s">
        <v>2130</v>
      </c>
      <c r="R1533" s="75">
        <f t="shared" si="136"/>
        <v>1</v>
      </c>
      <c r="S1533" s="263" t="s">
        <v>1991</v>
      </c>
      <c r="T1533" s="263" t="s">
        <v>933</v>
      </c>
      <c r="U1533" s="263"/>
      <c r="V1533" s="263"/>
      <c r="W1533" s="263"/>
      <c r="X1533" s="263"/>
      <c r="Y1533" s="575"/>
      <c r="Z1533" s="575"/>
      <c r="AA1533" s="576">
        <f t="shared" si="137"/>
        <v>0</v>
      </c>
      <c r="AB1533" s="722"/>
    </row>
    <row r="1534" spans="1:28" ht="15" customHeight="1" x14ac:dyDescent="0.35">
      <c r="A1534" s="81" t="s">
        <v>5242</v>
      </c>
      <c r="C1534" s="118">
        <v>43878</v>
      </c>
      <c r="D1534" s="318">
        <v>43916</v>
      </c>
      <c r="E1534" s="570"/>
      <c r="F1534" s="88" t="s">
        <v>5380</v>
      </c>
      <c r="G1534" s="88" t="s">
        <v>168</v>
      </c>
      <c r="H1534" s="98" t="s">
        <v>220</v>
      </c>
      <c r="I1534" s="98" t="s">
        <v>649</v>
      </c>
      <c r="J1534" s="75">
        <f t="shared" si="135"/>
        <v>1</v>
      </c>
      <c r="K1534" s="76" t="s">
        <v>211</v>
      </c>
      <c r="N1534" s="78" t="s">
        <v>17</v>
      </c>
      <c r="Q1534" s="78" t="s">
        <v>5501</v>
      </c>
      <c r="R1534" s="75">
        <f t="shared" si="136"/>
        <v>1</v>
      </c>
      <c r="S1534" s="263" t="s">
        <v>1991</v>
      </c>
      <c r="T1534" s="263" t="s">
        <v>934</v>
      </c>
      <c r="U1534" s="263"/>
      <c r="V1534" s="263"/>
      <c r="W1534" s="263"/>
      <c r="X1534" s="263"/>
      <c r="Y1534" s="575"/>
      <c r="Z1534" s="575"/>
      <c r="AA1534" s="576">
        <f t="shared" si="137"/>
        <v>0</v>
      </c>
      <c r="AB1534" s="722"/>
    </row>
    <row r="1535" spans="1:28" ht="15" customHeight="1" x14ac:dyDescent="0.35">
      <c r="A1535" s="98" t="s">
        <v>4815</v>
      </c>
      <c r="C1535" s="118">
        <v>43878</v>
      </c>
      <c r="D1535" s="318">
        <v>43916</v>
      </c>
      <c r="E1535" s="570"/>
      <c r="F1535" s="88" t="s">
        <v>4879</v>
      </c>
      <c r="G1535" s="88" t="s">
        <v>172</v>
      </c>
      <c r="H1535" s="98" t="s">
        <v>220</v>
      </c>
      <c r="I1535" s="98" t="s">
        <v>722</v>
      </c>
      <c r="J1535" s="75">
        <f t="shared" si="135"/>
        <v>1</v>
      </c>
      <c r="K1535" s="76" t="s">
        <v>211</v>
      </c>
      <c r="L1535" s="99" t="s">
        <v>5587</v>
      </c>
      <c r="N1535" s="78" t="s">
        <v>17</v>
      </c>
      <c r="Q1535" s="78" t="s">
        <v>2097</v>
      </c>
      <c r="R1535" s="75">
        <f t="shared" si="136"/>
        <v>1</v>
      </c>
      <c r="S1535" s="263" t="s">
        <v>1991</v>
      </c>
      <c r="T1535" s="263" t="s">
        <v>932</v>
      </c>
      <c r="U1535" s="263" t="s">
        <v>5592</v>
      </c>
      <c r="V1535" s="263" t="s">
        <v>5598</v>
      </c>
      <c r="W1535" s="263"/>
      <c r="X1535" s="263"/>
      <c r="Y1535" s="575"/>
      <c r="Z1535" s="575"/>
      <c r="AA1535" s="576">
        <f t="shared" si="137"/>
        <v>0</v>
      </c>
      <c r="AB1535" s="722"/>
    </row>
    <row r="1536" spans="1:28" ht="15" customHeight="1" x14ac:dyDescent="0.35">
      <c r="A1536" s="98" t="s">
        <v>4817</v>
      </c>
      <c r="C1536" s="118">
        <v>43878</v>
      </c>
      <c r="D1536" s="318">
        <v>43916</v>
      </c>
      <c r="E1536" s="570"/>
      <c r="F1536" s="88" t="s">
        <v>4881</v>
      </c>
      <c r="G1536" s="88" t="s">
        <v>4882</v>
      </c>
      <c r="H1536" s="98" t="s">
        <v>220</v>
      </c>
      <c r="I1536" s="98" t="s">
        <v>649</v>
      </c>
      <c r="J1536" s="75">
        <f t="shared" si="135"/>
        <v>1</v>
      </c>
      <c r="K1536" s="76" t="s">
        <v>211</v>
      </c>
      <c r="N1536" s="78" t="s">
        <v>18</v>
      </c>
      <c r="Q1536" s="78" t="s">
        <v>2097</v>
      </c>
      <c r="R1536" s="75">
        <f t="shared" si="136"/>
        <v>1</v>
      </c>
      <c r="S1536" s="263" t="s">
        <v>1991</v>
      </c>
      <c r="T1536" s="263" t="s">
        <v>934</v>
      </c>
      <c r="U1536" s="263" t="s">
        <v>5592</v>
      </c>
      <c r="V1536" s="263" t="s">
        <v>5599</v>
      </c>
      <c r="W1536" s="263"/>
      <c r="X1536" s="263"/>
      <c r="Y1536" s="575"/>
      <c r="Z1536" s="575"/>
      <c r="AA1536" s="576">
        <f t="shared" si="137"/>
        <v>0</v>
      </c>
      <c r="AB1536" s="722"/>
    </row>
    <row r="1537" spans="1:28" ht="15" customHeight="1" x14ac:dyDescent="0.35">
      <c r="A1537" s="81" t="s">
        <v>5243</v>
      </c>
      <c r="C1537" s="118">
        <v>43878</v>
      </c>
      <c r="D1537" s="318">
        <v>43916</v>
      </c>
      <c r="E1537" s="570"/>
      <c r="F1537" s="88" t="s">
        <v>5381</v>
      </c>
      <c r="G1537" s="88" t="s">
        <v>154</v>
      </c>
      <c r="H1537" s="98" t="s">
        <v>220</v>
      </c>
      <c r="I1537" s="98" t="s">
        <v>722</v>
      </c>
      <c r="J1537" s="75">
        <f t="shared" si="135"/>
        <v>1</v>
      </c>
      <c r="K1537" s="76" t="s">
        <v>211</v>
      </c>
      <c r="N1537" s="78" t="s">
        <v>18</v>
      </c>
      <c r="Q1537" s="78" t="s">
        <v>5501</v>
      </c>
      <c r="R1537" s="75">
        <f t="shared" si="136"/>
        <v>1</v>
      </c>
      <c r="S1537" s="263" t="s">
        <v>1991</v>
      </c>
      <c r="T1537" s="263" t="s">
        <v>933</v>
      </c>
      <c r="U1537" s="263" t="s">
        <v>5592</v>
      </c>
      <c r="V1537" s="263" t="s">
        <v>5600</v>
      </c>
      <c r="W1537" s="263"/>
      <c r="X1537" s="263"/>
      <c r="Y1537" s="575"/>
      <c r="Z1537" s="575"/>
      <c r="AA1537" s="576">
        <f t="shared" si="137"/>
        <v>0</v>
      </c>
      <c r="AB1537" s="722"/>
    </row>
    <row r="1538" spans="1:28" ht="15" customHeight="1" x14ac:dyDescent="0.35">
      <c r="A1538" s="98" t="s">
        <v>4819</v>
      </c>
      <c r="C1538" s="118">
        <v>43878</v>
      </c>
      <c r="D1538" s="318">
        <v>43916</v>
      </c>
      <c r="E1538" s="570"/>
      <c r="F1538" s="88" t="s">
        <v>4884</v>
      </c>
      <c r="G1538" s="88" t="s">
        <v>162</v>
      </c>
      <c r="H1538" s="98" t="s">
        <v>220</v>
      </c>
      <c r="I1538" s="98" t="s">
        <v>649</v>
      </c>
      <c r="J1538" s="75">
        <f t="shared" si="135"/>
        <v>1</v>
      </c>
      <c r="K1538" s="76" t="s">
        <v>211</v>
      </c>
      <c r="N1538" s="78" t="s">
        <v>18</v>
      </c>
      <c r="Q1538" s="78" t="s">
        <v>2163</v>
      </c>
      <c r="R1538" s="75">
        <f t="shared" si="136"/>
        <v>1</v>
      </c>
      <c r="S1538" s="263" t="s">
        <v>1991</v>
      </c>
      <c r="T1538" s="263" t="s">
        <v>932</v>
      </c>
      <c r="U1538" s="263"/>
      <c r="V1538" s="263"/>
      <c r="W1538" s="263"/>
      <c r="X1538" s="263"/>
      <c r="Y1538" s="575"/>
      <c r="Z1538" s="575"/>
      <c r="AA1538" s="576">
        <f t="shared" si="137"/>
        <v>0</v>
      </c>
      <c r="AB1538" s="722"/>
    </row>
    <row r="1539" spans="1:28" ht="15" customHeight="1" x14ac:dyDescent="0.35">
      <c r="A1539" s="98" t="s">
        <v>5244</v>
      </c>
      <c r="C1539" s="118">
        <v>43878</v>
      </c>
      <c r="D1539" s="318">
        <v>43915</v>
      </c>
      <c r="E1539" s="570"/>
      <c r="F1539" s="88" t="s">
        <v>5382</v>
      </c>
      <c r="G1539" s="88" t="s">
        <v>152</v>
      </c>
      <c r="H1539" s="98" t="s">
        <v>220</v>
      </c>
      <c r="I1539" s="98" t="s">
        <v>649</v>
      </c>
      <c r="J1539" s="75">
        <f t="shared" si="135"/>
        <v>1</v>
      </c>
      <c r="K1539" s="76" t="s">
        <v>211</v>
      </c>
      <c r="N1539" s="78" t="s">
        <v>18</v>
      </c>
      <c r="Q1539" s="78" t="s">
        <v>2056</v>
      </c>
      <c r="R1539" s="75">
        <f t="shared" si="136"/>
        <v>1</v>
      </c>
      <c r="S1539" s="263" t="s">
        <v>1991</v>
      </c>
      <c r="T1539" s="263" t="s">
        <v>932</v>
      </c>
      <c r="U1539" s="263"/>
      <c r="V1539" s="263"/>
      <c r="W1539" s="263"/>
      <c r="X1539" s="263"/>
      <c r="Y1539" s="575"/>
      <c r="Z1539" s="575"/>
      <c r="AA1539" s="576">
        <f t="shared" si="137"/>
        <v>0</v>
      </c>
      <c r="AB1539" s="722"/>
    </row>
    <row r="1540" spans="1:28" ht="15" customHeight="1" x14ac:dyDescent="0.35">
      <c r="A1540" s="98" t="s">
        <v>4825</v>
      </c>
      <c r="C1540" s="118">
        <v>43878</v>
      </c>
      <c r="D1540" s="318">
        <v>43916</v>
      </c>
      <c r="E1540" s="570"/>
      <c r="F1540" s="88" t="s">
        <v>4890</v>
      </c>
      <c r="G1540" s="88" t="s">
        <v>176</v>
      </c>
      <c r="H1540" s="98" t="s">
        <v>220</v>
      </c>
      <c r="I1540" s="98" t="s">
        <v>722</v>
      </c>
      <c r="J1540" s="75">
        <f t="shared" si="135"/>
        <v>1</v>
      </c>
      <c r="K1540" s="76" t="s">
        <v>211</v>
      </c>
      <c r="L1540" s="99" t="s">
        <v>701</v>
      </c>
      <c r="N1540" s="78" t="s">
        <v>17</v>
      </c>
      <c r="Q1540" s="78" t="s">
        <v>2056</v>
      </c>
      <c r="R1540" s="75">
        <f t="shared" si="136"/>
        <v>1</v>
      </c>
      <c r="S1540" s="263" t="s">
        <v>1991</v>
      </c>
      <c r="T1540" s="263" t="s">
        <v>933</v>
      </c>
      <c r="U1540" s="263"/>
      <c r="V1540" s="263"/>
      <c r="W1540" s="263"/>
      <c r="X1540" s="263"/>
      <c r="Y1540" s="575"/>
      <c r="Z1540" s="575"/>
      <c r="AA1540" s="576">
        <f t="shared" si="137"/>
        <v>0</v>
      </c>
      <c r="AB1540" s="722"/>
    </row>
    <row r="1541" spans="1:28" ht="15" customHeight="1" x14ac:dyDescent="0.35">
      <c r="A1541" s="98" t="s">
        <v>4826</v>
      </c>
      <c r="C1541" s="118">
        <v>43878</v>
      </c>
      <c r="D1541" s="318">
        <v>43916</v>
      </c>
      <c r="E1541" s="570"/>
      <c r="F1541" s="88" t="s">
        <v>4891</v>
      </c>
      <c r="G1541" s="88" t="s">
        <v>156</v>
      </c>
      <c r="H1541" s="98" t="s">
        <v>220</v>
      </c>
      <c r="I1541" s="98" t="s">
        <v>652</v>
      </c>
      <c r="J1541" s="75">
        <f t="shared" si="135"/>
        <v>1</v>
      </c>
      <c r="K1541" s="76" t="s">
        <v>211</v>
      </c>
      <c r="L1541" s="99" t="s">
        <v>5584</v>
      </c>
      <c r="N1541" s="78" t="s">
        <v>17</v>
      </c>
      <c r="Q1541" s="78" t="s">
        <v>2163</v>
      </c>
      <c r="R1541" s="75">
        <f t="shared" si="136"/>
        <v>1</v>
      </c>
      <c r="S1541" s="263" t="s">
        <v>1991</v>
      </c>
      <c r="T1541" s="263" t="s">
        <v>933</v>
      </c>
      <c r="U1541" s="263"/>
      <c r="V1541" s="263"/>
      <c r="W1541" s="263"/>
      <c r="X1541" s="263"/>
      <c r="Y1541" s="575"/>
      <c r="Z1541" s="575"/>
      <c r="AA1541" s="576">
        <f t="shared" si="137"/>
        <v>0</v>
      </c>
      <c r="AB1541" s="722"/>
    </row>
    <row r="1542" spans="1:28" ht="15" customHeight="1" x14ac:dyDescent="0.35">
      <c r="A1542" s="98" t="s">
        <v>4827</v>
      </c>
      <c r="C1542" s="118">
        <v>43878</v>
      </c>
      <c r="D1542" s="318">
        <v>43916</v>
      </c>
      <c r="E1542" s="570"/>
      <c r="F1542" s="88" t="s">
        <v>4892</v>
      </c>
      <c r="G1542" s="88" t="s">
        <v>195</v>
      </c>
      <c r="H1542" s="98" t="s">
        <v>220</v>
      </c>
      <c r="I1542" s="98" t="s">
        <v>722</v>
      </c>
      <c r="J1542" s="75">
        <f t="shared" si="135"/>
        <v>1</v>
      </c>
      <c r="K1542" s="76" t="s">
        <v>211</v>
      </c>
      <c r="N1542" s="78" t="s">
        <v>17</v>
      </c>
      <c r="Q1542" s="78" t="s">
        <v>2056</v>
      </c>
      <c r="R1542" s="75">
        <f t="shared" si="136"/>
        <v>1</v>
      </c>
      <c r="S1542" s="263" t="s">
        <v>1991</v>
      </c>
      <c r="T1542" s="263" t="s">
        <v>932</v>
      </c>
      <c r="U1542" s="263" t="s">
        <v>5592</v>
      </c>
      <c r="V1542" s="263" t="s">
        <v>5601</v>
      </c>
      <c r="W1542" s="263"/>
      <c r="X1542" s="263" t="s">
        <v>5621</v>
      </c>
      <c r="Y1542" s="575"/>
      <c r="Z1542" s="575"/>
      <c r="AA1542" s="576">
        <f t="shared" si="137"/>
        <v>0</v>
      </c>
      <c r="AB1542" s="722"/>
    </row>
    <row r="1543" spans="1:28" ht="15" customHeight="1" x14ac:dyDescent="0.35">
      <c r="A1543" s="98" t="s">
        <v>4828</v>
      </c>
      <c r="C1543" s="118">
        <v>43878</v>
      </c>
      <c r="D1543" s="318">
        <v>43916</v>
      </c>
      <c r="E1543" s="570"/>
      <c r="F1543" s="88" t="s">
        <v>4893</v>
      </c>
      <c r="G1543" s="88" t="s">
        <v>545</v>
      </c>
      <c r="H1543" s="98" t="s">
        <v>220</v>
      </c>
      <c r="I1543" s="98" t="s">
        <v>722</v>
      </c>
      <c r="J1543" s="75">
        <f t="shared" si="135"/>
        <v>1</v>
      </c>
      <c r="K1543" s="76" t="s">
        <v>211</v>
      </c>
      <c r="N1543" s="78" t="s">
        <v>17</v>
      </c>
      <c r="Q1543" s="78" t="s">
        <v>2163</v>
      </c>
      <c r="R1543" s="75">
        <f t="shared" si="136"/>
        <v>1</v>
      </c>
      <c r="S1543" s="263" t="s">
        <v>1991</v>
      </c>
      <c r="T1543" s="263" t="s">
        <v>934</v>
      </c>
      <c r="U1543" s="263"/>
      <c r="V1543" s="263"/>
      <c r="W1543" s="263"/>
      <c r="X1543" s="263"/>
      <c r="Y1543" s="575"/>
      <c r="Z1543" s="575"/>
      <c r="AA1543" s="576">
        <f t="shared" si="137"/>
        <v>0</v>
      </c>
      <c r="AB1543" s="722"/>
    </row>
    <row r="1544" spans="1:28" ht="15" customHeight="1" x14ac:dyDescent="0.35">
      <c r="A1544" s="98" t="s">
        <v>5245</v>
      </c>
      <c r="C1544" s="118">
        <v>43878</v>
      </c>
      <c r="D1544" s="318">
        <v>43916</v>
      </c>
      <c r="E1544" s="570"/>
      <c r="F1544" s="88" t="s">
        <v>5383</v>
      </c>
      <c r="G1544" s="88" t="s">
        <v>154</v>
      </c>
      <c r="H1544" s="98" t="s">
        <v>220</v>
      </c>
      <c r="I1544" s="98" t="s">
        <v>722</v>
      </c>
      <c r="J1544" s="75">
        <f t="shared" si="135"/>
        <v>1</v>
      </c>
      <c r="K1544" s="76" t="s">
        <v>211</v>
      </c>
      <c r="N1544" s="78" t="s">
        <v>17</v>
      </c>
      <c r="Q1544" s="78" t="s">
        <v>2130</v>
      </c>
      <c r="R1544" s="75">
        <f t="shared" si="136"/>
        <v>1</v>
      </c>
      <c r="S1544" s="263" t="s">
        <v>1991</v>
      </c>
      <c r="T1544" s="263" t="s">
        <v>932</v>
      </c>
      <c r="U1544" s="263" t="s">
        <v>5592</v>
      </c>
      <c r="V1544" s="263" t="s">
        <v>5602</v>
      </c>
      <c r="W1544" s="263"/>
      <c r="X1544" s="263"/>
      <c r="Y1544" s="575"/>
      <c r="Z1544" s="575"/>
      <c r="AA1544" s="576">
        <f t="shared" si="137"/>
        <v>0</v>
      </c>
      <c r="AB1544" s="722"/>
    </row>
    <row r="1545" spans="1:28" ht="15" customHeight="1" x14ac:dyDescent="0.35">
      <c r="A1545" s="81" t="s">
        <v>5246</v>
      </c>
      <c r="C1545" s="118">
        <v>43878</v>
      </c>
      <c r="D1545" s="318">
        <v>43916</v>
      </c>
      <c r="E1545" s="570"/>
      <c r="F1545" s="88" t="s">
        <v>5384</v>
      </c>
      <c r="G1545" s="88" t="s">
        <v>152</v>
      </c>
      <c r="H1545" s="98" t="s">
        <v>3693</v>
      </c>
      <c r="I1545" s="98" t="s">
        <v>649</v>
      </c>
      <c r="J1545" s="75">
        <f t="shared" si="135"/>
        <v>1</v>
      </c>
      <c r="K1545" s="76" t="s">
        <v>211</v>
      </c>
      <c r="N1545" s="78" t="s">
        <v>18</v>
      </c>
      <c r="Q1545" s="78" t="s">
        <v>5501</v>
      </c>
      <c r="R1545" s="75">
        <f t="shared" si="136"/>
        <v>1</v>
      </c>
      <c r="S1545" s="263" t="s">
        <v>1991</v>
      </c>
      <c r="T1545" s="263" t="s">
        <v>932</v>
      </c>
      <c r="U1545" s="263"/>
      <c r="V1545" s="263"/>
      <c r="W1545" s="263"/>
      <c r="X1545" s="263"/>
      <c r="Y1545" s="575"/>
      <c r="Z1545" s="575"/>
      <c r="AA1545" s="576">
        <f t="shared" si="137"/>
        <v>0</v>
      </c>
      <c r="AB1545" s="722"/>
    </row>
    <row r="1546" spans="1:28" ht="15" customHeight="1" x14ac:dyDescent="0.35">
      <c r="A1546" s="98" t="s">
        <v>4829</v>
      </c>
      <c r="C1546" s="118">
        <v>43878</v>
      </c>
      <c r="D1546" s="318">
        <v>43916</v>
      </c>
      <c r="E1546" s="570"/>
      <c r="F1546" s="88" t="s">
        <v>4894</v>
      </c>
      <c r="G1546" s="88" t="s">
        <v>158</v>
      </c>
      <c r="H1546" s="98" t="s">
        <v>220</v>
      </c>
      <c r="J1546" s="75">
        <f t="shared" si="135"/>
        <v>1</v>
      </c>
      <c r="K1546" s="76" t="s">
        <v>221</v>
      </c>
      <c r="Q1546" s="78" t="s">
        <v>2097</v>
      </c>
      <c r="R1546" s="75">
        <f t="shared" si="136"/>
        <v>1</v>
      </c>
      <c r="S1546" s="263" t="s">
        <v>1991</v>
      </c>
      <c r="T1546" s="263"/>
      <c r="U1546" s="263"/>
      <c r="V1546" s="263"/>
      <c r="W1546" s="263"/>
      <c r="X1546" s="263"/>
      <c r="Y1546" s="575"/>
      <c r="Z1546" s="575"/>
      <c r="AA1546" s="576">
        <f t="shared" si="137"/>
        <v>0</v>
      </c>
      <c r="AB1546" s="722"/>
    </row>
    <row r="1547" spans="1:28" ht="15" customHeight="1" x14ac:dyDescent="0.35">
      <c r="A1547" s="98" t="s">
        <v>4830</v>
      </c>
      <c r="C1547" s="118">
        <v>43878</v>
      </c>
      <c r="D1547" s="318">
        <v>43916</v>
      </c>
      <c r="E1547" s="570"/>
      <c r="F1547" s="88" t="s">
        <v>4895</v>
      </c>
      <c r="G1547" s="88" t="s">
        <v>158</v>
      </c>
      <c r="H1547" s="98" t="s">
        <v>220</v>
      </c>
      <c r="I1547" s="98" t="s">
        <v>763</v>
      </c>
      <c r="J1547" s="75">
        <f t="shared" si="135"/>
        <v>1</v>
      </c>
      <c r="K1547" s="76" t="s">
        <v>211</v>
      </c>
      <c r="L1547" s="99" t="s">
        <v>5588</v>
      </c>
      <c r="N1547" s="78" t="s">
        <v>18</v>
      </c>
      <c r="Q1547" s="78" t="s">
        <v>2130</v>
      </c>
      <c r="R1547" s="75">
        <f t="shared" si="136"/>
        <v>1</v>
      </c>
      <c r="S1547" s="263" t="s">
        <v>1991</v>
      </c>
      <c r="T1547" s="263" t="s">
        <v>933</v>
      </c>
      <c r="U1547" s="263" t="s">
        <v>5592</v>
      </c>
      <c r="V1547" s="263" t="s">
        <v>5603</v>
      </c>
      <c r="W1547" s="263"/>
      <c r="X1547" s="263"/>
      <c r="Y1547" s="575"/>
      <c r="Z1547" s="575"/>
      <c r="AA1547" s="576">
        <f t="shared" si="137"/>
        <v>0</v>
      </c>
      <c r="AB1547" s="722"/>
    </row>
    <row r="1548" spans="1:28" ht="15" customHeight="1" x14ac:dyDescent="0.35">
      <c r="A1548" s="98" t="s">
        <v>4831</v>
      </c>
      <c r="C1548" s="118">
        <v>43878</v>
      </c>
      <c r="D1548" s="318">
        <v>43916</v>
      </c>
      <c r="E1548" s="570"/>
      <c r="F1548" s="88" t="s">
        <v>4896</v>
      </c>
      <c r="G1548" s="88" t="s">
        <v>176</v>
      </c>
      <c r="H1548" s="98" t="s">
        <v>220</v>
      </c>
      <c r="I1548" s="98" t="s">
        <v>648</v>
      </c>
      <c r="J1548" s="75">
        <f t="shared" si="135"/>
        <v>1</v>
      </c>
      <c r="K1548" s="76" t="s">
        <v>211</v>
      </c>
      <c r="N1548" s="78" t="s">
        <v>17</v>
      </c>
      <c r="Q1548" s="78" t="s">
        <v>2130</v>
      </c>
      <c r="R1548" s="75">
        <f t="shared" si="136"/>
        <v>1</v>
      </c>
      <c r="S1548" s="263" t="s">
        <v>1991</v>
      </c>
      <c r="T1548" s="263" t="s">
        <v>932</v>
      </c>
      <c r="U1548" s="263" t="s">
        <v>5592</v>
      </c>
      <c r="V1548" s="263" t="s">
        <v>5604</v>
      </c>
      <c r="W1548" s="263"/>
      <c r="X1548" s="263"/>
      <c r="Y1548" s="575"/>
      <c r="Z1548" s="575"/>
      <c r="AA1548" s="576">
        <f t="shared" si="137"/>
        <v>0</v>
      </c>
      <c r="AB1548" s="722"/>
    </row>
    <row r="1549" spans="1:28" ht="15" customHeight="1" x14ac:dyDescent="0.35">
      <c r="A1549" s="98" t="s">
        <v>4835</v>
      </c>
      <c r="C1549" s="118">
        <v>43879</v>
      </c>
      <c r="D1549" s="318">
        <v>43917</v>
      </c>
      <c r="E1549" s="570"/>
      <c r="F1549" s="88" t="s">
        <v>4900</v>
      </c>
      <c r="G1549" s="88" t="s">
        <v>162</v>
      </c>
      <c r="H1549" s="81" t="s">
        <v>275</v>
      </c>
      <c r="I1549" s="98" t="s">
        <v>5626</v>
      </c>
      <c r="J1549" s="75">
        <f t="shared" si="135"/>
        <v>1</v>
      </c>
      <c r="K1549" s="76" t="s">
        <v>211</v>
      </c>
      <c r="L1549" s="99" t="s">
        <v>5627</v>
      </c>
      <c r="N1549" s="78" t="s">
        <v>18</v>
      </c>
      <c r="Q1549" s="78" t="s">
        <v>2097</v>
      </c>
      <c r="R1549" s="75">
        <f t="shared" si="136"/>
        <v>1</v>
      </c>
      <c r="S1549" s="263" t="s">
        <v>1991</v>
      </c>
      <c r="T1549" s="263"/>
      <c r="U1549" s="263" t="s">
        <v>5592</v>
      </c>
      <c r="V1549" s="263" t="s">
        <v>5624</v>
      </c>
      <c r="W1549" s="263"/>
      <c r="X1549" s="263"/>
      <c r="Y1549" s="575"/>
      <c r="Z1549" s="575"/>
      <c r="AA1549" s="576">
        <f t="shared" si="137"/>
        <v>0</v>
      </c>
      <c r="AB1549" s="722"/>
    </row>
    <row r="1550" spans="1:28" ht="15" customHeight="1" x14ac:dyDescent="0.35">
      <c r="A1550" s="98" t="s">
        <v>4836</v>
      </c>
      <c r="C1550" s="118">
        <v>43879</v>
      </c>
      <c r="D1550" s="318">
        <v>43917</v>
      </c>
      <c r="E1550" s="570"/>
      <c r="F1550" s="88" t="s">
        <v>4901</v>
      </c>
      <c r="G1550" s="88" t="s">
        <v>149</v>
      </c>
      <c r="H1550" s="98" t="s">
        <v>220</v>
      </c>
      <c r="I1550" s="98" t="s">
        <v>722</v>
      </c>
      <c r="J1550" s="75">
        <f t="shared" si="135"/>
        <v>1</v>
      </c>
      <c r="K1550" s="76" t="s">
        <v>211</v>
      </c>
      <c r="N1550" s="78" t="s">
        <v>17</v>
      </c>
      <c r="Q1550" s="78" t="s">
        <v>2056</v>
      </c>
      <c r="R1550" s="75">
        <f t="shared" si="136"/>
        <v>1</v>
      </c>
      <c r="S1550" s="263" t="s">
        <v>1991</v>
      </c>
      <c r="T1550" s="263" t="s">
        <v>933</v>
      </c>
      <c r="U1550" s="263" t="s">
        <v>5592</v>
      </c>
      <c r="V1550" s="263" t="s">
        <v>5622</v>
      </c>
      <c r="W1550" s="263"/>
      <c r="X1550" s="263"/>
      <c r="Y1550" s="575"/>
      <c r="Z1550" s="575"/>
      <c r="AA1550" s="576">
        <f t="shared" si="137"/>
        <v>0</v>
      </c>
      <c r="AB1550" s="722"/>
    </row>
    <row r="1551" spans="1:28" ht="15" customHeight="1" x14ac:dyDescent="0.35">
      <c r="A1551" s="98" t="s">
        <v>5247</v>
      </c>
      <c r="C1551" s="118">
        <v>43879</v>
      </c>
      <c r="D1551" s="318">
        <v>43917</v>
      </c>
      <c r="E1551" s="570"/>
      <c r="F1551" s="88" t="s">
        <v>5385</v>
      </c>
      <c r="G1551" s="88" t="s">
        <v>186</v>
      </c>
      <c r="H1551" s="98" t="s">
        <v>220</v>
      </c>
      <c r="I1551" s="98" t="s">
        <v>5576</v>
      </c>
      <c r="J1551" s="75">
        <f t="shared" si="135"/>
        <v>1</v>
      </c>
      <c r="K1551" s="76" t="s">
        <v>211</v>
      </c>
      <c r="L1551" s="99" t="s">
        <v>5623</v>
      </c>
      <c r="N1551" s="78" t="s">
        <v>18</v>
      </c>
      <c r="Q1551" s="78" t="s">
        <v>2163</v>
      </c>
      <c r="R1551" s="75">
        <f t="shared" si="136"/>
        <v>1</v>
      </c>
      <c r="S1551" s="263" t="s">
        <v>1991</v>
      </c>
      <c r="T1551" s="263" t="s">
        <v>932</v>
      </c>
      <c r="U1551" s="263"/>
      <c r="V1551" s="263"/>
      <c r="W1551" s="263"/>
      <c r="X1551" s="263"/>
      <c r="Y1551" s="575"/>
      <c r="Z1551" s="575"/>
      <c r="AA1551" s="576">
        <f t="shared" si="137"/>
        <v>0</v>
      </c>
      <c r="AB1551" s="722"/>
    </row>
    <row r="1552" spans="1:28" ht="15" customHeight="1" x14ac:dyDescent="0.35">
      <c r="A1552" s="81" t="s">
        <v>5248</v>
      </c>
      <c r="C1552" s="118">
        <v>43879</v>
      </c>
      <c r="D1552" s="318">
        <v>43917</v>
      </c>
      <c r="E1552" s="570"/>
      <c r="F1552" s="88" t="s">
        <v>5386</v>
      </c>
      <c r="G1552" s="88" t="s">
        <v>154</v>
      </c>
      <c r="H1552" s="98" t="s">
        <v>220</v>
      </c>
      <c r="I1552" s="98" t="s">
        <v>722</v>
      </c>
      <c r="J1552" s="75">
        <f t="shared" ref="J1552:J1594" si="138">IF(OR(K1552="Документы готовы",K1552="Запрос в ФО",K1552="ЭЗ",K1552="РЕШ",K1552="РЕШ шаблон"),0.1,IF(OR(K1552="ЭЗ согласование",K1552="РЕШ согласование"),0.3,IF(OR(K1552="ЭЗ согласовано",K1552="РЕШ согласовано",K1552="РЕШ подписано"),0.6,IF(OR(K1552="ЭЗ ПР согласование",K1552="РЕШ УВ согласование"),0.9,IF(OR(K1552="ЭЗ ПР DONE",K1552="РЕШ УВ DONE"),1,0)))))</f>
        <v>1</v>
      </c>
      <c r="K1552" s="76" t="s">
        <v>211</v>
      </c>
      <c r="N1552" s="78" t="s">
        <v>17</v>
      </c>
      <c r="Q1552" s="78" t="s">
        <v>5501</v>
      </c>
      <c r="R1552" s="75">
        <f t="shared" ref="R1552:R1594" si="139">IF(S1552="В работе",0.3,IF(S1552="Отписано",0.6,IF(S1552="На доработку",0.9,IF(S1552="Согласовано",1,0))))</f>
        <v>1</v>
      </c>
      <c r="S1552" s="263" t="s">
        <v>1991</v>
      </c>
      <c r="T1552" s="263" t="s">
        <v>933</v>
      </c>
      <c r="U1552" s="263"/>
      <c r="V1552" s="263"/>
      <c r="W1552" s="263"/>
      <c r="X1552" s="263"/>
      <c r="Y1552" s="575"/>
      <c r="Z1552" s="575"/>
      <c r="AA1552" s="576">
        <f t="shared" si="137"/>
        <v>0</v>
      </c>
      <c r="AB1552" s="722"/>
    </row>
    <row r="1553" spans="1:28" ht="15" customHeight="1" x14ac:dyDescent="0.35">
      <c r="A1553" s="98" t="s">
        <v>5249</v>
      </c>
      <c r="C1553" s="118">
        <v>43879</v>
      </c>
      <c r="D1553" s="318">
        <v>43917</v>
      </c>
      <c r="E1553" s="570"/>
      <c r="F1553" s="88" t="s">
        <v>5387</v>
      </c>
      <c r="G1553" s="88" t="s">
        <v>149</v>
      </c>
      <c r="H1553" s="98" t="s">
        <v>220</v>
      </c>
      <c r="I1553" s="98" t="s">
        <v>649</v>
      </c>
      <c r="J1553" s="75">
        <f t="shared" si="138"/>
        <v>1</v>
      </c>
      <c r="K1553" s="76" t="s">
        <v>211</v>
      </c>
      <c r="N1553" s="78" t="s">
        <v>18</v>
      </c>
      <c r="Q1553" s="78" t="s">
        <v>2056</v>
      </c>
      <c r="R1553" s="75">
        <f t="shared" si="139"/>
        <v>1</v>
      </c>
      <c r="S1553" s="263" t="s">
        <v>1991</v>
      </c>
      <c r="T1553" s="263" t="s">
        <v>934</v>
      </c>
      <c r="U1553" s="263"/>
      <c r="V1553" s="263"/>
      <c r="W1553" s="263"/>
      <c r="X1553" s="263"/>
      <c r="Y1553" s="575"/>
      <c r="Z1553" s="575"/>
      <c r="AA1553" s="576">
        <f t="shared" si="137"/>
        <v>0</v>
      </c>
      <c r="AB1553" s="722"/>
    </row>
    <row r="1554" spans="1:28" ht="15" customHeight="1" x14ac:dyDescent="0.35">
      <c r="A1554" s="81" t="s">
        <v>5250</v>
      </c>
      <c r="C1554" s="118">
        <v>43879</v>
      </c>
      <c r="D1554" s="318">
        <v>43917</v>
      </c>
      <c r="E1554" s="570"/>
      <c r="F1554" s="88" t="s">
        <v>5388</v>
      </c>
      <c r="G1554" s="88" t="s">
        <v>417</v>
      </c>
      <c r="H1554" s="98" t="s">
        <v>220</v>
      </c>
      <c r="I1554" s="98" t="s">
        <v>730</v>
      </c>
      <c r="J1554" s="75">
        <f t="shared" si="138"/>
        <v>1</v>
      </c>
      <c r="K1554" s="76" t="s">
        <v>211</v>
      </c>
      <c r="N1554" s="78" t="s">
        <v>17</v>
      </c>
      <c r="Q1554" s="78" t="s">
        <v>2056</v>
      </c>
      <c r="R1554" s="75">
        <f t="shared" si="139"/>
        <v>1</v>
      </c>
      <c r="S1554" s="263" t="s">
        <v>1991</v>
      </c>
      <c r="T1554" s="263" t="s">
        <v>934</v>
      </c>
      <c r="U1554" s="263"/>
      <c r="V1554" s="263"/>
      <c r="W1554" s="263"/>
      <c r="X1554" s="263"/>
      <c r="Y1554" s="575"/>
      <c r="Z1554" s="575"/>
      <c r="AA1554" s="576">
        <f t="shared" si="137"/>
        <v>0</v>
      </c>
      <c r="AB1554" s="722"/>
    </row>
    <row r="1555" spans="1:28" ht="15" customHeight="1" x14ac:dyDescent="0.35">
      <c r="A1555" s="98" t="s">
        <v>5251</v>
      </c>
      <c r="C1555" s="118">
        <v>43879</v>
      </c>
      <c r="D1555" s="318">
        <v>43916</v>
      </c>
      <c r="E1555" s="570"/>
      <c r="F1555" s="88" t="s">
        <v>5389</v>
      </c>
      <c r="G1555" s="88" t="s">
        <v>162</v>
      </c>
      <c r="H1555" s="98" t="s">
        <v>220</v>
      </c>
      <c r="I1555" s="98" t="s">
        <v>722</v>
      </c>
      <c r="J1555" s="75">
        <f t="shared" si="138"/>
        <v>1</v>
      </c>
      <c r="K1555" s="76" t="s">
        <v>211</v>
      </c>
      <c r="N1555" s="78" t="s">
        <v>17</v>
      </c>
      <c r="Q1555" s="78" t="s">
        <v>2056</v>
      </c>
      <c r="R1555" s="75">
        <f t="shared" si="139"/>
        <v>1</v>
      </c>
      <c r="S1555" s="263" t="s">
        <v>1991</v>
      </c>
      <c r="T1555" s="263" t="s">
        <v>934</v>
      </c>
      <c r="U1555" s="263"/>
      <c r="V1555" s="263"/>
      <c r="W1555" s="263"/>
      <c r="X1555" s="263"/>
      <c r="Y1555" s="575"/>
      <c r="Z1555" s="575"/>
      <c r="AA1555" s="576">
        <f t="shared" si="137"/>
        <v>0</v>
      </c>
      <c r="AB1555" s="722"/>
    </row>
    <row r="1556" spans="1:28" ht="15" customHeight="1" x14ac:dyDescent="0.35">
      <c r="A1556" s="98" t="s">
        <v>4846</v>
      </c>
      <c r="C1556" s="118">
        <v>43879</v>
      </c>
      <c r="D1556" s="318">
        <v>43917</v>
      </c>
      <c r="E1556" s="570"/>
      <c r="F1556" s="88" t="s">
        <v>4911</v>
      </c>
      <c r="G1556" s="88" t="s">
        <v>152</v>
      </c>
      <c r="H1556" s="98" t="s">
        <v>220</v>
      </c>
      <c r="I1556" s="98" t="s">
        <v>863</v>
      </c>
      <c r="J1556" s="75">
        <f t="shared" si="138"/>
        <v>1</v>
      </c>
      <c r="K1556" s="76" t="s">
        <v>211</v>
      </c>
      <c r="N1556" s="78" t="s">
        <v>17</v>
      </c>
      <c r="Q1556" s="78" t="s">
        <v>2163</v>
      </c>
      <c r="R1556" s="75">
        <f t="shared" si="139"/>
        <v>1</v>
      </c>
      <c r="S1556" s="263" t="s">
        <v>1991</v>
      </c>
      <c r="T1556" s="263" t="s">
        <v>933</v>
      </c>
      <c r="U1556" s="263"/>
      <c r="V1556" s="263"/>
      <c r="W1556" s="263"/>
      <c r="X1556" s="263"/>
      <c r="Y1556" s="575"/>
      <c r="Z1556" s="575"/>
      <c r="AA1556" s="576">
        <f t="shared" si="137"/>
        <v>0</v>
      </c>
      <c r="AB1556" s="722"/>
    </row>
    <row r="1557" spans="1:28" ht="15" customHeight="1" x14ac:dyDescent="0.35">
      <c r="A1557" s="98" t="s">
        <v>4847</v>
      </c>
      <c r="C1557" s="118">
        <v>43879</v>
      </c>
      <c r="D1557" s="318">
        <v>43917</v>
      </c>
      <c r="E1557" s="570"/>
      <c r="F1557" s="88" t="s">
        <v>4912</v>
      </c>
      <c r="G1557" s="88" t="s">
        <v>162</v>
      </c>
      <c r="H1557" s="98" t="s">
        <v>220</v>
      </c>
      <c r="I1557" s="98" t="s">
        <v>722</v>
      </c>
      <c r="J1557" s="75">
        <f t="shared" si="138"/>
        <v>1</v>
      </c>
      <c r="K1557" s="76" t="s">
        <v>211</v>
      </c>
      <c r="N1557" s="78" t="s">
        <v>18</v>
      </c>
      <c r="Q1557" s="78" t="s">
        <v>2097</v>
      </c>
      <c r="R1557" s="75">
        <f t="shared" si="139"/>
        <v>1</v>
      </c>
      <c r="S1557" s="263" t="s">
        <v>1991</v>
      </c>
      <c r="T1557" s="263" t="s">
        <v>932</v>
      </c>
      <c r="U1557" s="263"/>
      <c r="V1557" s="263"/>
      <c r="W1557" s="263"/>
      <c r="X1557" s="263"/>
      <c r="Y1557" s="575"/>
      <c r="Z1557" s="575"/>
      <c r="AA1557" s="576">
        <f t="shared" si="137"/>
        <v>0</v>
      </c>
      <c r="AB1557" s="722"/>
    </row>
    <row r="1558" spans="1:28" ht="15" customHeight="1" x14ac:dyDescent="0.35">
      <c r="A1558" s="98" t="s">
        <v>5252</v>
      </c>
      <c r="C1558" s="118">
        <v>43879</v>
      </c>
      <c r="D1558" s="318">
        <v>43917</v>
      </c>
      <c r="E1558" s="570"/>
      <c r="F1558" s="88" t="s">
        <v>5390</v>
      </c>
      <c r="G1558" s="88" t="s">
        <v>152</v>
      </c>
      <c r="H1558" s="98" t="s">
        <v>220</v>
      </c>
      <c r="I1558" s="98" t="s">
        <v>722</v>
      </c>
      <c r="J1558" s="75">
        <f t="shared" si="138"/>
        <v>1</v>
      </c>
      <c r="K1558" s="76" t="s">
        <v>211</v>
      </c>
      <c r="L1558" s="99" t="s">
        <v>5617</v>
      </c>
      <c r="Q1558" s="78" t="s">
        <v>5501</v>
      </c>
      <c r="R1558" s="75">
        <f t="shared" si="139"/>
        <v>1</v>
      </c>
      <c r="S1558" s="263" t="s">
        <v>1991</v>
      </c>
      <c r="T1558" s="263" t="s">
        <v>934</v>
      </c>
      <c r="U1558" s="263" t="s">
        <v>5592</v>
      </c>
      <c r="V1558" s="263" t="s">
        <v>5618</v>
      </c>
      <c r="W1558" s="263"/>
      <c r="X1558" s="263"/>
      <c r="Y1558" s="575"/>
      <c r="Z1558" s="575"/>
      <c r="AA1558" s="576">
        <f t="shared" si="137"/>
        <v>0</v>
      </c>
      <c r="AB1558" s="722"/>
    </row>
    <row r="1559" spans="1:28" ht="15" customHeight="1" x14ac:dyDescent="0.35">
      <c r="A1559" s="81" t="s">
        <v>5253</v>
      </c>
      <c r="C1559" s="118">
        <v>43888</v>
      </c>
      <c r="D1559" s="118">
        <v>43913</v>
      </c>
      <c r="E1559" s="570"/>
      <c r="F1559" s="88" t="s">
        <v>5391</v>
      </c>
      <c r="G1559" s="88" t="s">
        <v>1692</v>
      </c>
      <c r="H1559" s="98" t="s">
        <v>220</v>
      </c>
      <c r="J1559" s="75">
        <f t="shared" si="138"/>
        <v>1</v>
      </c>
      <c r="K1559" s="76" t="s">
        <v>221</v>
      </c>
      <c r="Q1559" s="304" t="s">
        <v>5501</v>
      </c>
      <c r="R1559" s="75">
        <f t="shared" si="139"/>
        <v>1</v>
      </c>
      <c r="S1559" s="263" t="s">
        <v>1991</v>
      </c>
      <c r="T1559" s="263"/>
      <c r="U1559" s="263"/>
      <c r="V1559" s="263"/>
      <c r="W1559" s="263"/>
      <c r="X1559" s="263"/>
      <c r="Y1559" s="575"/>
      <c r="Z1559" s="575"/>
      <c r="AA1559" s="576">
        <f t="shared" si="137"/>
        <v>0</v>
      </c>
      <c r="AB1559" s="722"/>
    </row>
    <row r="1560" spans="1:28" ht="15" customHeight="1" x14ac:dyDescent="0.35">
      <c r="A1560" s="98" t="s">
        <v>5255</v>
      </c>
      <c r="C1560" s="118">
        <v>43888</v>
      </c>
      <c r="D1560" s="318">
        <v>43913</v>
      </c>
      <c r="E1560" s="570"/>
      <c r="F1560" s="88" t="s">
        <v>5393</v>
      </c>
      <c r="G1560" s="88" t="s">
        <v>162</v>
      </c>
      <c r="H1560" s="98" t="s">
        <v>220</v>
      </c>
      <c r="I1560" s="98" t="s">
        <v>3260</v>
      </c>
      <c r="J1560" s="75">
        <f t="shared" si="138"/>
        <v>1</v>
      </c>
      <c r="K1560" s="76" t="s">
        <v>211</v>
      </c>
      <c r="N1560" s="78" t="s">
        <v>19</v>
      </c>
      <c r="Q1560" s="78" t="s">
        <v>5501</v>
      </c>
      <c r="R1560" s="75">
        <f t="shared" si="139"/>
        <v>1</v>
      </c>
      <c r="S1560" s="263" t="s">
        <v>1991</v>
      </c>
      <c r="T1560" s="263" t="s">
        <v>933</v>
      </c>
      <c r="U1560" s="263"/>
      <c r="V1560" s="263"/>
      <c r="W1560" s="263"/>
      <c r="X1560" s="263"/>
      <c r="Y1560" s="575"/>
      <c r="Z1560" s="575"/>
      <c r="AA1560" s="576">
        <f t="shared" si="137"/>
        <v>0</v>
      </c>
      <c r="AB1560" s="722"/>
    </row>
    <row r="1561" spans="1:28" ht="15" customHeight="1" x14ac:dyDescent="0.35">
      <c r="A1561" s="81" t="s">
        <v>5256</v>
      </c>
      <c r="C1561" s="118">
        <v>43888</v>
      </c>
      <c r="D1561" s="318">
        <v>43913</v>
      </c>
      <c r="E1561" s="570"/>
      <c r="F1561" s="88" t="s">
        <v>5394</v>
      </c>
      <c r="G1561" s="88" t="s">
        <v>154</v>
      </c>
      <c r="H1561" s="98" t="s">
        <v>220</v>
      </c>
      <c r="I1561" s="98" t="s">
        <v>3221</v>
      </c>
      <c r="J1561" s="75">
        <f t="shared" si="138"/>
        <v>1</v>
      </c>
      <c r="K1561" s="76" t="s">
        <v>211</v>
      </c>
      <c r="N1561" s="78" t="s">
        <v>18</v>
      </c>
      <c r="Q1561" s="78" t="s">
        <v>5501</v>
      </c>
      <c r="R1561" s="75">
        <f t="shared" si="139"/>
        <v>1</v>
      </c>
      <c r="S1561" s="263" t="s">
        <v>1991</v>
      </c>
      <c r="T1561" s="263" t="s">
        <v>933</v>
      </c>
      <c r="U1561" s="263"/>
      <c r="V1561" s="263"/>
      <c r="W1561" s="263"/>
      <c r="X1561" s="263"/>
      <c r="Y1561" s="575"/>
      <c r="Z1561" s="575"/>
      <c r="AA1561" s="576">
        <f t="shared" si="137"/>
        <v>0</v>
      </c>
      <c r="AB1561" s="722"/>
    </row>
    <row r="1562" spans="1:28" ht="15" customHeight="1" x14ac:dyDescent="0.35">
      <c r="A1562" s="98" t="s">
        <v>5257</v>
      </c>
      <c r="C1562" s="118">
        <v>43888</v>
      </c>
      <c r="D1562" s="318">
        <v>43913</v>
      </c>
      <c r="E1562" s="570"/>
      <c r="F1562" s="88" t="s">
        <v>5395</v>
      </c>
      <c r="G1562" s="88" t="s">
        <v>162</v>
      </c>
      <c r="H1562" s="98" t="s">
        <v>220</v>
      </c>
      <c r="I1562" s="98" t="s">
        <v>656</v>
      </c>
      <c r="J1562" s="75">
        <f t="shared" si="138"/>
        <v>1</v>
      </c>
      <c r="K1562" s="76" t="s">
        <v>211</v>
      </c>
      <c r="N1562" s="78" t="s">
        <v>17</v>
      </c>
      <c r="Q1562" s="78" t="s">
        <v>2163</v>
      </c>
      <c r="R1562" s="75">
        <f t="shared" si="139"/>
        <v>1</v>
      </c>
      <c r="S1562" s="263" t="s">
        <v>1991</v>
      </c>
      <c r="T1562" s="263" t="s">
        <v>932</v>
      </c>
      <c r="U1562" s="263"/>
      <c r="V1562" s="263"/>
      <c r="W1562" s="263"/>
      <c r="X1562" s="263"/>
      <c r="Y1562" s="575"/>
      <c r="Z1562" s="575"/>
      <c r="AA1562" s="576">
        <f t="shared" si="137"/>
        <v>0</v>
      </c>
      <c r="AB1562" s="722"/>
    </row>
    <row r="1563" spans="1:28" ht="15" customHeight="1" x14ac:dyDescent="0.35">
      <c r="A1563" s="98" t="s">
        <v>5258</v>
      </c>
      <c r="C1563" s="118">
        <v>43888</v>
      </c>
      <c r="D1563" s="318">
        <v>43913</v>
      </c>
      <c r="E1563" s="570"/>
      <c r="F1563" s="88" t="s">
        <v>5396</v>
      </c>
      <c r="G1563" s="88" t="s">
        <v>158</v>
      </c>
      <c r="H1563" s="98" t="s">
        <v>220</v>
      </c>
      <c r="I1563" s="98" t="s">
        <v>656</v>
      </c>
      <c r="J1563" s="75">
        <f t="shared" si="138"/>
        <v>1</v>
      </c>
      <c r="K1563" s="76" t="s">
        <v>211</v>
      </c>
      <c r="N1563" s="78" t="s">
        <v>17</v>
      </c>
      <c r="Q1563" s="78" t="s">
        <v>2163</v>
      </c>
      <c r="R1563" s="75">
        <f t="shared" si="139"/>
        <v>1</v>
      </c>
      <c r="S1563" s="263" t="s">
        <v>1991</v>
      </c>
      <c r="T1563" s="263" t="s">
        <v>933</v>
      </c>
      <c r="U1563" s="263"/>
      <c r="V1563" s="263"/>
      <c r="W1563" s="263"/>
      <c r="X1563" s="263"/>
      <c r="Y1563" s="575"/>
      <c r="Z1563" s="575"/>
      <c r="AA1563" s="576">
        <f t="shared" si="137"/>
        <v>0</v>
      </c>
      <c r="AB1563" s="722"/>
    </row>
    <row r="1564" spans="1:28" ht="15" customHeight="1" x14ac:dyDescent="0.35">
      <c r="A1564" s="81" t="s">
        <v>5259</v>
      </c>
      <c r="C1564" s="118">
        <v>43888</v>
      </c>
      <c r="D1564" s="118">
        <v>43913</v>
      </c>
      <c r="E1564" s="570"/>
      <c r="F1564" s="88" t="s">
        <v>5397</v>
      </c>
      <c r="G1564" s="88" t="s">
        <v>152</v>
      </c>
      <c r="H1564" s="98" t="s">
        <v>220</v>
      </c>
      <c r="J1564" s="75">
        <f t="shared" si="138"/>
        <v>1</v>
      </c>
      <c r="K1564" s="76" t="s">
        <v>221</v>
      </c>
      <c r="Q1564" s="78" t="s">
        <v>2130</v>
      </c>
      <c r="R1564" s="75">
        <f t="shared" si="139"/>
        <v>1</v>
      </c>
      <c r="S1564" s="263" t="s">
        <v>1991</v>
      </c>
      <c r="T1564" s="263"/>
      <c r="U1564" s="263"/>
      <c r="V1564" s="263"/>
      <c r="W1564" s="263"/>
      <c r="X1564" s="263"/>
      <c r="Y1564" s="575"/>
      <c r="Z1564" s="575"/>
      <c r="AA1564" s="576">
        <f t="shared" si="137"/>
        <v>0</v>
      </c>
      <c r="AB1564" s="722"/>
    </row>
    <row r="1565" spans="1:28" ht="15" customHeight="1" x14ac:dyDescent="0.35">
      <c r="A1565" s="81" t="s">
        <v>5260</v>
      </c>
      <c r="C1565" s="118">
        <v>43888</v>
      </c>
      <c r="D1565" s="318">
        <v>43913</v>
      </c>
      <c r="E1565" s="570"/>
      <c r="F1565" s="88" t="s">
        <v>5398</v>
      </c>
      <c r="G1565" s="88" t="s">
        <v>154</v>
      </c>
      <c r="H1565" s="98" t="s">
        <v>220</v>
      </c>
      <c r="I1565" s="98" t="s">
        <v>3260</v>
      </c>
      <c r="J1565" s="75">
        <f t="shared" si="138"/>
        <v>1</v>
      </c>
      <c r="K1565" s="76" t="s">
        <v>211</v>
      </c>
      <c r="N1565" s="78" t="s">
        <v>19</v>
      </c>
      <c r="Q1565" s="78" t="s">
        <v>5501</v>
      </c>
      <c r="R1565" s="75">
        <f t="shared" si="139"/>
        <v>1</v>
      </c>
      <c r="S1565" s="263" t="s">
        <v>1991</v>
      </c>
      <c r="T1565" s="263" t="s">
        <v>934</v>
      </c>
      <c r="U1565" s="263" t="s">
        <v>5592</v>
      </c>
      <c r="V1565" s="263" t="s">
        <v>5605</v>
      </c>
      <c r="W1565" s="263"/>
      <c r="X1565" s="263"/>
      <c r="Y1565" s="575"/>
      <c r="Z1565" s="575"/>
      <c r="AA1565" s="576">
        <f t="shared" si="137"/>
        <v>0</v>
      </c>
      <c r="AB1565" s="722"/>
    </row>
    <row r="1566" spans="1:28" ht="15" customHeight="1" x14ac:dyDescent="0.35">
      <c r="A1566" s="81" t="s">
        <v>5261</v>
      </c>
      <c r="C1566" s="118">
        <v>43888</v>
      </c>
      <c r="D1566" s="118">
        <v>43913</v>
      </c>
      <c r="E1566" s="570"/>
      <c r="F1566" s="88" t="s">
        <v>5399</v>
      </c>
      <c r="G1566" s="88" t="s">
        <v>193</v>
      </c>
      <c r="H1566" s="98" t="s">
        <v>220</v>
      </c>
      <c r="J1566" s="75">
        <f t="shared" si="138"/>
        <v>1</v>
      </c>
      <c r="K1566" s="76" t="s">
        <v>221</v>
      </c>
      <c r="Q1566" s="78" t="s">
        <v>2056</v>
      </c>
      <c r="R1566" s="75">
        <f t="shared" si="139"/>
        <v>1</v>
      </c>
      <c r="S1566" s="263" t="s">
        <v>1991</v>
      </c>
      <c r="T1566" s="263"/>
      <c r="U1566" s="263"/>
      <c r="V1566" s="263"/>
      <c r="W1566" s="263"/>
      <c r="X1566" s="263"/>
      <c r="Y1566" s="575"/>
      <c r="Z1566" s="575"/>
      <c r="AA1566" s="576">
        <f t="shared" si="137"/>
        <v>0</v>
      </c>
      <c r="AB1566" s="722"/>
    </row>
    <row r="1567" spans="1:28" ht="15" customHeight="1" x14ac:dyDescent="0.35">
      <c r="A1567" s="81" t="s">
        <v>5263</v>
      </c>
      <c r="C1567" s="118">
        <v>43888</v>
      </c>
      <c r="D1567" s="318">
        <v>43913</v>
      </c>
      <c r="E1567" s="570"/>
      <c r="F1567" s="88" t="s">
        <v>5401</v>
      </c>
      <c r="G1567" s="88" t="s">
        <v>168</v>
      </c>
      <c r="H1567" s="98" t="s">
        <v>220</v>
      </c>
      <c r="I1567" s="98" t="s">
        <v>656</v>
      </c>
      <c r="J1567" s="75">
        <f t="shared" si="138"/>
        <v>1</v>
      </c>
      <c r="K1567" s="76" t="s">
        <v>211</v>
      </c>
      <c r="N1567" s="78" t="s">
        <v>17</v>
      </c>
      <c r="Q1567" s="78" t="s">
        <v>5501</v>
      </c>
      <c r="R1567" s="75">
        <f t="shared" si="139"/>
        <v>1</v>
      </c>
      <c r="S1567" s="263" t="s">
        <v>1991</v>
      </c>
      <c r="T1567" s="263" t="s">
        <v>932</v>
      </c>
      <c r="U1567" s="263"/>
      <c r="V1567" s="263"/>
      <c r="W1567" s="263"/>
      <c r="X1567" s="263"/>
      <c r="Y1567" s="575"/>
      <c r="Z1567" s="575"/>
      <c r="AA1567" s="576">
        <f t="shared" si="137"/>
        <v>0</v>
      </c>
      <c r="AB1567" s="722"/>
    </row>
    <row r="1568" spans="1:28" ht="15" customHeight="1" x14ac:dyDescent="0.35">
      <c r="A1568" s="98" t="s">
        <v>5265</v>
      </c>
      <c r="C1568" s="118">
        <v>43888</v>
      </c>
      <c r="D1568" s="318">
        <v>43913</v>
      </c>
      <c r="E1568" s="570"/>
      <c r="F1568" s="88" t="s">
        <v>5403</v>
      </c>
      <c r="G1568" s="88" t="s">
        <v>149</v>
      </c>
      <c r="H1568" s="98" t="s">
        <v>220</v>
      </c>
      <c r="I1568" s="98" t="s">
        <v>665</v>
      </c>
      <c r="J1568" s="75">
        <f t="shared" si="138"/>
        <v>1</v>
      </c>
      <c r="K1568" s="76" t="s">
        <v>211</v>
      </c>
      <c r="N1568" s="78" t="s">
        <v>18</v>
      </c>
      <c r="Q1568" s="78" t="s">
        <v>2097</v>
      </c>
      <c r="R1568" s="75">
        <f t="shared" si="139"/>
        <v>1</v>
      </c>
      <c r="S1568" s="263" t="s">
        <v>1991</v>
      </c>
      <c r="T1568" s="263" t="s">
        <v>933</v>
      </c>
      <c r="U1568" s="263"/>
      <c r="V1568" s="263"/>
      <c r="W1568" s="263"/>
      <c r="X1568" s="263"/>
      <c r="Y1568" s="575"/>
      <c r="Z1568" s="575"/>
      <c r="AA1568" s="576">
        <f t="shared" si="137"/>
        <v>0</v>
      </c>
      <c r="AB1568" s="722"/>
    </row>
    <row r="1569" spans="1:28" ht="15" customHeight="1" x14ac:dyDescent="0.35">
      <c r="A1569" s="98" t="s">
        <v>5269</v>
      </c>
      <c r="C1569" s="118">
        <v>43888</v>
      </c>
      <c r="D1569" s="318">
        <v>43913</v>
      </c>
      <c r="E1569" s="570"/>
      <c r="F1569" s="88" t="s">
        <v>5407</v>
      </c>
      <c r="G1569" s="88" t="s">
        <v>149</v>
      </c>
      <c r="H1569" s="98" t="s">
        <v>220</v>
      </c>
      <c r="I1569" s="98" t="s">
        <v>730</v>
      </c>
      <c r="J1569" s="75">
        <f t="shared" si="138"/>
        <v>1</v>
      </c>
      <c r="K1569" s="76" t="s">
        <v>211</v>
      </c>
      <c r="N1569" s="78" t="s">
        <v>18</v>
      </c>
      <c r="Q1569" s="78" t="s">
        <v>2097</v>
      </c>
      <c r="R1569" s="75">
        <f t="shared" si="139"/>
        <v>1</v>
      </c>
      <c r="S1569" s="263" t="s">
        <v>1991</v>
      </c>
      <c r="T1569" s="263" t="s">
        <v>934</v>
      </c>
      <c r="U1569" s="263"/>
      <c r="V1569" s="263"/>
      <c r="W1569" s="263"/>
      <c r="X1569" s="263"/>
      <c r="Y1569" s="575"/>
      <c r="Z1569" s="575"/>
      <c r="AA1569" s="576">
        <f t="shared" si="137"/>
        <v>0</v>
      </c>
      <c r="AB1569" s="722"/>
    </row>
    <row r="1570" spans="1:28" ht="15" customHeight="1" x14ac:dyDescent="0.35">
      <c r="A1570" s="98" t="s">
        <v>5270</v>
      </c>
      <c r="C1570" s="118">
        <v>43888</v>
      </c>
      <c r="D1570" s="318">
        <v>43965</v>
      </c>
      <c r="E1570" s="570">
        <v>43930</v>
      </c>
      <c r="F1570" s="88" t="s">
        <v>5408</v>
      </c>
      <c r="G1570" s="88" t="s">
        <v>152</v>
      </c>
      <c r="H1570" s="98" t="s">
        <v>220</v>
      </c>
      <c r="I1570" s="98" t="s">
        <v>863</v>
      </c>
      <c r="J1570" s="75">
        <f t="shared" si="138"/>
        <v>1</v>
      </c>
      <c r="K1570" s="76" t="s">
        <v>211</v>
      </c>
      <c r="N1570" s="78" t="s">
        <v>17</v>
      </c>
      <c r="Q1570" s="78" t="s">
        <v>2130</v>
      </c>
      <c r="R1570" s="75">
        <f t="shared" si="139"/>
        <v>1</v>
      </c>
      <c r="S1570" s="263" t="s">
        <v>1991</v>
      </c>
      <c r="T1570" s="263" t="s">
        <v>932</v>
      </c>
      <c r="U1570" s="263"/>
      <c r="V1570" s="263"/>
      <c r="W1570" s="263"/>
      <c r="X1570" s="263"/>
      <c r="Y1570" s="575">
        <v>0.57935185185185178</v>
      </c>
      <c r="Z1570" s="575">
        <v>0.5863194444444445</v>
      </c>
      <c r="AA1570" s="576">
        <f t="shared" si="137"/>
        <v>6.9675925925927196E-3</v>
      </c>
      <c r="AB1570" s="722"/>
    </row>
    <row r="1571" spans="1:28" ht="15" customHeight="1" x14ac:dyDescent="0.35">
      <c r="A1571" s="98" t="s">
        <v>5271</v>
      </c>
      <c r="C1571" s="118">
        <v>43888</v>
      </c>
      <c r="D1571" s="318">
        <v>43913</v>
      </c>
      <c r="E1571" s="570"/>
      <c r="F1571" s="99" t="s">
        <v>5409</v>
      </c>
      <c r="G1571" s="99" t="s">
        <v>162</v>
      </c>
      <c r="H1571" s="98" t="s">
        <v>220</v>
      </c>
      <c r="I1571" s="98" t="s">
        <v>656</v>
      </c>
      <c r="J1571" s="75">
        <f>IF(OR(K1571="Документы готовы",K1571="Запрос в ФО",K1571="ЭЗ",K1571="РЕШ",K1571="РЕШ шаблон"),0.1,IF(OR(K1571="ЭЗ согласование",K1571="РЕШ согласование"),0.3,IF(OR(K1571="ЭЗ согласовано",K1571="РЕШ согласовано",K1571="РЕШ подписано"),0.6,IF(OR(K1571="ЭЗ ПР согласование",K1571="РЕШ УВ согласование"),0.9,IF(OR(K1571="ЭЗ ПР DONE",K1571="РЕШ УВ DONE"),1,0)))))</f>
        <v>1</v>
      </c>
      <c r="K1571" s="76" t="s">
        <v>211</v>
      </c>
      <c r="N1571" s="78" t="s">
        <v>17</v>
      </c>
      <c r="Q1571" s="78" t="s">
        <v>2163</v>
      </c>
      <c r="R1571" s="75">
        <f t="shared" si="139"/>
        <v>1</v>
      </c>
      <c r="S1571" s="263" t="s">
        <v>1991</v>
      </c>
      <c r="T1571" s="263" t="s">
        <v>934</v>
      </c>
      <c r="U1571" s="263"/>
      <c r="V1571" s="263"/>
      <c r="W1571" s="263"/>
      <c r="X1571" s="263"/>
      <c r="Y1571" s="575"/>
      <c r="Z1571" s="575"/>
      <c r="AA1571" s="576">
        <f t="shared" si="137"/>
        <v>0</v>
      </c>
      <c r="AB1571" s="722"/>
    </row>
    <row r="1572" spans="1:28" ht="15" customHeight="1" x14ac:dyDescent="0.35">
      <c r="A1572" s="98" t="s">
        <v>5273</v>
      </c>
      <c r="C1572" s="118">
        <v>43889</v>
      </c>
      <c r="D1572" s="318">
        <v>43914</v>
      </c>
      <c r="E1572" s="570"/>
      <c r="F1572" s="88" t="s">
        <v>5411</v>
      </c>
      <c r="G1572" s="88" t="s">
        <v>154</v>
      </c>
      <c r="H1572" s="98" t="s">
        <v>220</v>
      </c>
      <c r="I1572" s="98" t="s">
        <v>2516</v>
      </c>
      <c r="J1572" s="75">
        <f t="shared" si="138"/>
        <v>1</v>
      </c>
      <c r="K1572" s="76" t="s">
        <v>211</v>
      </c>
      <c r="N1572" s="78" t="s">
        <v>17</v>
      </c>
      <c r="Q1572" s="78" t="s">
        <v>2163</v>
      </c>
      <c r="R1572" s="75">
        <f t="shared" si="139"/>
        <v>1</v>
      </c>
      <c r="S1572" s="263" t="s">
        <v>1991</v>
      </c>
      <c r="T1572" s="263" t="s">
        <v>934</v>
      </c>
      <c r="U1572" s="263"/>
      <c r="V1572" s="263"/>
      <c r="W1572" s="263"/>
      <c r="X1572" s="263"/>
      <c r="Y1572" s="575"/>
      <c r="Z1572" s="575"/>
      <c r="AA1572" s="576">
        <f t="shared" si="137"/>
        <v>0</v>
      </c>
      <c r="AB1572" s="722"/>
    </row>
    <row r="1573" spans="1:28" ht="15" customHeight="1" x14ac:dyDescent="0.35">
      <c r="A1573" s="98" t="s">
        <v>5274</v>
      </c>
      <c r="C1573" s="118">
        <v>43889</v>
      </c>
      <c r="D1573" s="318">
        <v>43913</v>
      </c>
      <c r="E1573" s="570"/>
      <c r="F1573" s="88" t="s">
        <v>5412</v>
      </c>
      <c r="G1573" s="88" t="s">
        <v>154</v>
      </c>
      <c r="H1573" s="98" t="s">
        <v>220</v>
      </c>
      <c r="I1573" s="98" t="s">
        <v>3221</v>
      </c>
      <c r="J1573" s="75">
        <f t="shared" si="138"/>
        <v>1</v>
      </c>
      <c r="K1573" s="76" t="s">
        <v>211</v>
      </c>
      <c r="N1573" s="78" t="s">
        <v>17</v>
      </c>
      <c r="Q1573" s="78" t="s">
        <v>2056</v>
      </c>
      <c r="R1573" s="75">
        <f t="shared" si="139"/>
        <v>1</v>
      </c>
      <c r="S1573" s="263" t="s">
        <v>1991</v>
      </c>
      <c r="T1573" s="263" t="s">
        <v>932</v>
      </c>
      <c r="U1573" s="263"/>
      <c r="V1573" s="263"/>
      <c r="W1573" s="263"/>
      <c r="X1573" s="263"/>
      <c r="Y1573" s="575"/>
      <c r="Z1573" s="575"/>
      <c r="AA1573" s="576">
        <f t="shared" si="137"/>
        <v>0</v>
      </c>
      <c r="AB1573" s="722"/>
    </row>
    <row r="1574" spans="1:28" ht="15" customHeight="1" x14ac:dyDescent="0.35">
      <c r="A1574" s="81" t="s">
        <v>5278</v>
      </c>
      <c r="C1574" s="118">
        <v>43889</v>
      </c>
      <c r="D1574" s="118">
        <v>43914</v>
      </c>
      <c r="E1574" s="570"/>
      <c r="F1574" s="88" t="s">
        <v>5416</v>
      </c>
      <c r="G1574" s="88" t="s">
        <v>149</v>
      </c>
      <c r="H1574" s="98" t="s">
        <v>220</v>
      </c>
      <c r="J1574" s="75">
        <f t="shared" si="138"/>
        <v>1</v>
      </c>
      <c r="K1574" s="76" t="s">
        <v>221</v>
      </c>
      <c r="Q1574" s="78" t="s">
        <v>2130</v>
      </c>
      <c r="R1574" s="75">
        <f t="shared" si="139"/>
        <v>1</v>
      </c>
      <c r="S1574" s="263" t="s">
        <v>1991</v>
      </c>
      <c r="T1574" s="263"/>
      <c r="U1574" s="263"/>
      <c r="V1574" s="263"/>
      <c r="W1574" s="263"/>
      <c r="X1574" s="263"/>
      <c r="Y1574" s="575"/>
      <c r="Z1574" s="575"/>
      <c r="AA1574" s="576">
        <f t="shared" si="137"/>
        <v>0</v>
      </c>
      <c r="AB1574" s="722"/>
    </row>
    <row r="1575" spans="1:28" ht="15" customHeight="1" x14ac:dyDescent="0.35">
      <c r="A1575" s="81" t="s">
        <v>5279</v>
      </c>
      <c r="C1575" s="118">
        <v>43889</v>
      </c>
      <c r="D1575" s="318">
        <v>43914</v>
      </c>
      <c r="E1575" s="570"/>
      <c r="F1575" s="88" t="s">
        <v>5417</v>
      </c>
      <c r="G1575" s="88" t="s">
        <v>156</v>
      </c>
      <c r="H1575" s="98" t="s">
        <v>220</v>
      </c>
      <c r="I1575" s="98" t="s">
        <v>3221</v>
      </c>
      <c r="J1575" s="75">
        <f t="shared" si="138"/>
        <v>1</v>
      </c>
      <c r="K1575" s="76" t="s">
        <v>211</v>
      </c>
      <c r="N1575" s="78" t="s">
        <v>17</v>
      </c>
      <c r="Q1575" s="78" t="s">
        <v>5501</v>
      </c>
      <c r="R1575" s="75">
        <f t="shared" si="139"/>
        <v>1</v>
      </c>
      <c r="S1575" s="263" t="s">
        <v>1991</v>
      </c>
      <c r="T1575" s="263" t="s">
        <v>932</v>
      </c>
      <c r="U1575" s="263"/>
      <c r="V1575" s="263"/>
      <c r="W1575" s="263"/>
      <c r="X1575" s="263"/>
      <c r="Y1575" s="575"/>
      <c r="Z1575" s="575"/>
      <c r="AA1575" s="576">
        <f t="shared" si="137"/>
        <v>0</v>
      </c>
      <c r="AB1575" s="722"/>
    </row>
    <row r="1576" spans="1:28" ht="15" customHeight="1" x14ac:dyDescent="0.35">
      <c r="A1576" s="81" t="s">
        <v>5280</v>
      </c>
      <c r="C1576" s="118">
        <v>43889</v>
      </c>
      <c r="D1576" s="118">
        <v>43914</v>
      </c>
      <c r="E1576" s="570"/>
      <c r="F1576" s="88" t="s">
        <v>5418</v>
      </c>
      <c r="G1576" s="88" t="s">
        <v>149</v>
      </c>
      <c r="H1576" s="98" t="s">
        <v>220</v>
      </c>
      <c r="J1576" s="75">
        <f t="shared" si="138"/>
        <v>1</v>
      </c>
      <c r="K1576" s="76" t="s">
        <v>221</v>
      </c>
      <c r="Q1576" s="78" t="s">
        <v>5501</v>
      </c>
      <c r="R1576" s="75">
        <f t="shared" si="139"/>
        <v>1</v>
      </c>
      <c r="S1576" s="263" t="s">
        <v>1991</v>
      </c>
      <c r="T1576" s="263"/>
      <c r="U1576" s="263"/>
      <c r="V1576" s="263"/>
      <c r="W1576" s="263"/>
      <c r="X1576" s="263"/>
      <c r="Y1576" s="575"/>
      <c r="Z1576" s="575"/>
      <c r="AA1576" s="576">
        <f t="shared" si="137"/>
        <v>0</v>
      </c>
      <c r="AB1576" s="722"/>
    </row>
    <row r="1577" spans="1:28" ht="15" customHeight="1" x14ac:dyDescent="0.35">
      <c r="A1577" s="98" t="s">
        <v>5282</v>
      </c>
      <c r="C1577" s="118">
        <v>43889</v>
      </c>
      <c r="D1577" s="318">
        <v>43914</v>
      </c>
      <c r="E1577" s="570"/>
      <c r="F1577" s="88" t="s">
        <v>5420</v>
      </c>
      <c r="G1577" s="88" t="s">
        <v>154</v>
      </c>
      <c r="H1577" s="98" t="s">
        <v>220</v>
      </c>
      <c r="I1577" s="98" t="s">
        <v>2516</v>
      </c>
      <c r="J1577" s="75">
        <f t="shared" si="138"/>
        <v>1</v>
      </c>
      <c r="K1577" s="76" t="s">
        <v>211</v>
      </c>
      <c r="N1577" s="78" t="s">
        <v>18</v>
      </c>
      <c r="Q1577" s="78" t="s">
        <v>2056</v>
      </c>
      <c r="R1577" s="75">
        <f t="shared" si="139"/>
        <v>1</v>
      </c>
      <c r="S1577" s="263" t="s">
        <v>1991</v>
      </c>
      <c r="T1577" s="263" t="s">
        <v>932</v>
      </c>
      <c r="U1577" s="263"/>
      <c r="V1577" s="263"/>
      <c r="W1577" s="263"/>
      <c r="X1577" s="263"/>
      <c r="Y1577" s="575"/>
      <c r="Z1577" s="575"/>
      <c r="AA1577" s="576">
        <f t="shared" si="137"/>
        <v>0</v>
      </c>
      <c r="AB1577" s="722"/>
    </row>
    <row r="1578" spans="1:28" ht="15" customHeight="1" x14ac:dyDescent="0.35">
      <c r="A1578" s="98" t="s">
        <v>5283</v>
      </c>
      <c r="C1578" s="118">
        <v>43889</v>
      </c>
      <c r="D1578" s="318">
        <v>43914</v>
      </c>
      <c r="E1578" s="570"/>
      <c r="F1578" s="88" t="s">
        <v>5421</v>
      </c>
      <c r="G1578" s="88" t="s">
        <v>176</v>
      </c>
      <c r="H1578" s="98" t="s">
        <v>220</v>
      </c>
      <c r="I1578" s="98" t="s">
        <v>1004</v>
      </c>
      <c r="J1578" s="75">
        <f t="shared" si="138"/>
        <v>1</v>
      </c>
      <c r="K1578" s="76" t="s">
        <v>211</v>
      </c>
      <c r="N1578" s="78" t="s">
        <v>19</v>
      </c>
      <c r="Q1578" s="78" t="s">
        <v>2097</v>
      </c>
      <c r="R1578" s="75">
        <f t="shared" si="139"/>
        <v>1</v>
      </c>
      <c r="S1578" s="263" t="s">
        <v>1991</v>
      </c>
      <c r="T1578" s="263" t="s">
        <v>932</v>
      </c>
      <c r="U1578" s="263"/>
      <c r="V1578" s="263"/>
      <c r="W1578" s="263"/>
      <c r="X1578" s="263"/>
      <c r="Y1578" s="575"/>
      <c r="Z1578" s="575"/>
      <c r="AA1578" s="576">
        <f t="shared" si="137"/>
        <v>0</v>
      </c>
      <c r="AB1578" s="722"/>
    </row>
    <row r="1579" spans="1:28" ht="15" customHeight="1" x14ac:dyDescent="0.35">
      <c r="A1579" s="98" t="s">
        <v>5284</v>
      </c>
      <c r="C1579" s="118">
        <v>43889</v>
      </c>
      <c r="D1579" s="318">
        <v>43914</v>
      </c>
      <c r="E1579" s="570"/>
      <c r="F1579" s="88" t="s">
        <v>5422</v>
      </c>
      <c r="G1579" s="88" t="s">
        <v>149</v>
      </c>
      <c r="H1579" s="98" t="s">
        <v>220</v>
      </c>
      <c r="I1579" s="98" t="s">
        <v>3901</v>
      </c>
      <c r="J1579" s="75">
        <f t="shared" si="138"/>
        <v>1</v>
      </c>
      <c r="K1579" s="76" t="s">
        <v>211</v>
      </c>
      <c r="L1579" s="99" t="s">
        <v>3952</v>
      </c>
      <c r="N1579" s="78" t="s">
        <v>18</v>
      </c>
      <c r="Q1579" s="78" t="s">
        <v>2056</v>
      </c>
      <c r="R1579" s="75">
        <f t="shared" si="139"/>
        <v>1</v>
      </c>
      <c r="S1579" s="263" t="s">
        <v>1991</v>
      </c>
      <c r="T1579" s="263" t="s">
        <v>934</v>
      </c>
      <c r="U1579" s="263" t="s">
        <v>5592</v>
      </c>
      <c r="V1579" s="263" t="s">
        <v>5606</v>
      </c>
      <c r="W1579" s="263"/>
      <c r="X1579" s="263"/>
      <c r="Y1579" s="575"/>
      <c r="Z1579" s="575"/>
      <c r="AA1579" s="576">
        <f t="shared" si="137"/>
        <v>0</v>
      </c>
      <c r="AB1579" s="722"/>
    </row>
    <row r="1580" spans="1:28" ht="15" customHeight="1" x14ac:dyDescent="0.35">
      <c r="A1580" s="81" t="s">
        <v>5287</v>
      </c>
      <c r="C1580" s="118">
        <v>43889</v>
      </c>
      <c r="D1580" s="318">
        <v>43914</v>
      </c>
      <c r="E1580" s="570"/>
      <c r="F1580" s="88" t="s">
        <v>5425</v>
      </c>
      <c r="G1580" s="88" t="s">
        <v>154</v>
      </c>
      <c r="H1580" s="98" t="s">
        <v>220</v>
      </c>
      <c r="I1580" s="98" t="s">
        <v>5576</v>
      </c>
      <c r="J1580" s="75">
        <f t="shared" si="138"/>
        <v>1</v>
      </c>
      <c r="K1580" s="76" t="s">
        <v>211</v>
      </c>
      <c r="L1580" s="99" t="s">
        <v>5575</v>
      </c>
      <c r="N1580" s="78" t="s">
        <v>17</v>
      </c>
      <c r="Q1580" s="78" t="s">
        <v>5501</v>
      </c>
      <c r="R1580" s="75">
        <f t="shared" si="139"/>
        <v>1</v>
      </c>
      <c r="S1580" s="263" t="s">
        <v>1991</v>
      </c>
      <c r="T1580" s="263" t="s">
        <v>932</v>
      </c>
      <c r="U1580" s="263"/>
      <c r="V1580" s="263"/>
      <c r="W1580" s="263"/>
      <c r="X1580" s="263"/>
      <c r="Y1580" s="575"/>
      <c r="Z1580" s="575"/>
      <c r="AA1580" s="576">
        <f t="shared" si="137"/>
        <v>0</v>
      </c>
      <c r="AB1580" s="722"/>
    </row>
    <row r="1581" spans="1:28" ht="15" customHeight="1" x14ac:dyDescent="0.35">
      <c r="A1581" s="98" t="s">
        <v>5288</v>
      </c>
      <c r="C1581" s="118">
        <v>43892</v>
      </c>
      <c r="D1581" s="318">
        <v>43915</v>
      </c>
      <c r="E1581" s="570"/>
      <c r="F1581" s="88" t="s">
        <v>5426</v>
      </c>
      <c r="G1581" s="88" t="s">
        <v>177</v>
      </c>
      <c r="H1581" s="98" t="s">
        <v>220</v>
      </c>
      <c r="I1581" s="98" t="s">
        <v>1004</v>
      </c>
      <c r="J1581" s="75">
        <f t="shared" si="138"/>
        <v>1</v>
      </c>
      <c r="K1581" s="76" t="s">
        <v>211</v>
      </c>
      <c r="N1581" s="78" t="s">
        <v>19</v>
      </c>
      <c r="Q1581" s="78" t="s">
        <v>2163</v>
      </c>
      <c r="R1581" s="75">
        <f t="shared" si="139"/>
        <v>1</v>
      </c>
      <c r="S1581" s="263" t="s">
        <v>1991</v>
      </c>
      <c r="T1581" s="263" t="s">
        <v>932</v>
      </c>
      <c r="U1581" s="263"/>
      <c r="V1581" s="263"/>
      <c r="W1581" s="263"/>
      <c r="X1581" s="263"/>
      <c r="Y1581" s="575"/>
      <c r="Z1581" s="575"/>
      <c r="AA1581" s="576">
        <f t="shared" si="137"/>
        <v>0</v>
      </c>
      <c r="AB1581" s="722"/>
    </row>
    <row r="1582" spans="1:28" ht="15" customHeight="1" x14ac:dyDescent="0.35">
      <c r="A1582" s="81" t="s">
        <v>5289</v>
      </c>
      <c r="C1582" s="118">
        <v>43889</v>
      </c>
      <c r="D1582" s="118">
        <v>43914</v>
      </c>
      <c r="E1582" s="570"/>
      <c r="F1582" s="88" t="s">
        <v>5427</v>
      </c>
      <c r="G1582" s="88" t="s">
        <v>158</v>
      </c>
      <c r="H1582" s="98" t="s">
        <v>220</v>
      </c>
      <c r="J1582" s="75">
        <f t="shared" si="138"/>
        <v>1</v>
      </c>
      <c r="K1582" s="76" t="s">
        <v>221</v>
      </c>
      <c r="Q1582" s="78" t="s">
        <v>5501</v>
      </c>
      <c r="R1582" s="75">
        <f t="shared" si="139"/>
        <v>1</v>
      </c>
      <c r="S1582" s="263" t="s">
        <v>1991</v>
      </c>
      <c r="T1582" s="263"/>
      <c r="U1582" s="263"/>
      <c r="V1582" s="263"/>
      <c r="W1582" s="263"/>
      <c r="X1582" s="263"/>
      <c r="Y1582" s="575"/>
      <c r="Z1582" s="575"/>
      <c r="AA1582" s="576">
        <f t="shared" si="137"/>
        <v>0</v>
      </c>
      <c r="AB1582" s="722"/>
    </row>
    <row r="1583" spans="1:28" ht="15" customHeight="1" x14ac:dyDescent="0.35">
      <c r="A1583" s="98" t="s">
        <v>5290</v>
      </c>
      <c r="C1583" s="118">
        <v>43892</v>
      </c>
      <c r="D1583" s="318">
        <v>43914</v>
      </c>
      <c r="E1583" s="570"/>
      <c r="F1583" s="88" t="s">
        <v>5428</v>
      </c>
      <c r="G1583" s="88" t="s">
        <v>154</v>
      </c>
      <c r="H1583" s="98" t="s">
        <v>220</v>
      </c>
      <c r="I1583" s="98" t="s">
        <v>656</v>
      </c>
      <c r="J1583" s="75">
        <f t="shared" si="138"/>
        <v>1</v>
      </c>
      <c r="K1583" s="76" t="s">
        <v>211</v>
      </c>
      <c r="L1583" s="99" t="s">
        <v>5577</v>
      </c>
      <c r="N1583" s="78" t="s">
        <v>17</v>
      </c>
      <c r="Q1583" s="78" t="s">
        <v>2097</v>
      </c>
      <c r="R1583" s="75">
        <f t="shared" si="139"/>
        <v>1</v>
      </c>
      <c r="S1583" s="263" t="s">
        <v>1991</v>
      </c>
      <c r="T1583" s="263" t="s">
        <v>934</v>
      </c>
      <c r="U1583" s="263" t="s">
        <v>5592</v>
      </c>
      <c r="V1583" s="263" t="s">
        <v>5607</v>
      </c>
      <c r="W1583" s="263"/>
      <c r="X1583" s="263"/>
      <c r="Y1583" s="575"/>
      <c r="Z1583" s="575"/>
      <c r="AA1583" s="576">
        <f t="shared" si="137"/>
        <v>0</v>
      </c>
      <c r="AB1583" s="722"/>
    </row>
    <row r="1584" spans="1:28" ht="15" customHeight="1" x14ac:dyDescent="0.35">
      <c r="A1584" s="81" t="s">
        <v>5291</v>
      </c>
      <c r="C1584" s="118">
        <v>43892</v>
      </c>
      <c r="D1584" s="318">
        <v>43915</v>
      </c>
      <c r="E1584" s="570"/>
      <c r="F1584" s="88" t="s">
        <v>5429</v>
      </c>
      <c r="G1584" s="88" t="s">
        <v>162</v>
      </c>
      <c r="H1584" s="81" t="s">
        <v>275</v>
      </c>
      <c r="I1584" s="98" t="s">
        <v>5582</v>
      </c>
      <c r="J1584" s="75">
        <f t="shared" si="138"/>
        <v>1</v>
      </c>
      <c r="K1584" s="76" t="s">
        <v>211</v>
      </c>
      <c r="L1584" s="99" t="s">
        <v>4183</v>
      </c>
      <c r="N1584" s="78" t="s">
        <v>17</v>
      </c>
      <c r="Q1584" s="78" t="s">
        <v>5501</v>
      </c>
      <c r="R1584" s="75">
        <f t="shared" si="139"/>
        <v>1</v>
      </c>
      <c r="S1584" s="263" t="s">
        <v>1991</v>
      </c>
      <c r="T1584" s="263" t="s">
        <v>934</v>
      </c>
      <c r="U1584" s="263"/>
      <c r="V1584" s="263"/>
      <c r="W1584" s="263"/>
      <c r="X1584" s="263"/>
      <c r="Y1584" s="575"/>
      <c r="Z1584" s="575"/>
      <c r="AA1584" s="576">
        <f t="shared" si="137"/>
        <v>0</v>
      </c>
      <c r="AB1584" s="722"/>
    </row>
    <row r="1585" spans="1:28" ht="15" customHeight="1" x14ac:dyDescent="0.35">
      <c r="A1585" s="98" t="s">
        <v>5292</v>
      </c>
      <c r="C1585" s="118">
        <v>43892</v>
      </c>
      <c r="D1585" s="318">
        <v>43915</v>
      </c>
      <c r="E1585" s="570"/>
      <c r="F1585" s="88" t="s">
        <v>5430</v>
      </c>
      <c r="G1585" s="88" t="s">
        <v>154</v>
      </c>
      <c r="H1585" s="98" t="s">
        <v>220</v>
      </c>
      <c r="I1585" s="98" t="s">
        <v>656</v>
      </c>
      <c r="J1585" s="75">
        <f t="shared" si="138"/>
        <v>1</v>
      </c>
      <c r="K1585" s="76" t="s">
        <v>211</v>
      </c>
      <c r="N1585" s="78" t="s">
        <v>17</v>
      </c>
      <c r="Q1585" s="78" t="s">
        <v>2130</v>
      </c>
      <c r="R1585" s="75">
        <f t="shared" si="139"/>
        <v>1</v>
      </c>
      <c r="S1585" s="263" t="s">
        <v>1991</v>
      </c>
      <c r="T1585" s="263" t="s">
        <v>934</v>
      </c>
      <c r="U1585" s="263"/>
      <c r="V1585" s="263"/>
      <c r="W1585" s="263"/>
      <c r="X1585" s="263"/>
      <c r="Y1585" s="575"/>
      <c r="Z1585" s="575"/>
      <c r="AA1585" s="576">
        <f t="shared" si="137"/>
        <v>0</v>
      </c>
      <c r="AB1585" s="722"/>
    </row>
    <row r="1586" spans="1:28" ht="15" customHeight="1" x14ac:dyDescent="0.35">
      <c r="A1586" s="98" t="s">
        <v>5293</v>
      </c>
      <c r="C1586" s="118">
        <v>43892</v>
      </c>
      <c r="D1586" s="318">
        <v>43915</v>
      </c>
      <c r="E1586" s="570"/>
      <c r="F1586" s="88" t="s">
        <v>5431</v>
      </c>
      <c r="G1586" s="88" t="s">
        <v>160</v>
      </c>
      <c r="H1586" s="98" t="s">
        <v>220</v>
      </c>
      <c r="I1586" s="98" t="s">
        <v>2516</v>
      </c>
      <c r="J1586" s="75">
        <f t="shared" si="138"/>
        <v>1</v>
      </c>
      <c r="K1586" s="76" t="s">
        <v>211</v>
      </c>
      <c r="N1586" s="78" t="s">
        <v>17</v>
      </c>
      <c r="Q1586" s="78" t="s">
        <v>2097</v>
      </c>
      <c r="R1586" s="75">
        <f t="shared" si="139"/>
        <v>1</v>
      </c>
      <c r="S1586" s="263" t="s">
        <v>1991</v>
      </c>
      <c r="T1586" s="263" t="s">
        <v>933</v>
      </c>
      <c r="U1586" s="263"/>
      <c r="V1586" s="263"/>
      <c r="W1586" s="263"/>
      <c r="X1586" s="263"/>
      <c r="Y1586" s="575"/>
      <c r="Z1586" s="575"/>
      <c r="AA1586" s="576">
        <f t="shared" si="137"/>
        <v>0</v>
      </c>
      <c r="AB1586" s="722"/>
    </row>
    <row r="1587" spans="1:28" ht="15" customHeight="1" x14ac:dyDescent="0.35">
      <c r="A1587" s="81" t="s">
        <v>5295</v>
      </c>
      <c r="C1587" s="118">
        <v>43892</v>
      </c>
      <c r="D1587" s="118">
        <v>43915</v>
      </c>
      <c r="E1587" s="570"/>
      <c r="F1587" s="88" t="s">
        <v>5433</v>
      </c>
      <c r="G1587" s="88" t="s">
        <v>149</v>
      </c>
      <c r="H1587" s="98" t="s">
        <v>220</v>
      </c>
      <c r="J1587" s="75">
        <f t="shared" si="138"/>
        <v>1</v>
      </c>
      <c r="K1587" s="76" t="s">
        <v>221</v>
      </c>
      <c r="Q1587" s="78" t="s">
        <v>5501</v>
      </c>
      <c r="R1587" s="75">
        <f t="shared" si="139"/>
        <v>1</v>
      </c>
      <c r="S1587" s="263" t="s">
        <v>1991</v>
      </c>
      <c r="T1587" s="263"/>
      <c r="U1587" s="263"/>
      <c r="V1587" s="263"/>
      <c r="W1587" s="263"/>
      <c r="X1587" s="263"/>
      <c r="Y1587" s="575"/>
      <c r="Z1587" s="575"/>
      <c r="AA1587" s="576">
        <f t="shared" si="137"/>
        <v>0</v>
      </c>
      <c r="AB1587" s="722"/>
    </row>
    <row r="1588" spans="1:28" ht="15" customHeight="1" x14ac:dyDescent="0.35">
      <c r="A1588" s="81" t="s">
        <v>5300</v>
      </c>
      <c r="C1588" s="118">
        <v>43892</v>
      </c>
      <c r="D1588" s="318">
        <v>43915</v>
      </c>
      <c r="E1588" s="570"/>
      <c r="F1588" s="88" t="s">
        <v>2960</v>
      </c>
      <c r="G1588" s="88" t="s">
        <v>156</v>
      </c>
      <c r="H1588" s="98" t="s">
        <v>220</v>
      </c>
      <c r="I1588" s="98" t="s">
        <v>763</v>
      </c>
      <c r="J1588" s="75">
        <f t="shared" si="138"/>
        <v>1</v>
      </c>
      <c r="K1588" s="76" t="s">
        <v>211</v>
      </c>
      <c r="L1588" s="99" t="s">
        <v>5583</v>
      </c>
      <c r="N1588" s="78" t="s">
        <v>18</v>
      </c>
      <c r="Q1588" s="78" t="s">
        <v>5501</v>
      </c>
      <c r="R1588" s="75">
        <f t="shared" si="139"/>
        <v>1</v>
      </c>
      <c r="S1588" s="263" t="s">
        <v>1991</v>
      </c>
      <c r="T1588" s="263" t="s">
        <v>932</v>
      </c>
      <c r="U1588" s="263"/>
      <c r="V1588" s="263"/>
      <c r="W1588" s="263"/>
      <c r="X1588" s="263"/>
      <c r="Y1588" s="575"/>
      <c r="Z1588" s="575"/>
      <c r="AA1588" s="576">
        <f t="shared" ref="AA1588:AA1627" si="140">Z1588-Y1588</f>
        <v>0</v>
      </c>
      <c r="AB1588" s="722"/>
    </row>
    <row r="1589" spans="1:28" ht="15" customHeight="1" x14ac:dyDescent="0.35">
      <c r="A1589" s="81" t="s">
        <v>5302</v>
      </c>
      <c r="C1589" s="118">
        <v>43892</v>
      </c>
      <c r="D1589" s="118">
        <v>43914</v>
      </c>
      <c r="E1589" s="570"/>
      <c r="F1589" s="88" t="s">
        <v>5439</v>
      </c>
      <c r="G1589" s="88" t="s">
        <v>152</v>
      </c>
      <c r="H1589" s="98" t="s">
        <v>220</v>
      </c>
      <c r="J1589" s="75">
        <f t="shared" si="138"/>
        <v>1</v>
      </c>
      <c r="K1589" s="76" t="s">
        <v>221</v>
      </c>
      <c r="Q1589" s="78" t="s">
        <v>2163</v>
      </c>
      <c r="R1589" s="75">
        <f t="shared" si="139"/>
        <v>1</v>
      </c>
      <c r="S1589" s="263" t="s">
        <v>1991</v>
      </c>
      <c r="T1589" s="263"/>
      <c r="U1589" s="263"/>
      <c r="V1589" s="263"/>
      <c r="W1589" s="263"/>
      <c r="X1589" s="263"/>
      <c r="Y1589" s="575"/>
      <c r="Z1589" s="575"/>
      <c r="AA1589" s="576">
        <f t="shared" si="140"/>
        <v>0</v>
      </c>
      <c r="AB1589" s="722"/>
    </row>
    <row r="1590" spans="1:28" ht="15" customHeight="1" x14ac:dyDescent="0.35">
      <c r="A1590" s="81" t="s">
        <v>5303</v>
      </c>
      <c r="C1590" s="118">
        <v>43892</v>
      </c>
      <c r="D1590" s="118">
        <v>43915</v>
      </c>
      <c r="E1590" s="570"/>
      <c r="F1590" s="88" t="s">
        <v>5440</v>
      </c>
      <c r="G1590" s="88" t="s">
        <v>149</v>
      </c>
      <c r="H1590" s="98" t="s">
        <v>220</v>
      </c>
      <c r="J1590" s="75">
        <f t="shared" si="138"/>
        <v>1</v>
      </c>
      <c r="K1590" s="76" t="s">
        <v>221</v>
      </c>
      <c r="Q1590" s="78" t="s">
        <v>5501</v>
      </c>
      <c r="R1590" s="75">
        <f t="shared" si="139"/>
        <v>1</v>
      </c>
      <c r="S1590" s="263" t="s">
        <v>1991</v>
      </c>
      <c r="T1590" s="263"/>
      <c r="U1590" s="263"/>
      <c r="V1590" s="263"/>
      <c r="W1590" s="263"/>
      <c r="X1590" s="263"/>
      <c r="Y1590" s="575"/>
      <c r="Z1590" s="575"/>
      <c r="AA1590" s="576">
        <f t="shared" si="140"/>
        <v>0</v>
      </c>
      <c r="AB1590" s="722"/>
    </row>
    <row r="1591" spans="1:28" ht="15" customHeight="1" x14ac:dyDescent="0.35">
      <c r="A1591" s="81" t="s">
        <v>5306</v>
      </c>
      <c r="C1591" s="118">
        <v>43892</v>
      </c>
      <c r="D1591" s="318">
        <v>43915</v>
      </c>
      <c r="E1591" s="570"/>
      <c r="F1591" s="88" t="s">
        <v>5443</v>
      </c>
      <c r="G1591" s="88" t="s">
        <v>186</v>
      </c>
      <c r="H1591" s="98" t="s">
        <v>220</v>
      </c>
      <c r="I1591" s="98" t="s">
        <v>3553</v>
      </c>
      <c r="J1591" s="75">
        <f t="shared" si="138"/>
        <v>1</v>
      </c>
      <c r="K1591" s="76" t="s">
        <v>211</v>
      </c>
      <c r="N1591" s="78" t="s">
        <v>19</v>
      </c>
      <c r="Q1591" s="78" t="s">
        <v>2056</v>
      </c>
      <c r="R1591" s="75">
        <f t="shared" si="139"/>
        <v>1</v>
      </c>
      <c r="S1591" s="263" t="s">
        <v>1991</v>
      </c>
      <c r="T1591" s="263" t="s">
        <v>932</v>
      </c>
      <c r="U1591" s="263"/>
      <c r="V1591" s="263"/>
      <c r="W1591" s="263"/>
      <c r="X1591" s="263"/>
      <c r="Y1591" s="575"/>
      <c r="Z1591" s="575"/>
      <c r="AA1591" s="576">
        <f t="shared" si="140"/>
        <v>0</v>
      </c>
      <c r="AB1591" s="722"/>
    </row>
    <row r="1592" spans="1:28" ht="15" customHeight="1" x14ac:dyDescent="0.35">
      <c r="A1592" s="98" t="s">
        <v>5307</v>
      </c>
      <c r="C1592" s="118">
        <v>43892</v>
      </c>
      <c r="D1592" s="318">
        <v>43915</v>
      </c>
      <c r="E1592" s="570"/>
      <c r="F1592" s="88" t="s">
        <v>5444</v>
      </c>
      <c r="G1592" s="88" t="s">
        <v>154</v>
      </c>
      <c r="H1592" s="98" t="s">
        <v>220</v>
      </c>
      <c r="I1592" s="98" t="s">
        <v>730</v>
      </c>
      <c r="J1592" s="75">
        <f t="shared" si="138"/>
        <v>1</v>
      </c>
      <c r="K1592" s="76" t="s">
        <v>211</v>
      </c>
      <c r="N1592" s="78" t="s">
        <v>18</v>
      </c>
      <c r="Q1592" s="78" t="s">
        <v>2130</v>
      </c>
      <c r="R1592" s="75">
        <f t="shared" si="139"/>
        <v>1</v>
      </c>
      <c r="S1592" s="263" t="s">
        <v>1991</v>
      </c>
      <c r="T1592" s="263" t="s">
        <v>933</v>
      </c>
      <c r="U1592" s="263" t="s">
        <v>5592</v>
      </c>
      <c r="V1592" s="263" t="s">
        <v>5608</v>
      </c>
      <c r="W1592" s="263"/>
      <c r="X1592" s="263"/>
      <c r="Y1592" s="575"/>
      <c r="Z1592" s="575"/>
      <c r="AA1592" s="576">
        <f t="shared" si="140"/>
        <v>0</v>
      </c>
      <c r="AB1592" s="722"/>
    </row>
    <row r="1593" spans="1:28" ht="15" customHeight="1" x14ac:dyDescent="0.35">
      <c r="A1593" s="81" t="s">
        <v>5308</v>
      </c>
      <c r="C1593" s="118">
        <v>43892</v>
      </c>
      <c r="D1593" s="318">
        <v>43969</v>
      </c>
      <c r="E1593" s="570">
        <v>43929</v>
      </c>
      <c r="F1593" s="88" t="s">
        <v>5445</v>
      </c>
      <c r="G1593" s="88" t="s">
        <v>176</v>
      </c>
      <c r="H1593" s="98" t="s">
        <v>220</v>
      </c>
      <c r="I1593" s="98" t="s">
        <v>649</v>
      </c>
      <c r="J1593" s="75">
        <f t="shared" si="138"/>
        <v>1</v>
      </c>
      <c r="K1593" s="76" t="s">
        <v>211</v>
      </c>
      <c r="N1593" s="78" t="s">
        <v>18</v>
      </c>
      <c r="Q1593" s="78" t="s">
        <v>2056</v>
      </c>
      <c r="R1593" s="75">
        <f t="shared" si="139"/>
        <v>1</v>
      </c>
      <c r="S1593" s="263" t="s">
        <v>1991</v>
      </c>
      <c r="T1593" s="263" t="s">
        <v>932</v>
      </c>
      <c r="U1593" s="263"/>
      <c r="V1593" s="263"/>
      <c r="W1593" s="263"/>
      <c r="X1593" s="263"/>
      <c r="Y1593" s="575">
        <v>0.6118055555555556</v>
      </c>
      <c r="Z1593" s="575">
        <v>0.61805555555555558</v>
      </c>
      <c r="AA1593" s="576">
        <f t="shared" si="140"/>
        <v>6.2499999999999778E-3</v>
      </c>
      <c r="AB1593" s="722"/>
    </row>
    <row r="1594" spans="1:28" ht="15" customHeight="1" x14ac:dyDescent="0.35">
      <c r="A1594" s="81" t="s">
        <v>5309</v>
      </c>
      <c r="C1594" s="118">
        <v>43892</v>
      </c>
      <c r="D1594" s="118">
        <v>43915</v>
      </c>
      <c r="E1594" s="570"/>
      <c r="F1594" s="88" t="s">
        <v>5446</v>
      </c>
      <c r="G1594" s="88" t="s">
        <v>417</v>
      </c>
      <c r="H1594" s="98" t="s">
        <v>220</v>
      </c>
      <c r="J1594" s="75">
        <f t="shared" si="138"/>
        <v>1</v>
      </c>
      <c r="K1594" s="76" t="s">
        <v>221</v>
      </c>
      <c r="Q1594" s="78" t="s">
        <v>2163</v>
      </c>
      <c r="R1594" s="75">
        <f t="shared" si="139"/>
        <v>1</v>
      </c>
      <c r="S1594" s="263" t="s">
        <v>1991</v>
      </c>
      <c r="T1594" s="263"/>
      <c r="U1594" s="263"/>
      <c r="V1594" s="263"/>
      <c r="W1594" s="263"/>
      <c r="X1594" s="263"/>
      <c r="Y1594" s="575"/>
      <c r="Z1594" s="575"/>
      <c r="AA1594" s="576">
        <f t="shared" si="140"/>
        <v>0</v>
      </c>
      <c r="AB1594" s="722"/>
    </row>
    <row r="1595" spans="1:28" ht="15" customHeight="1" x14ac:dyDescent="0.35">
      <c r="A1595" s="98" t="s">
        <v>5311</v>
      </c>
      <c r="C1595" s="118">
        <v>43892</v>
      </c>
      <c r="D1595" s="318">
        <v>43914</v>
      </c>
      <c r="E1595" s="570"/>
      <c r="F1595" s="88" t="s">
        <v>5448</v>
      </c>
      <c r="G1595" s="88" t="s">
        <v>154</v>
      </c>
      <c r="H1595" s="98" t="s">
        <v>220</v>
      </c>
      <c r="I1595" s="98" t="s">
        <v>691</v>
      </c>
      <c r="J1595" s="75">
        <f t="shared" ref="J1595:J1623" si="141">IF(OR(K1595="Документы готовы",K1595="Запрос в ФО",K1595="ЭЗ",K1595="РЕШ",K1595="РЕШ шаблон"),0.1,IF(OR(K1595="ЭЗ согласование",K1595="РЕШ согласование"),0.3,IF(OR(K1595="ЭЗ согласовано",K1595="РЕШ согласовано",K1595="РЕШ подписано"),0.6,IF(OR(K1595="ЭЗ ПР согласование",K1595="РЕШ УВ согласование"),0.9,IF(OR(K1595="ЭЗ ПР DONE",K1595="РЕШ УВ DONE"),1,0)))))</f>
        <v>1</v>
      </c>
      <c r="K1595" s="76" t="s">
        <v>211</v>
      </c>
      <c r="N1595" s="78" t="s">
        <v>18</v>
      </c>
      <c r="Q1595" s="78" t="s">
        <v>2097</v>
      </c>
      <c r="R1595" s="75">
        <f t="shared" ref="R1595:R1622" si="142">IF(S1595="В работе",0.3,IF(S1595="Отписано",0.6,IF(S1595="На доработку",0.9,IF(S1595="Согласовано",1,0))))</f>
        <v>1</v>
      </c>
      <c r="S1595" s="263" t="s">
        <v>1991</v>
      </c>
      <c r="T1595" s="263" t="s">
        <v>933</v>
      </c>
      <c r="U1595" s="263"/>
      <c r="V1595" s="263"/>
      <c r="W1595" s="263"/>
      <c r="X1595" s="263"/>
      <c r="Y1595" s="575"/>
      <c r="Z1595" s="575"/>
      <c r="AA1595" s="576">
        <f t="shared" si="140"/>
        <v>0</v>
      </c>
      <c r="AB1595" s="722"/>
    </row>
    <row r="1596" spans="1:28" ht="15" customHeight="1" x14ac:dyDescent="0.35">
      <c r="A1596" s="98" t="s">
        <v>5312</v>
      </c>
      <c r="C1596" s="118">
        <v>43892</v>
      </c>
      <c r="D1596" s="318">
        <v>43915</v>
      </c>
      <c r="E1596" s="570"/>
      <c r="F1596" s="88" t="s">
        <v>5449</v>
      </c>
      <c r="G1596" s="88" t="s">
        <v>158</v>
      </c>
      <c r="H1596" s="98" t="s">
        <v>220</v>
      </c>
      <c r="I1596" s="98" t="s">
        <v>5579</v>
      </c>
      <c r="J1596" s="75">
        <f t="shared" si="141"/>
        <v>1</v>
      </c>
      <c r="K1596" s="76" t="s">
        <v>211</v>
      </c>
      <c r="N1596" s="78" t="s">
        <v>18</v>
      </c>
      <c r="Q1596" s="78" t="s">
        <v>2056</v>
      </c>
      <c r="R1596" s="75">
        <f t="shared" si="142"/>
        <v>1</v>
      </c>
      <c r="S1596" s="263" t="s">
        <v>1991</v>
      </c>
      <c r="T1596" s="263" t="s">
        <v>933</v>
      </c>
      <c r="U1596" s="263" t="s">
        <v>5592</v>
      </c>
      <c r="V1596" s="263" t="s">
        <v>5609</v>
      </c>
      <c r="W1596" s="263"/>
      <c r="X1596" s="263"/>
      <c r="Y1596" s="575"/>
      <c r="Z1596" s="575"/>
      <c r="AA1596" s="576">
        <f t="shared" si="140"/>
        <v>0</v>
      </c>
      <c r="AB1596" s="722"/>
    </row>
    <row r="1597" spans="1:28" ht="15" customHeight="1" x14ac:dyDescent="0.35">
      <c r="A1597" s="81" t="s">
        <v>5313</v>
      </c>
      <c r="C1597" s="118">
        <v>43892</v>
      </c>
      <c r="D1597" s="118">
        <v>43915</v>
      </c>
      <c r="E1597" s="570"/>
      <c r="F1597" s="88" t="s">
        <v>5450</v>
      </c>
      <c r="G1597" s="88" t="s">
        <v>162</v>
      </c>
      <c r="H1597" s="98" t="s">
        <v>220</v>
      </c>
      <c r="J1597" s="75">
        <f t="shared" si="141"/>
        <v>1</v>
      </c>
      <c r="K1597" s="76" t="s">
        <v>221</v>
      </c>
      <c r="Q1597" s="78" t="s">
        <v>2097</v>
      </c>
      <c r="R1597" s="75">
        <f t="shared" si="142"/>
        <v>1</v>
      </c>
      <c r="S1597" s="263" t="s">
        <v>1991</v>
      </c>
      <c r="T1597" s="263"/>
      <c r="U1597" s="263"/>
      <c r="V1597" s="263"/>
      <c r="W1597" s="263"/>
      <c r="X1597" s="263"/>
      <c r="Y1597" s="575"/>
      <c r="Z1597" s="575"/>
      <c r="AA1597" s="576">
        <f t="shared" si="140"/>
        <v>0</v>
      </c>
      <c r="AB1597" s="722"/>
    </row>
    <row r="1598" spans="1:28" ht="15" customHeight="1" x14ac:dyDescent="0.35">
      <c r="A1598" s="81" t="s">
        <v>5315</v>
      </c>
      <c r="C1598" s="118">
        <v>43892</v>
      </c>
      <c r="D1598" s="318">
        <v>43915</v>
      </c>
      <c r="E1598" s="570"/>
      <c r="F1598" s="88" t="s">
        <v>5452</v>
      </c>
      <c r="G1598" s="88" t="s">
        <v>176</v>
      </c>
      <c r="H1598" s="98" t="s">
        <v>220</v>
      </c>
      <c r="I1598" s="98" t="s">
        <v>2516</v>
      </c>
      <c r="J1598" s="75">
        <f t="shared" si="141"/>
        <v>1</v>
      </c>
      <c r="K1598" s="76" t="s">
        <v>211</v>
      </c>
      <c r="N1598" s="78" t="s">
        <v>17</v>
      </c>
      <c r="Q1598" s="78" t="s">
        <v>5501</v>
      </c>
      <c r="R1598" s="75">
        <f t="shared" si="142"/>
        <v>1</v>
      </c>
      <c r="S1598" s="263" t="s">
        <v>1991</v>
      </c>
      <c r="T1598" s="263" t="s">
        <v>933</v>
      </c>
      <c r="U1598" s="263"/>
      <c r="V1598" s="263"/>
      <c r="W1598" s="263"/>
      <c r="X1598" s="263"/>
      <c r="Y1598" s="575"/>
      <c r="Z1598" s="575"/>
      <c r="AA1598" s="576">
        <f t="shared" si="140"/>
        <v>0</v>
      </c>
      <c r="AB1598" s="722"/>
    </row>
    <row r="1599" spans="1:28" ht="15" customHeight="1" x14ac:dyDescent="0.35">
      <c r="A1599" s="81" t="s">
        <v>5316</v>
      </c>
      <c r="C1599" s="118">
        <v>43892</v>
      </c>
      <c r="D1599" s="318">
        <v>43915</v>
      </c>
      <c r="E1599" s="570"/>
      <c r="F1599" s="88" t="s">
        <v>5453</v>
      </c>
      <c r="G1599" s="88" t="s">
        <v>160</v>
      </c>
      <c r="H1599" s="98" t="s">
        <v>220</v>
      </c>
      <c r="I1599" s="98" t="s">
        <v>1004</v>
      </c>
      <c r="J1599" s="75">
        <f t="shared" si="141"/>
        <v>1</v>
      </c>
      <c r="K1599" s="76" t="s">
        <v>211</v>
      </c>
      <c r="N1599" s="78" t="s">
        <v>19</v>
      </c>
      <c r="Q1599" s="78" t="s">
        <v>5501</v>
      </c>
      <c r="R1599" s="75">
        <f t="shared" si="142"/>
        <v>1</v>
      </c>
      <c r="S1599" s="263" t="s">
        <v>1991</v>
      </c>
      <c r="T1599" s="263" t="s">
        <v>932</v>
      </c>
      <c r="U1599" s="263"/>
      <c r="V1599" s="263"/>
      <c r="W1599" s="263"/>
      <c r="X1599" s="263"/>
      <c r="Y1599" s="575"/>
      <c r="Z1599" s="575"/>
      <c r="AA1599" s="576">
        <f t="shared" si="140"/>
        <v>0</v>
      </c>
      <c r="AB1599" s="722"/>
    </row>
    <row r="1600" spans="1:28" ht="15" customHeight="1" x14ac:dyDescent="0.35">
      <c r="A1600" s="98" t="s">
        <v>5319</v>
      </c>
      <c r="C1600" s="118">
        <v>43892</v>
      </c>
      <c r="D1600" s="318">
        <v>43915</v>
      </c>
      <c r="E1600" s="570"/>
      <c r="F1600" s="88" t="s">
        <v>5456</v>
      </c>
      <c r="G1600" s="88" t="s">
        <v>162</v>
      </c>
      <c r="H1600" s="98" t="s">
        <v>220</v>
      </c>
      <c r="I1600" s="98" t="s">
        <v>2516</v>
      </c>
      <c r="J1600" s="75">
        <f t="shared" si="141"/>
        <v>1</v>
      </c>
      <c r="K1600" s="76" t="s">
        <v>211</v>
      </c>
      <c r="N1600" s="78" t="s">
        <v>17</v>
      </c>
      <c r="Q1600" s="78" t="s">
        <v>2097</v>
      </c>
      <c r="R1600" s="75">
        <f t="shared" si="142"/>
        <v>1</v>
      </c>
      <c r="S1600" s="263" t="s">
        <v>1991</v>
      </c>
      <c r="T1600" s="263" t="s">
        <v>932</v>
      </c>
      <c r="U1600" s="263"/>
      <c r="V1600" s="263"/>
      <c r="W1600" s="263"/>
      <c r="X1600" s="263"/>
      <c r="Y1600" s="575"/>
      <c r="Z1600" s="575"/>
      <c r="AA1600" s="576">
        <f t="shared" si="140"/>
        <v>0</v>
      </c>
      <c r="AB1600" s="722"/>
    </row>
    <row r="1601" spans="1:28" ht="15" customHeight="1" x14ac:dyDescent="0.35">
      <c r="A1601" s="81" t="s">
        <v>5321</v>
      </c>
      <c r="C1601" s="118">
        <v>43893</v>
      </c>
      <c r="D1601" s="118">
        <v>43916</v>
      </c>
      <c r="E1601" s="570"/>
      <c r="F1601" s="88" t="s">
        <v>5458</v>
      </c>
      <c r="G1601" s="88" t="s">
        <v>162</v>
      </c>
      <c r="H1601" s="98" t="s">
        <v>220</v>
      </c>
      <c r="J1601" s="75">
        <f t="shared" si="141"/>
        <v>1</v>
      </c>
      <c r="K1601" s="76" t="s">
        <v>221</v>
      </c>
      <c r="Q1601" s="78" t="s">
        <v>2130</v>
      </c>
      <c r="R1601" s="75">
        <f t="shared" si="142"/>
        <v>1</v>
      </c>
      <c r="S1601" s="263" t="s">
        <v>1991</v>
      </c>
      <c r="T1601" s="263"/>
      <c r="U1601" s="263"/>
      <c r="V1601" s="263"/>
      <c r="W1601" s="263"/>
      <c r="X1601" s="263"/>
      <c r="Y1601" s="575"/>
      <c r="Z1601" s="575"/>
      <c r="AA1601" s="576">
        <f t="shared" si="140"/>
        <v>0</v>
      </c>
      <c r="AB1601" s="722"/>
    </row>
    <row r="1602" spans="1:28" ht="15" customHeight="1" x14ac:dyDescent="0.35">
      <c r="A1602" s="81" t="s">
        <v>5323</v>
      </c>
      <c r="C1602" s="118">
        <v>43893</v>
      </c>
      <c r="D1602" s="118">
        <v>43916</v>
      </c>
      <c r="E1602" s="570"/>
      <c r="F1602" s="88" t="s">
        <v>5460</v>
      </c>
      <c r="G1602" s="88" t="s">
        <v>152</v>
      </c>
      <c r="H1602" s="98" t="s">
        <v>220</v>
      </c>
      <c r="J1602" s="75">
        <f t="shared" si="141"/>
        <v>1</v>
      </c>
      <c r="K1602" s="76" t="s">
        <v>221</v>
      </c>
      <c r="Q1602" s="78" t="s">
        <v>2056</v>
      </c>
      <c r="R1602" s="75">
        <f t="shared" si="142"/>
        <v>1</v>
      </c>
      <c r="S1602" s="263" t="s">
        <v>1991</v>
      </c>
      <c r="T1602" s="263"/>
      <c r="U1602" s="263"/>
      <c r="V1602" s="263"/>
      <c r="W1602" s="263"/>
      <c r="X1602" s="263"/>
      <c r="Y1602" s="575"/>
      <c r="Z1602" s="575"/>
      <c r="AA1602" s="576">
        <f t="shared" si="140"/>
        <v>0</v>
      </c>
      <c r="AB1602" s="722"/>
    </row>
    <row r="1603" spans="1:28" ht="15" customHeight="1" x14ac:dyDescent="0.35">
      <c r="A1603" s="81" t="s">
        <v>5327</v>
      </c>
      <c r="C1603" s="118">
        <v>43893</v>
      </c>
      <c r="D1603" s="118">
        <v>43916</v>
      </c>
      <c r="E1603" s="570"/>
      <c r="F1603" s="88" t="s">
        <v>5464</v>
      </c>
      <c r="G1603" s="88" t="s">
        <v>158</v>
      </c>
      <c r="H1603" s="98" t="s">
        <v>220</v>
      </c>
      <c r="J1603" s="75">
        <f t="shared" si="141"/>
        <v>1</v>
      </c>
      <c r="K1603" s="76" t="s">
        <v>211</v>
      </c>
      <c r="Q1603" s="78" t="s">
        <v>2056</v>
      </c>
      <c r="R1603" s="75">
        <f t="shared" si="142"/>
        <v>1</v>
      </c>
      <c r="S1603" s="263" t="s">
        <v>1991</v>
      </c>
      <c r="T1603" s="263"/>
      <c r="U1603" s="263" t="s">
        <v>5591</v>
      </c>
      <c r="V1603" s="263"/>
      <c r="W1603" s="263"/>
      <c r="X1603" s="263"/>
      <c r="Y1603" s="575"/>
      <c r="Z1603" s="575"/>
      <c r="AA1603" s="576">
        <f t="shared" si="140"/>
        <v>0</v>
      </c>
      <c r="AB1603" s="722"/>
    </row>
    <row r="1604" spans="1:28" ht="15" customHeight="1" x14ac:dyDescent="0.35">
      <c r="A1604" s="98" t="s">
        <v>5330</v>
      </c>
      <c r="C1604" s="118">
        <v>43893</v>
      </c>
      <c r="D1604" s="318">
        <v>43916</v>
      </c>
      <c r="E1604" s="570"/>
      <c r="F1604" s="88" t="s">
        <v>5467</v>
      </c>
      <c r="G1604" s="88" t="s">
        <v>154</v>
      </c>
      <c r="H1604" s="98" t="s">
        <v>220</v>
      </c>
      <c r="J1604" s="75">
        <f t="shared" si="141"/>
        <v>1</v>
      </c>
      <c r="K1604" s="76" t="s">
        <v>211</v>
      </c>
      <c r="Q1604" s="78" t="s">
        <v>2097</v>
      </c>
      <c r="R1604" s="75">
        <f t="shared" si="142"/>
        <v>1</v>
      </c>
      <c r="S1604" s="263" t="s">
        <v>1991</v>
      </c>
      <c r="T1604" s="263" t="s">
        <v>933</v>
      </c>
      <c r="U1604" s="263" t="s">
        <v>5592</v>
      </c>
      <c r="V1604" s="263" t="s">
        <v>5610</v>
      </c>
      <c r="W1604" s="263"/>
      <c r="X1604" s="263"/>
      <c r="Y1604" s="575"/>
      <c r="Z1604" s="575"/>
      <c r="AA1604" s="576">
        <f t="shared" si="140"/>
        <v>0</v>
      </c>
      <c r="AB1604" s="722"/>
    </row>
    <row r="1605" spans="1:28" ht="15" customHeight="1" x14ac:dyDescent="0.35">
      <c r="A1605" s="81" t="s">
        <v>5331</v>
      </c>
      <c r="C1605" s="118">
        <v>43893</v>
      </c>
      <c r="D1605" s="118">
        <v>43916</v>
      </c>
      <c r="E1605" s="570"/>
      <c r="F1605" s="88" t="s">
        <v>5468</v>
      </c>
      <c r="G1605" s="88" t="s">
        <v>162</v>
      </c>
      <c r="H1605" s="98" t="s">
        <v>220</v>
      </c>
      <c r="J1605" s="75">
        <f t="shared" si="141"/>
        <v>1</v>
      </c>
      <c r="K1605" s="76" t="s">
        <v>221</v>
      </c>
      <c r="Q1605" s="78" t="s">
        <v>2097</v>
      </c>
      <c r="R1605" s="75">
        <f t="shared" si="142"/>
        <v>1</v>
      </c>
      <c r="S1605" s="263" t="s">
        <v>1991</v>
      </c>
      <c r="T1605" s="263"/>
      <c r="U1605" s="263"/>
      <c r="V1605" s="263"/>
      <c r="W1605" s="263"/>
      <c r="X1605" s="263"/>
      <c r="Y1605" s="575"/>
      <c r="Z1605" s="575"/>
      <c r="AA1605" s="576">
        <f t="shared" si="140"/>
        <v>0</v>
      </c>
      <c r="AB1605" s="722"/>
    </row>
    <row r="1606" spans="1:28" ht="15" customHeight="1" x14ac:dyDescent="0.35">
      <c r="A1606" s="81" t="s">
        <v>5334</v>
      </c>
      <c r="C1606" s="118">
        <v>43893</v>
      </c>
      <c r="D1606" s="318">
        <v>43916</v>
      </c>
      <c r="E1606" s="570"/>
      <c r="F1606" s="88" t="s">
        <v>5471</v>
      </c>
      <c r="G1606" s="88" t="s">
        <v>154</v>
      </c>
      <c r="H1606" s="98" t="s">
        <v>220</v>
      </c>
      <c r="I1606" s="98" t="s">
        <v>5215</v>
      </c>
      <c r="J1606" s="75">
        <f t="shared" si="141"/>
        <v>1</v>
      </c>
      <c r="K1606" s="76" t="s">
        <v>211</v>
      </c>
      <c r="N1606" s="78" t="s">
        <v>19</v>
      </c>
      <c r="Q1606" s="78" t="s">
        <v>5501</v>
      </c>
      <c r="R1606" s="75">
        <f t="shared" si="142"/>
        <v>1</v>
      </c>
      <c r="S1606" s="263" t="s">
        <v>1991</v>
      </c>
      <c r="T1606" s="263" t="s">
        <v>934</v>
      </c>
      <c r="U1606" s="263"/>
      <c r="V1606" s="263"/>
      <c r="W1606" s="263"/>
      <c r="X1606" s="263"/>
      <c r="Y1606" s="575"/>
      <c r="Z1606" s="575"/>
      <c r="AA1606" s="576">
        <f t="shared" si="140"/>
        <v>0</v>
      </c>
      <c r="AB1606" s="722"/>
    </row>
    <row r="1607" spans="1:28" ht="15" customHeight="1" x14ac:dyDescent="0.35">
      <c r="A1607" s="81" t="s">
        <v>5336</v>
      </c>
      <c r="C1607" s="118">
        <v>43893</v>
      </c>
      <c r="D1607" s="118">
        <v>43916</v>
      </c>
      <c r="E1607" s="570"/>
      <c r="F1607" s="88" t="s">
        <v>5473</v>
      </c>
      <c r="G1607" s="88" t="s">
        <v>154</v>
      </c>
      <c r="H1607" s="98" t="s">
        <v>220</v>
      </c>
      <c r="J1607" s="75">
        <f t="shared" si="141"/>
        <v>1</v>
      </c>
      <c r="K1607" s="76" t="s">
        <v>221</v>
      </c>
      <c r="Q1607" s="78" t="s">
        <v>5501</v>
      </c>
      <c r="R1607" s="75">
        <f t="shared" si="142"/>
        <v>1</v>
      </c>
      <c r="S1607" s="263" t="s">
        <v>1991</v>
      </c>
      <c r="T1607" s="263"/>
      <c r="U1607" s="263"/>
      <c r="V1607" s="263"/>
      <c r="W1607" s="263"/>
      <c r="X1607" s="263"/>
      <c r="Y1607" s="575"/>
      <c r="Z1607" s="575"/>
      <c r="AA1607" s="576">
        <f t="shared" si="140"/>
        <v>0</v>
      </c>
      <c r="AB1607" s="722"/>
    </row>
    <row r="1608" spans="1:28" ht="15" customHeight="1" x14ac:dyDescent="0.35">
      <c r="A1608" s="81" t="s">
        <v>5337</v>
      </c>
      <c r="C1608" s="118">
        <v>43893</v>
      </c>
      <c r="D1608" s="118">
        <v>43916</v>
      </c>
      <c r="E1608" s="570"/>
      <c r="F1608" s="88" t="s">
        <v>5474</v>
      </c>
      <c r="G1608" s="88" t="s">
        <v>154</v>
      </c>
      <c r="H1608" s="98" t="s">
        <v>220</v>
      </c>
      <c r="J1608" s="75">
        <f t="shared" si="141"/>
        <v>1</v>
      </c>
      <c r="K1608" s="76" t="s">
        <v>221</v>
      </c>
      <c r="Q1608" s="78" t="s">
        <v>5501</v>
      </c>
      <c r="R1608" s="75">
        <f t="shared" si="142"/>
        <v>1</v>
      </c>
      <c r="S1608" s="263" t="s">
        <v>1991</v>
      </c>
      <c r="T1608" s="263"/>
      <c r="U1608" s="263"/>
      <c r="V1608" s="263"/>
      <c r="W1608" s="263"/>
      <c r="X1608" s="263"/>
      <c r="Y1608" s="575"/>
      <c r="Z1608" s="575"/>
      <c r="AA1608" s="576">
        <f t="shared" si="140"/>
        <v>0</v>
      </c>
      <c r="AB1608" s="722"/>
    </row>
    <row r="1609" spans="1:28" ht="15" customHeight="1" x14ac:dyDescent="0.35">
      <c r="A1609" s="98" t="s">
        <v>5338</v>
      </c>
      <c r="C1609" s="118">
        <v>43893</v>
      </c>
      <c r="D1609" s="318">
        <v>43916</v>
      </c>
      <c r="E1609" s="570"/>
      <c r="F1609" s="88" t="s">
        <v>5475</v>
      </c>
      <c r="G1609" s="88" t="s">
        <v>162</v>
      </c>
      <c r="H1609" s="98" t="s">
        <v>220</v>
      </c>
      <c r="I1609" s="452" t="s">
        <v>981</v>
      </c>
      <c r="J1609" s="75">
        <f t="shared" si="141"/>
        <v>1</v>
      </c>
      <c r="K1609" s="76" t="s">
        <v>211</v>
      </c>
      <c r="L1609" s="99" t="s">
        <v>5613</v>
      </c>
      <c r="N1609" s="78" t="s">
        <v>17</v>
      </c>
      <c r="Q1609" s="78" t="s">
        <v>2056</v>
      </c>
      <c r="R1609" s="75">
        <f t="shared" si="142"/>
        <v>1</v>
      </c>
      <c r="S1609" s="263" t="s">
        <v>1991</v>
      </c>
      <c r="T1609" s="263" t="s">
        <v>934</v>
      </c>
      <c r="U1609" s="263" t="s">
        <v>5592</v>
      </c>
      <c r="V1609" s="263" t="s">
        <v>5612</v>
      </c>
      <c r="W1609" s="263" t="s">
        <v>5616</v>
      </c>
      <c r="X1609" s="263"/>
      <c r="Y1609" s="575"/>
      <c r="Z1609" s="575"/>
      <c r="AA1609" s="576">
        <f t="shared" si="140"/>
        <v>0</v>
      </c>
      <c r="AB1609" s="722"/>
    </row>
    <row r="1610" spans="1:28" ht="15" customHeight="1" x14ac:dyDescent="0.35">
      <c r="A1610" s="81" t="s">
        <v>5339</v>
      </c>
      <c r="C1610" s="118">
        <v>43893</v>
      </c>
      <c r="D1610" s="118">
        <v>43916</v>
      </c>
      <c r="E1610" s="570"/>
      <c r="F1610" s="88" t="s">
        <v>5476</v>
      </c>
      <c r="G1610" s="88" t="s">
        <v>162</v>
      </c>
      <c r="H1610" s="98" t="s">
        <v>220</v>
      </c>
      <c r="J1610" s="75">
        <f t="shared" si="141"/>
        <v>1</v>
      </c>
      <c r="K1610" s="76" t="s">
        <v>221</v>
      </c>
      <c r="Q1610" s="78" t="s">
        <v>5501</v>
      </c>
      <c r="R1610" s="75">
        <f t="shared" si="142"/>
        <v>1</v>
      </c>
      <c r="S1610" s="263" t="s">
        <v>1991</v>
      </c>
      <c r="T1610" s="263"/>
      <c r="U1610" s="263"/>
      <c r="V1610" s="263"/>
      <c r="W1610" s="263"/>
      <c r="X1610" s="263"/>
      <c r="Y1610" s="575"/>
      <c r="Z1610" s="575"/>
      <c r="AA1610" s="576">
        <f t="shared" si="140"/>
        <v>0</v>
      </c>
      <c r="AB1610" s="722"/>
    </row>
    <row r="1611" spans="1:28" ht="15" customHeight="1" x14ac:dyDescent="0.35">
      <c r="A1611" s="98" t="s">
        <v>5341</v>
      </c>
      <c r="C1611" s="118">
        <v>43894</v>
      </c>
      <c r="D1611" s="318">
        <v>43917</v>
      </c>
      <c r="E1611" s="570"/>
      <c r="F1611" s="88" t="s">
        <v>5478</v>
      </c>
      <c r="G1611" s="88" t="s">
        <v>179</v>
      </c>
      <c r="H1611" s="98" t="s">
        <v>220</v>
      </c>
      <c r="I1611" s="98" t="s">
        <v>691</v>
      </c>
      <c r="J1611" s="75">
        <f t="shared" si="141"/>
        <v>1</v>
      </c>
      <c r="K1611" s="76" t="s">
        <v>211</v>
      </c>
      <c r="N1611" s="78" t="s">
        <v>17</v>
      </c>
      <c r="Q1611" s="78" t="s">
        <v>2163</v>
      </c>
      <c r="R1611" s="75">
        <f t="shared" si="142"/>
        <v>1</v>
      </c>
      <c r="S1611" s="263" t="s">
        <v>1991</v>
      </c>
      <c r="T1611" s="263" t="s">
        <v>934</v>
      </c>
      <c r="U1611" s="263"/>
      <c r="V1611" s="263"/>
      <c r="W1611" s="263"/>
      <c r="X1611" s="263"/>
      <c r="Y1611" s="575"/>
      <c r="Z1611" s="575"/>
      <c r="AA1611" s="576">
        <f t="shared" si="140"/>
        <v>0</v>
      </c>
      <c r="AB1611" s="722"/>
    </row>
    <row r="1612" spans="1:28" ht="15" customHeight="1" x14ac:dyDescent="0.35">
      <c r="A1612" s="81" t="s">
        <v>5342</v>
      </c>
      <c r="C1612" s="118">
        <v>43894</v>
      </c>
      <c r="D1612" s="118">
        <v>43917</v>
      </c>
      <c r="E1612" s="570"/>
      <c r="F1612" s="88" t="s">
        <v>5479</v>
      </c>
      <c r="G1612" s="88" t="s">
        <v>195</v>
      </c>
      <c r="H1612" s="98" t="s">
        <v>220</v>
      </c>
      <c r="J1612" s="75">
        <f t="shared" si="141"/>
        <v>1</v>
      </c>
      <c r="K1612" s="76" t="s">
        <v>221</v>
      </c>
      <c r="Q1612" s="78" t="s">
        <v>2130</v>
      </c>
      <c r="R1612" s="75">
        <f t="shared" si="142"/>
        <v>1</v>
      </c>
      <c r="S1612" s="263" t="s">
        <v>1991</v>
      </c>
      <c r="T1612" s="263"/>
      <c r="U1612" s="263"/>
      <c r="V1612" s="263"/>
      <c r="W1612" s="263"/>
      <c r="X1612" s="263"/>
      <c r="Y1612" s="575"/>
      <c r="Z1612" s="575"/>
      <c r="AA1612" s="576">
        <f t="shared" si="140"/>
        <v>0</v>
      </c>
      <c r="AB1612" s="722"/>
    </row>
    <row r="1613" spans="1:28" ht="15" customHeight="1" x14ac:dyDescent="0.35">
      <c r="A1613" s="81" t="s">
        <v>5343</v>
      </c>
      <c r="C1613" s="118">
        <v>43894</v>
      </c>
      <c r="D1613" s="118">
        <v>43917</v>
      </c>
      <c r="E1613" s="570"/>
      <c r="F1613" s="88" t="s">
        <v>5480</v>
      </c>
      <c r="G1613" s="88" t="s">
        <v>156</v>
      </c>
      <c r="H1613" s="98" t="s">
        <v>220</v>
      </c>
      <c r="J1613" s="75">
        <f t="shared" si="141"/>
        <v>1</v>
      </c>
      <c r="K1613" s="76" t="s">
        <v>221</v>
      </c>
      <c r="Q1613" s="78" t="s">
        <v>2097</v>
      </c>
      <c r="R1613" s="75">
        <f t="shared" si="142"/>
        <v>1</v>
      </c>
      <c r="S1613" s="263" t="s">
        <v>1991</v>
      </c>
      <c r="T1613" s="263"/>
      <c r="U1613" s="263"/>
      <c r="V1613" s="263"/>
      <c r="W1613" s="263"/>
      <c r="X1613" s="263"/>
      <c r="Y1613" s="575"/>
      <c r="Z1613" s="575"/>
      <c r="AA1613" s="576">
        <f t="shared" si="140"/>
        <v>0</v>
      </c>
      <c r="AB1613" s="722"/>
    </row>
    <row r="1614" spans="1:28" ht="15" customHeight="1" x14ac:dyDescent="0.35">
      <c r="A1614" s="81" t="s">
        <v>5346</v>
      </c>
      <c r="C1614" s="118">
        <v>43894</v>
      </c>
      <c r="D1614" s="118">
        <v>43916</v>
      </c>
      <c r="E1614" s="570"/>
      <c r="F1614" s="88" t="s">
        <v>5483</v>
      </c>
      <c r="G1614" s="88" t="s">
        <v>154</v>
      </c>
      <c r="H1614" s="98" t="s">
        <v>220</v>
      </c>
      <c r="I1614" s="98" t="s">
        <v>5589</v>
      </c>
      <c r="J1614" s="75">
        <f t="shared" si="141"/>
        <v>1</v>
      </c>
      <c r="K1614" s="76" t="s">
        <v>211</v>
      </c>
      <c r="N1614" s="78" t="s">
        <v>19</v>
      </c>
      <c r="Q1614" s="78" t="s">
        <v>2130</v>
      </c>
      <c r="R1614" s="75">
        <f t="shared" si="142"/>
        <v>1</v>
      </c>
      <c r="S1614" s="263" t="s">
        <v>1991</v>
      </c>
      <c r="T1614" s="263" t="s">
        <v>932</v>
      </c>
      <c r="U1614" s="263"/>
      <c r="V1614" s="263"/>
      <c r="W1614" s="263"/>
      <c r="X1614" s="263"/>
      <c r="Y1614" s="575"/>
      <c r="Z1614" s="575"/>
      <c r="AA1614" s="576">
        <f t="shared" si="140"/>
        <v>0</v>
      </c>
      <c r="AB1614" s="722"/>
    </row>
    <row r="1615" spans="1:28" ht="15" customHeight="1" x14ac:dyDescent="0.35">
      <c r="A1615" s="98" t="s">
        <v>5348</v>
      </c>
      <c r="C1615" s="118">
        <v>43894</v>
      </c>
      <c r="D1615" s="318">
        <v>43917</v>
      </c>
      <c r="E1615" s="570"/>
      <c r="F1615" s="88" t="s">
        <v>5485</v>
      </c>
      <c r="G1615" s="88" t="s">
        <v>152</v>
      </c>
      <c r="H1615" s="98" t="s">
        <v>220</v>
      </c>
      <c r="I1615" s="98" t="s">
        <v>730</v>
      </c>
      <c r="J1615" s="75">
        <f t="shared" si="141"/>
        <v>1</v>
      </c>
      <c r="K1615" s="76" t="s">
        <v>211</v>
      </c>
      <c r="N1615" s="78" t="s">
        <v>18</v>
      </c>
      <c r="Q1615" s="78" t="s">
        <v>2163</v>
      </c>
      <c r="R1615" s="75">
        <f t="shared" si="142"/>
        <v>1</v>
      </c>
      <c r="S1615" s="263" t="s">
        <v>1991</v>
      </c>
      <c r="T1615" s="263" t="s">
        <v>932</v>
      </c>
      <c r="U1615" s="263"/>
      <c r="V1615" s="263"/>
      <c r="W1615" s="263"/>
      <c r="X1615" s="263"/>
      <c r="Y1615" s="575"/>
      <c r="Z1615" s="575"/>
      <c r="AA1615" s="576">
        <f t="shared" si="140"/>
        <v>0</v>
      </c>
      <c r="AB1615" s="722"/>
    </row>
    <row r="1616" spans="1:28" ht="15" customHeight="1" x14ac:dyDescent="0.35">
      <c r="A1616" s="81" t="s">
        <v>5349</v>
      </c>
      <c r="C1616" s="118">
        <v>43894</v>
      </c>
      <c r="D1616" s="118">
        <v>43916</v>
      </c>
      <c r="E1616" s="570"/>
      <c r="F1616" s="88" t="s">
        <v>5486</v>
      </c>
      <c r="G1616" s="88" t="s">
        <v>195</v>
      </c>
      <c r="H1616" s="98" t="s">
        <v>220</v>
      </c>
      <c r="J1616" s="75">
        <f t="shared" si="141"/>
        <v>1</v>
      </c>
      <c r="K1616" s="76" t="s">
        <v>221</v>
      </c>
      <c r="Q1616" s="78" t="s">
        <v>2163</v>
      </c>
      <c r="R1616" s="75">
        <f t="shared" si="142"/>
        <v>1</v>
      </c>
      <c r="S1616" s="263" t="s">
        <v>1991</v>
      </c>
      <c r="T1616" s="263"/>
      <c r="U1616" s="263"/>
      <c r="V1616" s="263"/>
      <c r="W1616" s="263"/>
      <c r="X1616" s="263"/>
      <c r="Y1616" s="575"/>
      <c r="Z1616" s="575"/>
      <c r="AA1616" s="576">
        <f t="shared" si="140"/>
        <v>0</v>
      </c>
      <c r="AB1616" s="722"/>
    </row>
    <row r="1617" spans="1:28" ht="15" customHeight="1" x14ac:dyDescent="0.35">
      <c r="A1617" s="98" t="s">
        <v>5350</v>
      </c>
      <c r="C1617" s="118">
        <v>43894</v>
      </c>
      <c r="D1617" s="318">
        <v>43917</v>
      </c>
      <c r="E1617" s="570"/>
      <c r="F1617" s="88" t="s">
        <v>5487</v>
      </c>
      <c r="G1617" s="88" t="s">
        <v>172</v>
      </c>
      <c r="H1617" s="81" t="s">
        <v>275</v>
      </c>
      <c r="I1617" s="98" t="s">
        <v>6485</v>
      </c>
      <c r="J1617" s="75">
        <f t="shared" si="141"/>
        <v>1</v>
      </c>
      <c r="K1617" s="76" t="s">
        <v>211</v>
      </c>
      <c r="L1617" s="99" t="s">
        <v>6488</v>
      </c>
      <c r="N1617" s="78" t="s">
        <v>19</v>
      </c>
      <c r="Q1617" s="78" t="s">
        <v>2163</v>
      </c>
      <c r="R1617" s="75">
        <f t="shared" si="142"/>
        <v>1</v>
      </c>
      <c r="S1617" s="263" t="s">
        <v>1991</v>
      </c>
      <c r="T1617" s="263" t="s">
        <v>933</v>
      </c>
      <c r="U1617" s="263"/>
      <c r="V1617" s="263"/>
      <c r="W1617" s="263"/>
      <c r="X1617" s="263"/>
      <c r="Y1617" s="575"/>
      <c r="Z1617" s="575"/>
      <c r="AA1617" s="576">
        <f t="shared" si="140"/>
        <v>0</v>
      </c>
      <c r="AB1617" s="722"/>
    </row>
    <row r="1618" spans="1:28" ht="15" customHeight="1" x14ac:dyDescent="0.35">
      <c r="A1618" s="98" t="s">
        <v>5351</v>
      </c>
      <c r="C1618" s="118">
        <v>43894</v>
      </c>
      <c r="D1618" s="318">
        <v>43917</v>
      </c>
      <c r="E1618" s="570"/>
      <c r="F1618" s="88" t="s">
        <v>5488</v>
      </c>
      <c r="G1618" s="88" t="s">
        <v>154</v>
      </c>
      <c r="H1618" s="98" t="s">
        <v>220</v>
      </c>
      <c r="I1618" s="98" t="s">
        <v>2904</v>
      </c>
      <c r="J1618" s="75">
        <f t="shared" si="141"/>
        <v>1</v>
      </c>
      <c r="K1618" s="76" t="s">
        <v>211</v>
      </c>
      <c r="N1618" s="78" t="s">
        <v>18</v>
      </c>
      <c r="Q1618" s="78" t="s">
        <v>2056</v>
      </c>
      <c r="R1618" s="75">
        <f t="shared" si="142"/>
        <v>1</v>
      </c>
      <c r="S1618" s="263" t="s">
        <v>1991</v>
      </c>
      <c r="T1618" s="263" t="s">
        <v>932</v>
      </c>
      <c r="U1618" s="263"/>
      <c r="V1618" s="263"/>
      <c r="W1618" s="263"/>
      <c r="X1618" s="263"/>
      <c r="Y1618" s="575"/>
      <c r="Z1618" s="575"/>
      <c r="AA1618" s="576">
        <f t="shared" si="140"/>
        <v>0</v>
      </c>
      <c r="AB1618" s="722"/>
    </row>
    <row r="1619" spans="1:28" ht="15" customHeight="1" x14ac:dyDescent="0.35">
      <c r="A1619" s="81" t="s">
        <v>5352</v>
      </c>
      <c r="C1619" s="118">
        <v>43894</v>
      </c>
      <c r="D1619" s="118">
        <v>43917</v>
      </c>
      <c r="E1619" s="570"/>
      <c r="F1619" s="88" t="s">
        <v>5489</v>
      </c>
      <c r="G1619" s="88" t="s">
        <v>149</v>
      </c>
      <c r="H1619" s="98" t="s">
        <v>220</v>
      </c>
      <c r="J1619" s="75">
        <f t="shared" si="141"/>
        <v>1</v>
      </c>
      <c r="K1619" s="76" t="s">
        <v>221</v>
      </c>
      <c r="Q1619" s="78" t="s">
        <v>5501</v>
      </c>
      <c r="R1619" s="75">
        <f t="shared" si="142"/>
        <v>1</v>
      </c>
      <c r="S1619" s="263" t="s">
        <v>1991</v>
      </c>
      <c r="T1619" s="263"/>
      <c r="U1619" s="263"/>
      <c r="V1619" s="263"/>
      <c r="W1619" s="263"/>
      <c r="X1619" s="263"/>
      <c r="Y1619" s="575"/>
      <c r="Z1619" s="575"/>
      <c r="AA1619" s="576">
        <f t="shared" si="140"/>
        <v>0</v>
      </c>
      <c r="AB1619" s="722"/>
    </row>
    <row r="1620" spans="1:28" ht="15" customHeight="1" x14ac:dyDescent="0.35">
      <c r="A1620" s="98" t="s">
        <v>5353</v>
      </c>
      <c r="C1620" s="118">
        <v>43894</v>
      </c>
      <c r="D1620" s="318">
        <v>43916</v>
      </c>
      <c r="E1620" s="570"/>
      <c r="F1620" s="88" t="s">
        <v>5490</v>
      </c>
      <c r="G1620" s="88" t="s">
        <v>154</v>
      </c>
      <c r="H1620" s="98" t="s">
        <v>220</v>
      </c>
      <c r="I1620" s="98" t="s">
        <v>690</v>
      </c>
      <c r="J1620" s="75">
        <f t="shared" si="141"/>
        <v>1</v>
      </c>
      <c r="K1620" s="76" t="s">
        <v>211</v>
      </c>
      <c r="N1620" s="78" t="s">
        <v>19</v>
      </c>
      <c r="Q1620" s="78" t="s">
        <v>2163</v>
      </c>
      <c r="R1620" s="75">
        <f t="shared" si="142"/>
        <v>1</v>
      </c>
      <c r="S1620" s="263" t="s">
        <v>1991</v>
      </c>
      <c r="T1620" s="263" t="s">
        <v>932</v>
      </c>
      <c r="U1620" s="263"/>
      <c r="V1620" s="263"/>
      <c r="W1620" s="263"/>
      <c r="X1620" s="263"/>
      <c r="Y1620" s="575"/>
      <c r="Z1620" s="575"/>
      <c r="AA1620" s="576">
        <f t="shared" si="140"/>
        <v>0</v>
      </c>
      <c r="AB1620" s="722"/>
    </row>
    <row r="1621" spans="1:28" ht="15" customHeight="1" x14ac:dyDescent="0.35">
      <c r="A1621" s="81" t="s">
        <v>5354</v>
      </c>
      <c r="C1621" s="118">
        <v>43894</v>
      </c>
      <c r="D1621" s="118">
        <v>43917</v>
      </c>
      <c r="E1621" s="570"/>
      <c r="F1621" s="88" t="s">
        <v>5491</v>
      </c>
      <c r="G1621" s="88" t="s">
        <v>162</v>
      </c>
      <c r="H1621" s="98" t="s">
        <v>220</v>
      </c>
      <c r="J1621" s="75">
        <f t="shared" si="141"/>
        <v>1</v>
      </c>
      <c r="K1621" s="76" t="s">
        <v>221</v>
      </c>
      <c r="Q1621" s="78" t="s">
        <v>5501</v>
      </c>
      <c r="R1621" s="75">
        <f t="shared" si="142"/>
        <v>1</v>
      </c>
      <c r="S1621" s="263" t="s">
        <v>1991</v>
      </c>
      <c r="T1621" s="263"/>
      <c r="U1621" s="263"/>
      <c r="V1621" s="263"/>
      <c r="W1621" s="263"/>
      <c r="X1621" s="263"/>
      <c r="Y1621" s="575"/>
      <c r="Z1621" s="575"/>
      <c r="AA1621" s="576">
        <f t="shared" si="140"/>
        <v>0</v>
      </c>
      <c r="AB1621" s="722"/>
    </row>
    <row r="1622" spans="1:28" ht="15" customHeight="1" x14ac:dyDescent="0.35">
      <c r="A1622" s="98" t="s">
        <v>5356</v>
      </c>
      <c r="C1622" s="118">
        <v>43894</v>
      </c>
      <c r="D1622" s="318">
        <v>43917</v>
      </c>
      <c r="E1622" s="570"/>
      <c r="F1622" s="88" t="s">
        <v>5493</v>
      </c>
      <c r="G1622" s="88" t="s">
        <v>156</v>
      </c>
      <c r="H1622" s="98" t="s">
        <v>220</v>
      </c>
      <c r="I1622" s="98" t="s">
        <v>1920</v>
      </c>
      <c r="J1622" s="75">
        <f t="shared" si="141"/>
        <v>1</v>
      </c>
      <c r="K1622" s="76" t="s">
        <v>211</v>
      </c>
      <c r="N1622" s="78" t="s">
        <v>19</v>
      </c>
      <c r="Q1622" s="78" t="s">
        <v>2056</v>
      </c>
      <c r="R1622" s="75">
        <f t="shared" si="142"/>
        <v>1</v>
      </c>
      <c r="S1622" s="263" t="s">
        <v>1991</v>
      </c>
      <c r="T1622" s="263" t="s">
        <v>932</v>
      </c>
      <c r="U1622" s="263"/>
      <c r="V1622" s="263"/>
      <c r="W1622" s="263"/>
      <c r="X1622" s="263"/>
      <c r="Y1622" s="575"/>
      <c r="Z1622" s="575"/>
      <c r="AA1622" s="576">
        <f t="shared" si="140"/>
        <v>0</v>
      </c>
      <c r="AB1622" s="722"/>
    </row>
    <row r="1623" spans="1:28" ht="15" customHeight="1" x14ac:dyDescent="0.35">
      <c r="A1623" s="81" t="s">
        <v>5358</v>
      </c>
      <c r="C1623" s="118">
        <v>43895</v>
      </c>
      <c r="D1623" s="118">
        <v>43917</v>
      </c>
      <c r="E1623" s="570"/>
      <c r="F1623" s="88" t="s">
        <v>5495</v>
      </c>
      <c r="G1623" s="88" t="s">
        <v>152</v>
      </c>
      <c r="H1623" s="98" t="s">
        <v>220</v>
      </c>
      <c r="J1623" s="75">
        <f t="shared" si="141"/>
        <v>1</v>
      </c>
      <c r="K1623" s="76" t="s">
        <v>221</v>
      </c>
      <c r="Q1623" s="78" t="s">
        <v>5501</v>
      </c>
      <c r="R1623" s="75">
        <f t="shared" ref="R1623" si="143">IF(S1623="В работе",0.3,IF(S1623="Отписано",0.6,IF(S1623="На доработку",0.9,IF(S1623="Согласовано",1,0))))</f>
        <v>1</v>
      </c>
      <c r="S1623" s="263" t="s">
        <v>1991</v>
      </c>
      <c r="T1623" s="263"/>
      <c r="U1623" s="263"/>
      <c r="V1623" s="263"/>
      <c r="W1623" s="263"/>
      <c r="X1623" s="263"/>
      <c r="Y1623" s="575"/>
      <c r="Z1623" s="575"/>
      <c r="AA1623" s="576">
        <f t="shared" si="140"/>
        <v>0</v>
      </c>
      <c r="AB1623" s="722"/>
    </row>
    <row r="1624" spans="1:28" x14ac:dyDescent="0.35">
      <c r="A1624" s="81" t="s">
        <v>5359</v>
      </c>
      <c r="C1624" s="118">
        <v>43895</v>
      </c>
      <c r="D1624" s="318">
        <v>43917</v>
      </c>
      <c r="E1624" s="570"/>
      <c r="F1624" s="88" t="s">
        <v>5496</v>
      </c>
      <c r="G1624" s="88" t="s">
        <v>5497</v>
      </c>
      <c r="H1624" s="98" t="s">
        <v>220</v>
      </c>
      <c r="J1624" s="75">
        <f t="shared" ref="J1624:J1626" si="144">IF(OR(K1624="Документы готовы",K1624="Запрос в ФО",K1624="ЭЗ",K1624="РЕШ",K1624="РЕШ шаблон"),0.1,IF(OR(K1624="ЭЗ согласование",K1624="РЕШ согласование"),0.3,IF(OR(K1624="ЭЗ согласовано",K1624="РЕШ согласовано",K1624="РЕШ подписано"),0.6,IF(OR(K1624="ЭЗ ПР согласование",K1624="РЕШ УВ согласование"),0.9,IF(OR(K1624="ЭЗ ПР DONE",K1624="РЕШ УВ DONE"),1,0)))))</f>
        <v>1</v>
      </c>
      <c r="K1624" s="76" t="s">
        <v>221</v>
      </c>
      <c r="Q1624" s="78" t="s">
        <v>5501</v>
      </c>
      <c r="R1624" s="75">
        <f t="shared" ref="R1624:R1626" si="145">IF(S1624="В работе",0.3,IF(S1624="Отписано",0.6,IF(S1624="На доработку",0.9,IF(S1624="Согласовано",1,0))))</f>
        <v>1</v>
      </c>
      <c r="S1624" s="263" t="s">
        <v>1991</v>
      </c>
      <c r="T1624" s="263"/>
      <c r="AA1624" s="576">
        <f t="shared" si="140"/>
        <v>0</v>
      </c>
      <c r="AB1624" s="722"/>
    </row>
    <row r="1625" spans="1:28" x14ac:dyDescent="0.35">
      <c r="A1625" s="81" t="s">
        <v>5362</v>
      </c>
      <c r="C1625" s="118">
        <v>43895</v>
      </c>
      <c r="D1625" s="118">
        <v>43917</v>
      </c>
      <c r="E1625" s="570"/>
      <c r="F1625" s="255" t="s">
        <v>5500</v>
      </c>
      <c r="G1625" s="88" t="s">
        <v>156</v>
      </c>
      <c r="H1625" s="98" t="s">
        <v>220</v>
      </c>
      <c r="J1625" s="75">
        <f t="shared" si="144"/>
        <v>1</v>
      </c>
      <c r="K1625" s="76" t="s">
        <v>221</v>
      </c>
      <c r="Q1625" s="78" t="s">
        <v>5501</v>
      </c>
      <c r="R1625" s="75">
        <f t="shared" si="145"/>
        <v>1</v>
      </c>
      <c r="S1625" s="263" t="s">
        <v>1991</v>
      </c>
      <c r="T1625" s="263"/>
      <c r="AA1625" s="576">
        <f t="shared" si="140"/>
        <v>0</v>
      </c>
      <c r="AB1625" s="722"/>
    </row>
    <row r="1626" spans="1:28" x14ac:dyDescent="0.35">
      <c r="A1626" s="98" t="s">
        <v>4588</v>
      </c>
      <c r="C1626" s="118">
        <v>43867</v>
      </c>
      <c r="D1626" s="318">
        <v>43928</v>
      </c>
      <c r="E1626" s="570"/>
      <c r="F1626" s="255" t="s">
        <v>4683</v>
      </c>
      <c r="G1626" s="88" t="s">
        <v>158</v>
      </c>
      <c r="H1626" s="98" t="s">
        <v>220</v>
      </c>
      <c r="I1626" s="98" t="s">
        <v>649</v>
      </c>
      <c r="J1626" s="75">
        <f t="shared" si="144"/>
        <v>1</v>
      </c>
      <c r="K1626" s="76" t="s">
        <v>211</v>
      </c>
      <c r="N1626" s="78" t="s">
        <v>18</v>
      </c>
      <c r="Q1626" s="78" t="s">
        <v>2097</v>
      </c>
      <c r="R1626" s="75">
        <f t="shared" si="145"/>
        <v>1</v>
      </c>
      <c r="S1626" s="263" t="s">
        <v>1991</v>
      </c>
      <c r="T1626" s="263" t="s">
        <v>934</v>
      </c>
      <c r="AA1626" s="576">
        <f t="shared" si="140"/>
        <v>0</v>
      </c>
      <c r="AB1626" s="722"/>
    </row>
    <row r="1627" spans="1:28" x14ac:dyDescent="0.35">
      <c r="A1627" s="81" t="s">
        <v>5628</v>
      </c>
      <c r="C1627" s="118">
        <v>43867</v>
      </c>
      <c r="D1627" s="318">
        <v>43928</v>
      </c>
      <c r="E1627" s="570"/>
      <c r="F1627" s="88" t="s">
        <v>5779</v>
      </c>
      <c r="G1627" s="88" t="s">
        <v>160</v>
      </c>
      <c r="H1627" s="98" t="s">
        <v>220</v>
      </c>
      <c r="I1627" s="98" t="s">
        <v>6035</v>
      </c>
      <c r="J1627" s="75">
        <f t="shared" ref="J1627:J1669" si="146">IF(OR(K1627="Документы готовы",K1627="Запрос в ФО",K1627="ЭЗ",K1627="РЕШ",K1627="РЕШ шаблон"),0.1,IF(OR(K1627="ЭЗ согласование",K1627="РЕШ согласование"),0.3,IF(OR(K1627="ЭЗ согласовано",K1627="РЕШ согласовано",K1627="РЕШ подписано"),0.6,IF(OR(K1627="ЭЗ ПР согласование",K1627="РЕШ УВ согласование"),0.9,IF(OR(K1627="ЭЗ ПР DONE",K1627="РЕШ УВ DONE"),1,0)))))</f>
        <v>1</v>
      </c>
      <c r="K1627" s="76" t="s">
        <v>211</v>
      </c>
      <c r="N1627" s="78" t="s">
        <v>19</v>
      </c>
      <c r="Q1627" s="304" t="s">
        <v>2447</v>
      </c>
      <c r="R1627" s="75">
        <f t="shared" ref="R1627:R1669" si="147">IF(S1627="В работе",0.3,IF(S1627="Отписано",0.6,IF(S1627="На доработку",0.9,IF(S1627="Согласовано",1,0))))</f>
        <v>1</v>
      </c>
      <c r="S1627" s="263" t="s">
        <v>1991</v>
      </c>
      <c r="T1627" s="263" t="s">
        <v>932</v>
      </c>
      <c r="U1627" s="78" t="s">
        <v>5592</v>
      </c>
      <c r="V1627" s="78" t="s">
        <v>6034</v>
      </c>
      <c r="AA1627" s="576">
        <f t="shared" si="140"/>
        <v>0</v>
      </c>
      <c r="AB1627" s="722"/>
    </row>
    <row r="1628" spans="1:28" x14ac:dyDescent="0.35">
      <c r="A1628" s="98" t="s">
        <v>5629</v>
      </c>
      <c r="C1628" s="118">
        <v>43868</v>
      </c>
      <c r="D1628" s="318">
        <v>43929</v>
      </c>
      <c r="E1628" s="570"/>
      <c r="F1628" s="88" t="s">
        <v>5780</v>
      </c>
      <c r="G1628" s="88" t="s">
        <v>181</v>
      </c>
      <c r="H1628" s="81" t="s">
        <v>275</v>
      </c>
      <c r="I1628" s="98" t="s">
        <v>730</v>
      </c>
      <c r="J1628" s="75">
        <f t="shared" si="146"/>
        <v>1</v>
      </c>
      <c r="K1628" s="76" t="s">
        <v>211</v>
      </c>
      <c r="L1628" s="99" t="s">
        <v>6070</v>
      </c>
      <c r="N1628" s="78" t="s">
        <v>17</v>
      </c>
      <c r="Q1628" s="78" t="s">
        <v>2163</v>
      </c>
      <c r="R1628" s="75">
        <f t="shared" si="147"/>
        <v>1</v>
      </c>
      <c r="S1628" s="263" t="s">
        <v>1991</v>
      </c>
      <c r="T1628" s="263" t="s">
        <v>932</v>
      </c>
      <c r="AA1628" s="576">
        <f t="shared" ref="AA1628:AA1690" si="148">Z1628-Y1628</f>
        <v>0</v>
      </c>
      <c r="AB1628" s="722"/>
    </row>
    <row r="1629" spans="1:28" x14ac:dyDescent="0.35">
      <c r="A1629" s="98" t="s">
        <v>4600</v>
      </c>
      <c r="C1629" s="118">
        <v>43868</v>
      </c>
      <c r="D1629" s="318">
        <v>43929</v>
      </c>
      <c r="E1629" s="570"/>
      <c r="F1629" s="88" t="s">
        <v>4695</v>
      </c>
      <c r="G1629" s="88" t="s">
        <v>162</v>
      </c>
      <c r="H1629" s="98" t="s">
        <v>220</v>
      </c>
      <c r="I1629" s="98" t="s">
        <v>649</v>
      </c>
      <c r="J1629" s="75">
        <f t="shared" si="146"/>
        <v>1</v>
      </c>
      <c r="K1629" s="76" t="s">
        <v>211</v>
      </c>
      <c r="N1629" s="78" t="s">
        <v>17</v>
      </c>
      <c r="Q1629" s="78" t="s">
        <v>2056</v>
      </c>
      <c r="R1629" s="75">
        <f t="shared" si="147"/>
        <v>1</v>
      </c>
      <c r="S1629" s="263" t="s">
        <v>1991</v>
      </c>
      <c r="T1629" s="263" t="s">
        <v>933</v>
      </c>
      <c r="AA1629" s="576">
        <f t="shared" si="148"/>
        <v>0</v>
      </c>
      <c r="AB1629" s="722"/>
    </row>
    <row r="1630" spans="1:28" x14ac:dyDescent="0.35">
      <c r="A1630" s="98" t="s">
        <v>4985</v>
      </c>
      <c r="C1630" s="118">
        <v>43880</v>
      </c>
      <c r="D1630" s="318">
        <v>43927</v>
      </c>
      <c r="E1630" s="570"/>
      <c r="F1630" s="88" t="s">
        <v>5072</v>
      </c>
      <c r="G1630" s="88" t="s">
        <v>162</v>
      </c>
      <c r="H1630" s="98" t="s">
        <v>220</v>
      </c>
      <c r="I1630" s="98" t="s">
        <v>722</v>
      </c>
      <c r="J1630" s="75">
        <f t="shared" si="146"/>
        <v>1</v>
      </c>
      <c r="K1630" s="76" t="s">
        <v>211</v>
      </c>
      <c r="N1630" s="78" t="s">
        <v>17</v>
      </c>
      <c r="Q1630" s="78" t="s">
        <v>2130</v>
      </c>
      <c r="R1630" s="75">
        <f t="shared" si="147"/>
        <v>1</v>
      </c>
      <c r="S1630" s="263" t="s">
        <v>1991</v>
      </c>
      <c r="T1630" s="263" t="s">
        <v>933</v>
      </c>
      <c r="AA1630" s="576">
        <f t="shared" si="148"/>
        <v>0</v>
      </c>
      <c r="AB1630" s="722"/>
    </row>
    <row r="1631" spans="1:28" x14ac:dyDescent="0.35">
      <c r="A1631" s="98" t="s">
        <v>4986</v>
      </c>
      <c r="C1631" s="118">
        <v>43880</v>
      </c>
      <c r="D1631" s="318">
        <v>43927</v>
      </c>
      <c r="E1631" s="570"/>
      <c r="F1631" s="88" t="s">
        <v>5073</v>
      </c>
      <c r="G1631" s="88" t="s">
        <v>186</v>
      </c>
      <c r="H1631" s="98" t="s">
        <v>220</v>
      </c>
      <c r="I1631" s="98" t="s">
        <v>722</v>
      </c>
      <c r="J1631" s="75">
        <f t="shared" si="146"/>
        <v>1</v>
      </c>
      <c r="K1631" s="76" t="s">
        <v>211</v>
      </c>
      <c r="N1631" s="78" t="s">
        <v>18</v>
      </c>
      <c r="Q1631" s="78" t="s">
        <v>2097</v>
      </c>
      <c r="R1631" s="75">
        <f t="shared" si="147"/>
        <v>1</v>
      </c>
      <c r="S1631" s="263" t="s">
        <v>1991</v>
      </c>
      <c r="T1631" s="263" t="s">
        <v>934</v>
      </c>
      <c r="AA1631" s="576">
        <f t="shared" si="148"/>
        <v>0</v>
      </c>
      <c r="AB1631" s="722"/>
    </row>
    <row r="1632" spans="1:28" x14ac:dyDescent="0.35">
      <c r="A1632" s="98" t="s">
        <v>4987</v>
      </c>
      <c r="C1632" s="118">
        <v>43880</v>
      </c>
      <c r="D1632" s="318">
        <v>43927</v>
      </c>
      <c r="E1632" s="570"/>
      <c r="F1632" s="88" t="s">
        <v>5074</v>
      </c>
      <c r="G1632" s="88" t="s">
        <v>162</v>
      </c>
      <c r="H1632" s="98" t="s">
        <v>220</v>
      </c>
      <c r="I1632" s="98" t="s">
        <v>649</v>
      </c>
      <c r="J1632" s="75">
        <f t="shared" si="146"/>
        <v>1</v>
      </c>
      <c r="K1632" s="76" t="s">
        <v>211</v>
      </c>
      <c r="N1632" s="78" t="s">
        <v>18</v>
      </c>
      <c r="Q1632" s="78" t="s">
        <v>2097</v>
      </c>
      <c r="R1632" s="75">
        <f t="shared" si="147"/>
        <v>1</v>
      </c>
      <c r="S1632" s="263" t="s">
        <v>1991</v>
      </c>
      <c r="T1632" s="263" t="s">
        <v>934</v>
      </c>
      <c r="AA1632" s="576">
        <f t="shared" si="148"/>
        <v>0</v>
      </c>
      <c r="AB1632" s="722"/>
    </row>
    <row r="1633" spans="1:28" x14ac:dyDescent="0.35">
      <c r="A1633" s="98" t="s">
        <v>5632</v>
      </c>
      <c r="C1633" s="118">
        <v>43880</v>
      </c>
      <c r="D1633" s="318">
        <v>43927</v>
      </c>
      <c r="E1633" s="570"/>
      <c r="F1633" s="88" t="s">
        <v>5783</v>
      </c>
      <c r="G1633" s="88" t="s">
        <v>149</v>
      </c>
      <c r="H1633" s="98" t="s">
        <v>220</v>
      </c>
      <c r="I1633" s="98" t="s">
        <v>722</v>
      </c>
      <c r="J1633" s="75">
        <f t="shared" si="146"/>
        <v>1</v>
      </c>
      <c r="K1633" s="76" t="s">
        <v>211</v>
      </c>
      <c r="N1633" s="78" t="s">
        <v>18</v>
      </c>
      <c r="Q1633" s="78" t="s">
        <v>2447</v>
      </c>
      <c r="R1633" s="75">
        <f t="shared" si="147"/>
        <v>1</v>
      </c>
      <c r="S1633" s="263" t="s">
        <v>1991</v>
      </c>
      <c r="T1633" s="263" t="s">
        <v>934</v>
      </c>
      <c r="U1633" s="304"/>
      <c r="AA1633" s="576">
        <f t="shared" si="148"/>
        <v>0</v>
      </c>
      <c r="AB1633" s="722"/>
    </row>
    <row r="1634" spans="1:28" x14ac:dyDescent="0.35">
      <c r="A1634" s="81" t="s">
        <v>5633</v>
      </c>
      <c r="C1634" s="118">
        <v>43880</v>
      </c>
      <c r="D1634" s="318">
        <v>43927</v>
      </c>
      <c r="E1634" s="570"/>
      <c r="F1634" s="88" t="s">
        <v>5784</v>
      </c>
      <c r="G1634" s="88" t="s">
        <v>176</v>
      </c>
      <c r="H1634" s="98" t="s">
        <v>220</v>
      </c>
      <c r="I1634" s="98" t="s">
        <v>649</v>
      </c>
      <c r="J1634" s="75">
        <f t="shared" si="146"/>
        <v>1</v>
      </c>
      <c r="K1634" s="76" t="s">
        <v>211</v>
      </c>
      <c r="N1634" s="78" t="s">
        <v>18</v>
      </c>
      <c r="Q1634" s="78" t="s">
        <v>5501</v>
      </c>
      <c r="R1634" s="75">
        <f t="shared" si="147"/>
        <v>1</v>
      </c>
      <c r="S1634" s="263" t="s">
        <v>1991</v>
      </c>
      <c r="T1634" s="263" t="s">
        <v>933</v>
      </c>
      <c r="AA1634" s="576">
        <f t="shared" si="148"/>
        <v>0</v>
      </c>
      <c r="AB1634" s="722"/>
    </row>
    <row r="1635" spans="1:28" x14ac:dyDescent="0.35">
      <c r="A1635" s="98" t="s">
        <v>4988</v>
      </c>
      <c r="C1635" s="118">
        <v>43880</v>
      </c>
      <c r="D1635" s="318">
        <v>43927</v>
      </c>
      <c r="E1635" s="570"/>
      <c r="F1635" s="88" t="s">
        <v>5075</v>
      </c>
      <c r="G1635" s="88" t="s">
        <v>176</v>
      </c>
      <c r="H1635" s="98" t="s">
        <v>220</v>
      </c>
      <c r="I1635" s="98" t="s">
        <v>722</v>
      </c>
      <c r="J1635" s="75">
        <f t="shared" si="146"/>
        <v>1</v>
      </c>
      <c r="K1635" s="76" t="s">
        <v>211</v>
      </c>
      <c r="N1635" s="78" t="s">
        <v>17</v>
      </c>
      <c r="Q1635" s="78" t="s">
        <v>2097</v>
      </c>
      <c r="R1635" s="75">
        <f t="shared" si="147"/>
        <v>1</v>
      </c>
      <c r="S1635" s="263" t="s">
        <v>1991</v>
      </c>
      <c r="T1635" s="263" t="s">
        <v>932</v>
      </c>
      <c r="AA1635" s="576">
        <f t="shared" si="148"/>
        <v>0</v>
      </c>
      <c r="AB1635" s="722"/>
    </row>
    <row r="1636" spans="1:28" x14ac:dyDescent="0.35">
      <c r="A1636" s="98" t="s">
        <v>4989</v>
      </c>
      <c r="C1636" s="118">
        <v>43880</v>
      </c>
      <c r="D1636" s="318">
        <v>43927</v>
      </c>
      <c r="E1636" s="570"/>
      <c r="F1636" s="88" t="s">
        <v>5076</v>
      </c>
      <c r="G1636" s="88" t="s">
        <v>156</v>
      </c>
      <c r="H1636" s="98" t="s">
        <v>220</v>
      </c>
      <c r="I1636" s="98" t="s">
        <v>722</v>
      </c>
      <c r="J1636" s="75">
        <f t="shared" si="146"/>
        <v>1</v>
      </c>
      <c r="K1636" s="76" t="s">
        <v>211</v>
      </c>
      <c r="L1636" s="99" t="s">
        <v>3963</v>
      </c>
      <c r="N1636" s="78" t="s">
        <v>17</v>
      </c>
      <c r="Q1636" s="78" t="s">
        <v>2163</v>
      </c>
      <c r="R1636" s="75">
        <f>IF(S1636="В работе",0.3,IF(S1636="Отписано",0.6,IF(S1636="На доработку",0.9,IF(S1636="Согласовано",1,0))))</f>
        <v>1</v>
      </c>
      <c r="S1636" s="263" t="s">
        <v>1991</v>
      </c>
      <c r="T1636" s="263" t="s">
        <v>932</v>
      </c>
      <c r="U1636" s="304" t="s">
        <v>5592</v>
      </c>
      <c r="V1636" s="304" t="s">
        <v>5947</v>
      </c>
      <c r="AA1636" s="576">
        <f t="shared" si="148"/>
        <v>0</v>
      </c>
      <c r="AB1636" s="722"/>
    </row>
    <row r="1637" spans="1:28" x14ac:dyDescent="0.35">
      <c r="A1637" s="98" t="s">
        <v>4990</v>
      </c>
      <c r="C1637" s="118">
        <v>43880</v>
      </c>
      <c r="D1637" s="318">
        <v>43927</v>
      </c>
      <c r="E1637" s="570"/>
      <c r="F1637" s="88" t="s">
        <v>5077</v>
      </c>
      <c r="G1637" s="88" t="s">
        <v>162</v>
      </c>
      <c r="H1637" s="98" t="s">
        <v>220</v>
      </c>
      <c r="I1637" s="98" t="s">
        <v>649</v>
      </c>
      <c r="J1637" s="75">
        <f t="shared" si="146"/>
        <v>1</v>
      </c>
      <c r="K1637" s="76" t="s">
        <v>211</v>
      </c>
      <c r="N1637" s="78" t="s">
        <v>18</v>
      </c>
      <c r="Q1637" s="78" t="s">
        <v>2130</v>
      </c>
      <c r="R1637" s="75">
        <f t="shared" si="147"/>
        <v>1</v>
      </c>
      <c r="S1637" s="263" t="s">
        <v>1991</v>
      </c>
      <c r="T1637" s="263" t="s">
        <v>934</v>
      </c>
      <c r="AA1637" s="576">
        <f t="shared" si="148"/>
        <v>0</v>
      </c>
      <c r="AB1637" s="722"/>
    </row>
    <row r="1638" spans="1:28" x14ac:dyDescent="0.35">
      <c r="A1638" s="98" t="s">
        <v>5634</v>
      </c>
      <c r="C1638" s="118">
        <v>43880</v>
      </c>
      <c r="D1638" s="318">
        <v>43927</v>
      </c>
      <c r="E1638" s="570"/>
      <c r="F1638" s="88" t="s">
        <v>5785</v>
      </c>
      <c r="G1638" s="88" t="s">
        <v>149</v>
      </c>
      <c r="H1638" s="98" t="s">
        <v>220</v>
      </c>
      <c r="I1638" s="98" t="s">
        <v>722</v>
      </c>
      <c r="J1638" s="75">
        <f t="shared" si="146"/>
        <v>1</v>
      </c>
      <c r="K1638" s="76" t="s">
        <v>211</v>
      </c>
      <c r="N1638" s="78" t="s">
        <v>18</v>
      </c>
      <c r="Q1638" s="78" t="s">
        <v>2130</v>
      </c>
      <c r="R1638" s="75">
        <f t="shared" si="147"/>
        <v>1</v>
      </c>
      <c r="S1638" s="263" t="s">
        <v>1991</v>
      </c>
      <c r="T1638" s="263" t="s">
        <v>934</v>
      </c>
      <c r="AA1638" s="576">
        <f t="shared" si="148"/>
        <v>0</v>
      </c>
      <c r="AB1638" s="722"/>
    </row>
    <row r="1639" spans="1:28" x14ac:dyDescent="0.35">
      <c r="A1639" s="98" t="s">
        <v>4994</v>
      </c>
      <c r="C1639" s="118">
        <v>43880</v>
      </c>
      <c r="D1639" s="318">
        <v>43927</v>
      </c>
      <c r="E1639" s="570"/>
      <c r="F1639" s="88" t="s">
        <v>5081</v>
      </c>
      <c r="G1639" s="88" t="s">
        <v>162</v>
      </c>
      <c r="H1639" s="98" t="s">
        <v>220</v>
      </c>
      <c r="I1639" s="98" t="s">
        <v>649</v>
      </c>
      <c r="J1639" s="75">
        <f t="shared" si="146"/>
        <v>1</v>
      </c>
      <c r="K1639" s="76" t="s">
        <v>211</v>
      </c>
      <c r="N1639" s="78" t="s">
        <v>18</v>
      </c>
      <c r="Q1639" s="78" t="s">
        <v>2056</v>
      </c>
      <c r="R1639" s="75">
        <f t="shared" si="147"/>
        <v>1</v>
      </c>
      <c r="S1639" s="263" t="s">
        <v>1991</v>
      </c>
      <c r="T1639" s="263" t="s">
        <v>933</v>
      </c>
      <c r="AA1639" s="576">
        <f t="shared" si="148"/>
        <v>0</v>
      </c>
      <c r="AB1639" s="722"/>
    </row>
    <row r="1640" spans="1:28" x14ac:dyDescent="0.35">
      <c r="A1640" s="81" t="s">
        <v>4995</v>
      </c>
      <c r="C1640" s="118">
        <v>43880</v>
      </c>
      <c r="D1640" s="318">
        <v>43927</v>
      </c>
      <c r="E1640" s="570"/>
      <c r="F1640" s="88" t="s">
        <v>5082</v>
      </c>
      <c r="G1640" s="88" t="s">
        <v>162</v>
      </c>
      <c r="H1640" s="98" t="s">
        <v>220</v>
      </c>
      <c r="I1640" s="98" t="s">
        <v>722</v>
      </c>
      <c r="J1640" s="75">
        <f t="shared" si="146"/>
        <v>1</v>
      </c>
      <c r="K1640" s="76" t="s">
        <v>211</v>
      </c>
      <c r="N1640" s="78" t="s">
        <v>17</v>
      </c>
      <c r="Q1640" s="78" t="s">
        <v>2056</v>
      </c>
      <c r="R1640" s="75">
        <f t="shared" si="147"/>
        <v>1</v>
      </c>
      <c r="S1640" s="263" t="s">
        <v>1991</v>
      </c>
      <c r="T1640" s="263" t="s">
        <v>934</v>
      </c>
      <c r="AA1640" s="576">
        <f t="shared" si="148"/>
        <v>0</v>
      </c>
      <c r="AB1640" s="722"/>
    </row>
    <row r="1641" spans="1:28" x14ac:dyDescent="0.35">
      <c r="A1641" s="81" t="s">
        <v>5635</v>
      </c>
      <c r="C1641" s="118">
        <v>43880</v>
      </c>
      <c r="D1641" s="318">
        <v>43927</v>
      </c>
      <c r="E1641" s="570"/>
      <c r="F1641" s="88" t="s">
        <v>5786</v>
      </c>
      <c r="G1641" s="88" t="s">
        <v>168</v>
      </c>
      <c r="H1641" s="98" t="s">
        <v>220</v>
      </c>
      <c r="I1641" s="98" t="s">
        <v>722</v>
      </c>
      <c r="J1641" s="75">
        <f t="shared" si="146"/>
        <v>1</v>
      </c>
      <c r="K1641" s="76" t="s">
        <v>211</v>
      </c>
      <c r="N1641" s="78" t="s">
        <v>18</v>
      </c>
      <c r="Q1641" s="78" t="s">
        <v>5501</v>
      </c>
      <c r="R1641" s="75">
        <f t="shared" si="147"/>
        <v>1</v>
      </c>
      <c r="S1641" s="263" t="s">
        <v>1991</v>
      </c>
      <c r="T1641" s="263" t="s">
        <v>933</v>
      </c>
      <c r="AA1641" s="576">
        <f t="shared" si="148"/>
        <v>0</v>
      </c>
      <c r="AB1641" s="722"/>
    </row>
    <row r="1642" spans="1:28" x14ac:dyDescent="0.35">
      <c r="A1642" s="81" t="s">
        <v>5636</v>
      </c>
      <c r="C1642" s="118">
        <v>43880</v>
      </c>
      <c r="D1642" s="318">
        <v>43927</v>
      </c>
      <c r="E1642" s="570"/>
      <c r="F1642" s="88" t="s">
        <v>5787</v>
      </c>
      <c r="G1642" s="88" t="s">
        <v>179</v>
      </c>
      <c r="H1642" s="98" t="s">
        <v>220</v>
      </c>
      <c r="I1642" s="98" t="s">
        <v>652</v>
      </c>
      <c r="J1642" s="75">
        <f t="shared" si="146"/>
        <v>1</v>
      </c>
      <c r="K1642" s="76" t="s">
        <v>211</v>
      </c>
      <c r="L1642" s="99" t="s">
        <v>5929</v>
      </c>
      <c r="N1642" s="78" t="s">
        <v>18</v>
      </c>
      <c r="Q1642" s="78" t="s">
        <v>2447</v>
      </c>
      <c r="R1642" s="75">
        <f t="shared" si="147"/>
        <v>1</v>
      </c>
      <c r="S1642" s="263" t="s">
        <v>1991</v>
      </c>
      <c r="T1642" s="263" t="s">
        <v>932</v>
      </c>
      <c r="AA1642" s="576">
        <f t="shared" si="148"/>
        <v>0</v>
      </c>
      <c r="AB1642" s="722"/>
    </row>
    <row r="1643" spans="1:28" x14ac:dyDescent="0.35">
      <c r="A1643" s="98" t="s">
        <v>4997</v>
      </c>
      <c r="C1643" s="118">
        <v>43881</v>
      </c>
      <c r="D1643" s="318">
        <v>43928</v>
      </c>
      <c r="E1643" s="570"/>
      <c r="F1643" s="88" t="s">
        <v>5084</v>
      </c>
      <c r="G1643" s="88" t="s">
        <v>152</v>
      </c>
      <c r="H1643" s="98" t="s">
        <v>220</v>
      </c>
      <c r="I1643" s="98" t="s">
        <v>6037</v>
      </c>
      <c r="J1643" s="75">
        <f t="shared" si="146"/>
        <v>1</v>
      </c>
      <c r="K1643" s="76" t="s">
        <v>211</v>
      </c>
      <c r="N1643" s="78" t="s">
        <v>18</v>
      </c>
      <c r="Q1643" s="78" t="s">
        <v>2163</v>
      </c>
      <c r="R1643" s="75">
        <f t="shared" si="147"/>
        <v>1</v>
      </c>
      <c r="S1643" s="263" t="s">
        <v>1991</v>
      </c>
      <c r="T1643" s="263" t="s">
        <v>932</v>
      </c>
      <c r="AA1643" s="576">
        <f t="shared" si="148"/>
        <v>0</v>
      </c>
      <c r="AB1643" s="722"/>
    </row>
    <row r="1644" spans="1:28" x14ac:dyDescent="0.35">
      <c r="A1644" s="81" t="s">
        <v>4998</v>
      </c>
      <c r="C1644" s="118">
        <v>43880</v>
      </c>
      <c r="D1644" s="318">
        <v>43927</v>
      </c>
      <c r="E1644" s="570"/>
      <c r="F1644" s="88" t="s">
        <v>5085</v>
      </c>
      <c r="G1644" s="88" t="s">
        <v>152</v>
      </c>
      <c r="H1644" s="98" t="s">
        <v>220</v>
      </c>
      <c r="I1644" s="98" t="s">
        <v>652</v>
      </c>
      <c r="J1644" s="75">
        <f t="shared" si="146"/>
        <v>1</v>
      </c>
      <c r="K1644" s="76" t="s">
        <v>211</v>
      </c>
      <c r="N1644" s="78" t="s">
        <v>18</v>
      </c>
      <c r="Q1644" s="78" t="s">
        <v>2163</v>
      </c>
      <c r="R1644" s="75">
        <f t="shared" si="147"/>
        <v>1</v>
      </c>
      <c r="S1644" s="263" t="s">
        <v>1991</v>
      </c>
      <c r="T1644" s="263" t="s">
        <v>933</v>
      </c>
      <c r="AA1644" s="576">
        <f t="shared" si="148"/>
        <v>0</v>
      </c>
      <c r="AB1644" s="722"/>
    </row>
    <row r="1645" spans="1:28" x14ac:dyDescent="0.35">
      <c r="A1645" s="98" t="s">
        <v>5005</v>
      </c>
      <c r="C1645" s="118">
        <v>43881</v>
      </c>
      <c r="D1645" s="318">
        <v>43928</v>
      </c>
      <c r="E1645" s="570"/>
      <c r="F1645" s="88" t="s">
        <v>5092</v>
      </c>
      <c r="G1645" s="88" t="s">
        <v>152</v>
      </c>
      <c r="H1645" s="98" t="s">
        <v>220</v>
      </c>
      <c r="I1645" s="98" t="s">
        <v>648</v>
      </c>
      <c r="J1645" s="75">
        <f t="shared" si="146"/>
        <v>1</v>
      </c>
      <c r="K1645" s="76" t="s">
        <v>211</v>
      </c>
      <c r="N1645" s="78" t="s">
        <v>18</v>
      </c>
      <c r="Q1645" s="78" t="s">
        <v>2097</v>
      </c>
      <c r="R1645" s="75">
        <f t="shared" si="147"/>
        <v>1</v>
      </c>
      <c r="S1645" s="263" t="s">
        <v>1991</v>
      </c>
      <c r="T1645" s="263" t="s">
        <v>932</v>
      </c>
      <c r="AA1645" s="576">
        <f t="shared" si="148"/>
        <v>0</v>
      </c>
      <c r="AB1645" s="722"/>
    </row>
    <row r="1646" spans="1:28" x14ac:dyDescent="0.35">
      <c r="A1646" s="98" t="s">
        <v>5007</v>
      </c>
      <c r="C1646" s="118">
        <v>43881</v>
      </c>
      <c r="D1646" s="318">
        <v>43928</v>
      </c>
      <c r="E1646" s="570"/>
      <c r="F1646" s="88" t="s">
        <v>5094</v>
      </c>
      <c r="G1646" s="88" t="s">
        <v>162</v>
      </c>
      <c r="H1646" s="81" t="s">
        <v>275</v>
      </c>
      <c r="I1646" s="98" t="s">
        <v>649</v>
      </c>
      <c r="J1646" s="75">
        <f t="shared" si="146"/>
        <v>1</v>
      </c>
      <c r="K1646" s="76" t="s">
        <v>211</v>
      </c>
      <c r="N1646" s="78" t="s">
        <v>18</v>
      </c>
      <c r="Q1646" s="78" t="s">
        <v>2130</v>
      </c>
      <c r="R1646" s="75">
        <f t="shared" si="147"/>
        <v>1</v>
      </c>
      <c r="S1646" s="263" t="s">
        <v>1991</v>
      </c>
      <c r="T1646" s="263" t="s">
        <v>933</v>
      </c>
      <c r="AA1646" s="576">
        <f t="shared" si="148"/>
        <v>0</v>
      </c>
      <c r="AB1646" s="722"/>
    </row>
    <row r="1647" spans="1:28" x14ac:dyDescent="0.35">
      <c r="A1647" s="98" t="s">
        <v>5637</v>
      </c>
      <c r="C1647" s="118">
        <v>43881</v>
      </c>
      <c r="D1647" s="318">
        <v>43928</v>
      </c>
      <c r="E1647" s="570"/>
      <c r="F1647" s="88" t="s">
        <v>5788</v>
      </c>
      <c r="G1647" s="88" t="s">
        <v>168</v>
      </c>
      <c r="H1647" s="98" t="s">
        <v>220</v>
      </c>
      <c r="I1647" s="98" t="s">
        <v>722</v>
      </c>
      <c r="J1647" s="75">
        <f t="shared" si="146"/>
        <v>1</v>
      </c>
      <c r="K1647" s="76" t="s">
        <v>211</v>
      </c>
      <c r="N1647" s="78" t="s">
        <v>17</v>
      </c>
      <c r="Q1647" s="78" t="s">
        <v>2056</v>
      </c>
      <c r="R1647" s="75">
        <f t="shared" si="147"/>
        <v>1</v>
      </c>
      <c r="S1647" s="263" t="s">
        <v>1991</v>
      </c>
      <c r="T1647" s="263" t="s">
        <v>932</v>
      </c>
      <c r="AA1647" s="576">
        <f t="shared" si="148"/>
        <v>0</v>
      </c>
      <c r="AB1647" s="722"/>
    </row>
    <row r="1648" spans="1:28" x14ac:dyDescent="0.35">
      <c r="A1648" s="98" t="s">
        <v>5009</v>
      </c>
      <c r="C1648" s="118">
        <v>43881</v>
      </c>
      <c r="D1648" s="318">
        <v>43928</v>
      </c>
      <c r="E1648" s="570"/>
      <c r="F1648" s="88" t="s">
        <v>5096</v>
      </c>
      <c r="G1648" s="88" t="s">
        <v>162</v>
      </c>
      <c r="H1648" s="98" t="s">
        <v>220</v>
      </c>
      <c r="I1648" s="98" t="s">
        <v>722</v>
      </c>
      <c r="J1648" s="75">
        <f t="shared" si="146"/>
        <v>1</v>
      </c>
      <c r="K1648" s="76" t="s">
        <v>211</v>
      </c>
      <c r="N1648" s="78" t="s">
        <v>17</v>
      </c>
      <c r="Q1648" s="78" t="s">
        <v>2130</v>
      </c>
      <c r="R1648" s="75">
        <f t="shared" si="147"/>
        <v>1</v>
      </c>
      <c r="S1648" s="263" t="s">
        <v>1991</v>
      </c>
      <c r="T1648" s="263" t="s">
        <v>933</v>
      </c>
      <c r="AA1648" s="576">
        <f t="shared" si="148"/>
        <v>0</v>
      </c>
      <c r="AB1648" s="722"/>
    </row>
    <row r="1649" spans="1:28" x14ac:dyDescent="0.35">
      <c r="A1649" s="81" t="s">
        <v>5638</v>
      </c>
      <c r="C1649" s="118">
        <v>43881</v>
      </c>
      <c r="D1649" s="318">
        <v>43927</v>
      </c>
      <c r="E1649" s="570"/>
      <c r="F1649" s="88" t="s">
        <v>5789</v>
      </c>
      <c r="G1649" s="88" t="s">
        <v>179</v>
      </c>
      <c r="H1649" s="98" t="s">
        <v>220</v>
      </c>
      <c r="I1649" s="98" t="s">
        <v>722</v>
      </c>
      <c r="J1649" s="75">
        <f t="shared" si="146"/>
        <v>1</v>
      </c>
      <c r="K1649" s="76" t="s">
        <v>211</v>
      </c>
      <c r="N1649" s="78" t="s">
        <v>18</v>
      </c>
      <c r="Q1649" s="304" t="s">
        <v>2447</v>
      </c>
      <c r="R1649" s="75">
        <f t="shared" si="147"/>
        <v>1</v>
      </c>
      <c r="S1649" s="263" t="s">
        <v>1991</v>
      </c>
      <c r="T1649" s="263" t="s">
        <v>934</v>
      </c>
      <c r="AA1649" s="576">
        <f t="shared" si="148"/>
        <v>0</v>
      </c>
      <c r="AB1649" s="722"/>
    </row>
    <row r="1650" spans="1:28" x14ac:dyDescent="0.35">
      <c r="A1650" s="81" t="s">
        <v>5639</v>
      </c>
      <c r="C1650" s="118">
        <v>43881</v>
      </c>
      <c r="D1650" s="318">
        <v>43928</v>
      </c>
      <c r="E1650" s="570"/>
      <c r="F1650" s="88" t="s">
        <v>5790</v>
      </c>
      <c r="G1650" s="88" t="s">
        <v>149</v>
      </c>
      <c r="H1650" s="98" t="s">
        <v>220</v>
      </c>
      <c r="I1650" s="98" t="s">
        <v>649</v>
      </c>
      <c r="J1650" s="75">
        <f t="shared" si="146"/>
        <v>1</v>
      </c>
      <c r="K1650" s="76" t="s">
        <v>211</v>
      </c>
      <c r="N1650" s="78" t="s">
        <v>18</v>
      </c>
      <c r="Q1650" s="78" t="s">
        <v>5501</v>
      </c>
      <c r="R1650" s="75">
        <f t="shared" si="147"/>
        <v>1</v>
      </c>
      <c r="S1650" s="263" t="s">
        <v>1991</v>
      </c>
      <c r="T1650" s="263" t="s">
        <v>933</v>
      </c>
      <c r="AA1650" s="576">
        <f t="shared" si="148"/>
        <v>0</v>
      </c>
      <c r="AB1650" s="722"/>
    </row>
    <row r="1651" spans="1:28" x14ac:dyDescent="0.35">
      <c r="A1651" s="98" t="s">
        <v>5010</v>
      </c>
      <c r="C1651" s="118">
        <v>43881</v>
      </c>
      <c r="D1651" s="318">
        <v>43928</v>
      </c>
      <c r="E1651" s="570"/>
      <c r="F1651" s="88" t="s">
        <v>5097</v>
      </c>
      <c r="G1651" s="88" t="s">
        <v>158</v>
      </c>
      <c r="H1651" s="98" t="s">
        <v>220</v>
      </c>
      <c r="I1651" s="98" t="s">
        <v>722</v>
      </c>
      <c r="J1651" s="75">
        <f t="shared" si="146"/>
        <v>1</v>
      </c>
      <c r="K1651" s="76" t="s">
        <v>211</v>
      </c>
      <c r="N1651" s="78" t="s">
        <v>17</v>
      </c>
      <c r="Q1651" s="78" t="s">
        <v>2163</v>
      </c>
      <c r="R1651" s="75">
        <f t="shared" si="147"/>
        <v>1</v>
      </c>
      <c r="S1651" s="263" t="s">
        <v>1991</v>
      </c>
      <c r="T1651" s="263" t="s">
        <v>933</v>
      </c>
      <c r="AA1651" s="576">
        <f t="shared" si="148"/>
        <v>0</v>
      </c>
      <c r="AB1651" s="722"/>
    </row>
    <row r="1652" spans="1:28" x14ac:dyDescent="0.35">
      <c r="A1652" s="98" t="s">
        <v>5640</v>
      </c>
      <c r="C1652" s="118">
        <v>43881</v>
      </c>
      <c r="D1652" s="318">
        <v>43928</v>
      </c>
      <c r="E1652" s="570"/>
      <c r="F1652" s="88" t="s">
        <v>5791</v>
      </c>
      <c r="G1652" s="88" t="s">
        <v>158</v>
      </c>
      <c r="H1652" s="98" t="s">
        <v>220</v>
      </c>
      <c r="I1652" s="98" t="s">
        <v>1004</v>
      </c>
      <c r="J1652" s="75">
        <f t="shared" si="146"/>
        <v>1</v>
      </c>
      <c r="K1652" s="76" t="s">
        <v>211</v>
      </c>
      <c r="N1652" s="78" t="s">
        <v>19</v>
      </c>
      <c r="Q1652" s="78" t="s">
        <v>2056</v>
      </c>
      <c r="R1652" s="75">
        <f t="shared" si="147"/>
        <v>1</v>
      </c>
      <c r="S1652" s="263" t="s">
        <v>1991</v>
      </c>
      <c r="T1652" s="263" t="s">
        <v>934</v>
      </c>
      <c r="AA1652" s="576">
        <f t="shared" si="148"/>
        <v>0</v>
      </c>
      <c r="AB1652" s="722"/>
    </row>
    <row r="1653" spans="1:28" x14ac:dyDescent="0.35">
      <c r="A1653" s="81" t="s">
        <v>5641</v>
      </c>
      <c r="C1653" s="118">
        <v>43882</v>
      </c>
      <c r="D1653" s="318">
        <v>43928</v>
      </c>
      <c r="E1653" s="570"/>
      <c r="F1653" s="88" t="s">
        <v>5792</v>
      </c>
      <c r="G1653" s="88" t="s">
        <v>152</v>
      </c>
      <c r="H1653" s="98" t="s">
        <v>220</v>
      </c>
      <c r="I1653" s="98" t="s">
        <v>664</v>
      </c>
      <c r="J1653" s="75">
        <f t="shared" si="146"/>
        <v>1</v>
      </c>
      <c r="K1653" s="76" t="s">
        <v>211</v>
      </c>
      <c r="N1653" s="78" t="s">
        <v>17</v>
      </c>
      <c r="Q1653" s="78" t="s">
        <v>2447</v>
      </c>
      <c r="R1653" s="75">
        <f t="shared" si="147"/>
        <v>1</v>
      </c>
      <c r="S1653" s="263" t="s">
        <v>1991</v>
      </c>
      <c r="T1653" s="263" t="s">
        <v>934</v>
      </c>
      <c r="U1653" s="304" t="s">
        <v>5592</v>
      </c>
      <c r="V1653" s="304" t="s">
        <v>6036</v>
      </c>
      <c r="AA1653" s="576">
        <f t="shared" si="148"/>
        <v>0</v>
      </c>
      <c r="AB1653" s="722"/>
    </row>
    <row r="1654" spans="1:28" x14ac:dyDescent="0.35">
      <c r="A1654" s="355" t="s">
        <v>5012</v>
      </c>
      <c r="C1654" s="118">
        <v>43882</v>
      </c>
      <c r="D1654" s="318">
        <v>43959</v>
      </c>
      <c r="E1654" s="570">
        <v>43927</v>
      </c>
      <c r="F1654" s="88" t="s">
        <v>5099</v>
      </c>
      <c r="G1654" s="88" t="s">
        <v>417</v>
      </c>
      <c r="H1654" s="98" t="s">
        <v>220</v>
      </c>
      <c r="I1654" s="98" t="s">
        <v>722</v>
      </c>
      <c r="J1654" s="75">
        <f t="shared" si="146"/>
        <v>1</v>
      </c>
      <c r="K1654" s="76" t="s">
        <v>211</v>
      </c>
      <c r="L1654" s="99" t="s">
        <v>6226</v>
      </c>
      <c r="N1654" s="78" t="s">
        <v>17</v>
      </c>
      <c r="Q1654" s="78" t="s">
        <v>2130</v>
      </c>
      <c r="R1654" s="75">
        <f t="shared" si="147"/>
        <v>1</v>
      </c>
      <c r="S1654" s="263" t="s">
        <v>1991</v>
      </c>
      <c r="T1654" s="263" t="s">
        <v>932</v>
      </c>
      <c r="Y1654" s="576">
        <v>0.70416666666666661</v>
      </c>
      <c r="Z1654" s="576">
        <v>0.71597222222222223</v>
      </c>
      <c r="AA1654" s="576">
        <f t="shared" si="148"/>
        <v>1.1805555555555625E-2</v>
      </c>
      <c r="AB1654" s="722"/>
    </row>
    <row r="1655" spans="1:28" x14ac:dyDescent="0.35">
      <c r="A1655" s="98" t="s">
        <v>5013</v>
      </c>
      <c r="C1655" s="118">
        <v>43882</v>
      </c>
      <c r="D1655" s="318">
        <v>43929</v>
      </c>
      <c r="E1655" s="570"/>
      <c r="F1655" s="88" t="s">
        <v>5100</v>
      </c>
      <c r="G1655" s="88" t="s">
        <v>156</v>
      </c>
      <c r="H1655" s="98" t="s">
        <v>220</v>
      </c>
      <c r="I1655" s="98" t="s">
        <v>722</v>
      </c>
      <c r="J1655" s="75">
        <f t="shared" si="146"/>
        <v>1</v>
      </c>
      <c r="K1655" s="76" t="s">
        <v>211</v>
      </c>
      <c r="N1655" s="78" t="s">
        <v>18</v>
      </c>
      <c r="Q1655" s="78" t="s">
        <v>2163</v>
      </c>
      <c r="R1655" s="75">
        <f t="shared" si="147"/>
        <v>1</v>
      </c>
      <c r="S1655" s="263" t="s">
        <v>1991</v>
      </c>
      <c r="T1655" s="263" t="s">
        <v>933</v>
      </c>
      <c r="AA1655" s="576">
        <f t="shared" si="148"/>
        <v>0</v>
      </c>
      <c r="AB1655" s="722"/>
    </row>
    <row r="1656" spans="1:28" x14ac:dyDescent="0.35">
      <c r="A1656" s="81" t="s">
        <v>5642</v>
      </c>
      <c r="C1656" s="118">
        <v>43882</v>
      </c>
      <c r="D1656" s="318">
        <v>43929</v>
      </c>
      <c r="E1656" s="570"/>
      <c r="F1656" s="88" t="s">
        <v>5793</v>
      </c>
      <c r="G1656" s="88" t="s">
        <v>158</v>
      </c>
      <c r="H1656" s="98" t="s">
        <v>220</v>
      </c>
      <c r="I1656" s="98" t="s">
        <v>730</v>
      </c>
      <c r="J1656" s="75">
        <f t="shared" si="146"/>
        <v>1</v>
      </c>
      <c r="K1656" s="76" t="s">
        <v>211</v>
      </c>
      <c r="Q1656" s="78" t="s">
        <v>2447</v>
      </c>
      <c r="R1656" s="75">
        <f t="shared" si="147"/>
        <v>1</v>
      </c>
      <c r="S1656" s="263" t="s">
        <v>1991</v>
      </c>
      <c r="T1656" s="263" t="s">
        <v>934</v>
      </c>
      <c r="AA1656" s="576">
        <f t="shared" si="148"/>
        <v>0</v>
      </c>
      <c r="AB1656" s="722"/>
    </row>
    <row r="1657" spans="1:28" x14ac:dyDescent="0.35">
      <c r="A1657" s="98" t="s">
        <v>5015</v>
      </c>
      <c r="C1657" s="118">
        <v>43882</v>
      </c>
      <c r="D1657" s="318">
        <v>43929</v>
      </c>
      <c r="E1657" s="570"/>
      <c r="F1657" s="88" t="s">
        <v>5102</v>
      </c>
      <c r="G1657" s="88" t="s">
        <v>181</v>
      </c>
      <c r="H1657" s="98" t="s">
        <v>220</v>
      </c>
      <c r="I1657" s="98" t="s">
        <v>722</v>
      </c>
      <c r="J1657" s="75">
        <f t="shared" si="146"/>
        <v>1</v>
      </c>
      <c r="K1657" s="76" t="s">
        <v>211</v>
      </c>
      <c r="N1657" s="78" t="s">
        <v>18</v>
      </c>
      <c r="Q1657" s="78" t="s">
        <v>2163</v>
      </c>
      <c r="R1657" s="75">
        <f t="shared" si="147"/>
        <v>1</v>
      </c>
      <c r="S1657" s="263" t="s">
        <v>1991</v>
      </c>
      <c r="T1657" s="263" t="s">
        <v>934</v>
      </c>
      <c r="AA1657" s="576">
        <f t="shared" si="148"/>
        <v>0</v>
      </c>
      <c r="AB1657" s="722"/>
    </row>
    <row r="1658" spans="1:28" x14ac:dyDescent="0.35">
      <c r="A1658" s="98" t="s">
        <v>5017</v>
      </c>
      <c r="C1658" s="118">
        <v>43882</v>
      </c>
      <c r="D1658" s="318">
        <v>43929</v>
      </c>
      <c r="E1658" s="570"/>
      <c r="F1658" s="88" t="s">
        <v>5104</v>
      </c>
      <c r="G1658" s="88" t="s">
        <v>162</v>
      </c>
      <c r="H1658" s="98" t="s">
        <v>220</v>
      </c>
      <c r="I1658" s="98" t="s">
        <v>722</v>
      </c>
      <c r="J1658" s="75">
        <f t="shared" si="146"/>
        <v>1</v>
      </c>
      <c r="K1658" s="76" t="s">
        <v>211</v>
      </c>
      <c r="N1658" s="78" t="s">
        <v>18</v>
      </c>
      <c r="Q1658" s="78" t="s">
        <v>2056</v>
      </c>
      <c r="R1658" s="75">
        <f t="shared" si="147"/>
        <v>1</v>
      </c>
      <c r="S1658" s="263" t="s">
        <v>1991</v>
      </c>
      <c r="T1658" s="263" t="s">
        <v>932</v>
      </c>
      <c r="AA1658" s="576">
        <f t="shared" si="148"/>
        <v>0</v>
      </c>
      <c r="AB1658" s="722"/>
    </row>
    <row r="1659" spans="1:28" x14ac:dyDescent="0.35">
      <c r="A1659" s="81" t="s">
        <v>5643</v>
      </c>
      <c r="C1659" s="118">
        <v>43882</v>
      </c>
      <c r="D1659" s="318">
        <v>43928</v>
      </c>
      <c r="E1659" s="570"/>
      <c r="F1659" s="88" t="s">
        <v>5794</v>
      </c>
      <c r="G1659" s="88" t="s">
        <v>170</v>
      </c>
      <c r="H1659" s="98" t="s">
        <v>220</v>
      </c>
      <c r="I1659" s="98" t="s">
        <v>730</v>
      </c>
      <c r="J1659" s="75">
        <f t="shared" si="146"/>
        <v>1</v>
      </c>
      <c r="K1659" s="76" t="s">
        <v>211</v>
      </c>
      <c r="N1659" s="78" t="s">
        <v>17</v>
      </c>
      <c r="Q1659" s="78" t="s">
        <v>5501</v>
      </c>
      <c r="R1659" s="75">
        <f t="shared" si="147"/>
        <v>1</v>
      </c>
      <c r="S1659" s="263" t="s">
        <v>1991</v>
      </c>
      <c r="T1659" s="263" t="s">
        <v>934</v>
      </c>
      <c r="AA1659" s="576">
        <f t="shared" si="148"/>
        <v>0</v>
      </c>
      <c r="AB1659" s="722"/>
    </row>
    <row r="1660" spans="1:28" x14ac:dyDescent="0.35">
      <c r="A1660" s="81" t="s">
        <v>5644</v>
      </c>
      <c r="C1660" s="118">
        <v>43882</v>
      </c>
      <c r="D1660" s="318">
        <v>43929</v>
      </c>
      <c r="E1660" s="570"/>
      <c r="F1660" s="88" t="s">
        <v>5795</v>
      </c>
      <c r="G1660" s="88" t="s">
        <v>158</v>
      </c>
      <c r="H1660" s="98" t="s">
        <v>220</v>
      </c>
      <c r="I1660" s="98" t="s">
        <v>648</v>
      </c>
      <c r="J1660" s="75">
        <f t="shared" si="146"/>
        <v>1</v>
      </c>
      <c r="K1660" s="76" t="s">
        <v>211</v>
      </c>
      <c r="N1660" s="78" t="s">
        <v>17</v>
      </c>
      <c r="Q1660" s="78" t="s">
        <v>2447</v>
      </c>
      <c r="R1660" s="75">
        <f t="shared" si="147"/>
        <v>1</v>
      </c>
      <c r="S1660" s="263" t="s">
        <v>1991</v>
      </c>
      <c r="T1660" s="263" t="s">
        <v>934</v>
      </c>
      <c r="AA1660" s="576">
        <f t="shared" si="148"/>
        <v>0</v>
      </c>
      <c r="AB1660" s="722"/>
    </row>
    <row r="1661" spans="1:28" x14ac:dyDescent="0.35">
      <c r="A1661" s="81" t="s">
        <v>5645</v>
      </c>
      <c r="C1661" s="118">
        <v>43882</v>
      </c>
      <c r="D1661" s="318">
        <v>43929</v>
      </c>
      <c r="E1661" s="570"/>
      <c r="F1661" s="88" t="s">
        <v>5796</v>
      </c>
      <c r="G1661" s="88" t="s">
        <v>158</v>
      </c>
      <c r="H1661" s="98" t="s">
        <v>220</v>
      </c>
      <c r="I1661" s="98" t="s">
        <v>722</v>
      </c>
      <c r="J1661" s="75">
        <f t="shared" si="146"/>
        <v>1</v>
      </c>
      <c r="K1661" s="76" t="s">
        <v>211</v>
      </c>
      <c r="N1661" s="78" t="s">
        <v>17</v>
      </c>
      <c r="Q1661" s="78" t="s">
        <v>5501</v>
      </c>
      <c r="R1661" s="75">
        <f t="shared" si="147"/>
        <v>1</v>
      </c>
      <c r="S1661" s="263" t="s">
        <v>1991</v>
      </c>
      <c r="T1661" s="263" t="s">
        <v>934</v>
      </c>
      <c r="AA1661" s="576">
        <f t="shared" si="148"/>
        <v>0</v>
      </c>
      <c r="AB1661" s="722"/>
    </row>
    <row r="1662" spans="1:28" x14ac:dyDescent="0.35">
      <c r="A1662" s="81" t="s">
        <v>5646</v>
      </c>
      <c r="C1662" s="118">
        <v>43882</v>
      </c>
      <c r="D1662" s="318">
        <v>43929</v>
      </c>
      <c r="E1662" s="570"/>
      <c r="F1662" s="88" t="s">
        <v>5797</v>
      </c>
      <c r="G1662" s="88" t="s">
        <v>1051</v>
      </c>
      <c r="H1662" s="98" t="s">
        <v>220</v>
      </c>
      <c r="I1662" s="98" t="s">
        <v>730</v>
      </c>
      <c r="J1662" s="75">
        <f t="shared" si="146"/>
        <v>1</v>
      </c>
      <c r="K1662" s="76" t="s">
        <v>211</v>
      </c>
      <c r="N1662" s="78" t="s">
        <v>18</v>
      </c>
      <c r="Q1662" s="78" t="s">
        <v>5501</v>
      </c>
      <c r="R1662" s="75">
        <f t="shared" si="147"/>
        <v>1</v>
      </c>
      <c r="S1662" s="263" t="s">
        <v>1991</v>
      </c>
      <c r="T1662" s="263" t="s">
        <v>932</v>
      </c>
      <c r="U1662" s="304" t="s">
        <v>5592</v>
      </c>
      <c r="V1662" s="304" t="s">
        <v>6063</v>
      </c>
      <c r="AA1662" s="576">
        <f t="shared" si="148"/>
        <v>0</v>
      </c>
      <c r="AB1662" s="722"/>
    </row>
    <row r="1663" spans="1:28" x14ac:dyDescent="0.35">
      <c r="A1663" s="98" t="s">
        <v>5028</v>
      </c>
      <c r="C1663" s="118">
        <v>43886</v>
      </c>
      <c r="D1663" s="318">
        <v>43930</v>
      </c>
      <c r="E1663" s="570"/>
      <c r="F1663" s="88" t="s">
        <v>5115</v>
      </c>
      <c r="G1663" s="88" t="s">
        <v>170</v>
      </c>
      <c r="H1663" s="98" t="s">
        <v>220</v>
      </c>
      <c r="I1663" s="98" t="s">
        <v>652</v>
      </c>
      <c r="J1663" s="75">
        <f t="shared" si="146"/>
        <v>1</v>
      </c>
      <c r="K1663" s="76" t="s">
        <v>211</v>
      </c>
      <c r="N1663" s="78" t="s">
        <v>18</v>
      </c>
      <c r="Q1663" s="78" t="s">
        <v>2130</v>
      </c>
      <c r="R1663" s="75">
        <f t="shared" si="147"/>
        <v>1</v>
      </c>
      <c r="S1663" s="263" t="s">
        <v>1991</v>
      </c>
      <c r="T1663" s="263" t="s">
        <v>933</v>
      </c>
      <c r="AA1663" s="576">
        <f t="shared" si="148"/>
        <v>0</v>
      </c>
      <c r="AB1663" s="722"/>
    </row>
    <row r="1664" spans="1:28" x14ac:dyDescent="0.35">
      <c r="A1664" s="98" t="s">
        <v>5030</v>
      </c>
      <c r="C1664" s="118">
        <v>43886</v>
      </c>
      <c r="D1664" s="318">
        <v>43963</v>
      </c>
      <c r="E1664" s="570"/>
      <c r="F1664" s="88" t="s">
        <v>5117</v>
      </c>
      <c r="G1664" s="88" t="s">
        <v>152</v>
      </c>
      <c r="H1664" s="98" t="s">
        <v>220</v>
      </c>
      <c r="I1664" s="98" t="s">
        <v>722</v>
      </c>
      <c r="J1664" s="75">
        <f t="shared" si="146"/>
        <v>1</v>
      </c>
      <c r="K1664" s="76" t="s">
        <v>211</v>
      </c>
      <c r="N1664" s="78" t="s">
        <v>18</v>
      </c>
      <c r="Q1664" s="78" t="s">
        <v>2056</v>
      </c>
      <c r="R1664" s="75">
        <f t="shared" si="147"/>
        <v>1</v>
      </c>
      <c r="S1664" s="263" t="s">
        <v>1991</v>
      </c>
      <c r="T1664" s="263" t="s">
        <v>932</v>
      </c>
      <c r="U1664" s="304" t="s">
        <v>5592</v>
      </c>
      <c r="V1664" s="304" t="s">
        <v>6073</v>
      </c>
      <c r="AA1664" s="576">
        <f t="shared" si="148"/>
        <v>0</v>
      </c>
      <c r="AB1664" s="722"/>
    </row>
    <row r="1665" spans="1:28" x14ac:dyDescent="0.35">
      <c r="A1665" s="98" t="s">
        <v>5031</v>
      </c>
      <c r="C1665" s="118">
        <v>43886</v>
      </c>
      <c r="D1665" s="318">
        <v>43963</v>
      </c>
      <c r="E1665" s="570">
        <v>43927</v>
      </c>
      <c r="F1665" s="88" t="s">
        <v>5118</v>
      </c>
      <c r="G1665" s="88" t="s">
        <v>158</v>
      </c>
      <c r="H1665" s="98" t="s">
        <v>220</v>
      </c>
      <c r="I1665" s="98" t="s">
        <v>1308</v>
      </c>
      <c r="J1665" s="75">
        <f t="shared" si="146"/>
        <v>1</v>
      </c>
      <c r="K1665" s="76" t="s">
        <v>211</v>
      </c>
      <c r="N1665" s="78" t="s">
        <v>18</v>
      </c>
      <c r="Q1665" s="78" t="s">
        <v>2130</v>
      </c>
      <c r="R1665" s="75">
        <f t="shared" si="147"/>
        <v>1</v>
      </c>
      <c r="S1665" s="263" t="s">
        <v>1991</v>
      </c>
      <c r="T1665" s="263" t="s">
        <v>933</v>
      </c>
      <c r="U1665" s="304" t="s">
        <v>5592</v>
      </c>
      <c r="V1665" s="304" t="s">
        <v>3296</v>
      </c>
      <c r="Y1665" s="576">
        <v>0.66597222222222219</v>
      </c>
      <c r="Z1665" s="576">
        <v>0.67013888888888884</v>
      </c>
      <c r="AA1665" s="576">
        <f t="shared" si="148"/>
        <v>4.1666666666666519E-3</v>
      </c>
      <c r="AB1665" s="722"/>
    </row>
    <row r="1666" spans="1:28" x14ac:dyDescent="0.35">
      <c r="A1666" s="98" t="s">
        <v>5032</v>
      </c>
      <c r="C1666" s="118">
        <v>43886</v>
      </c>
      <c r="D1666" s="318">
        <v>43963</v>
      </c>
      <c r="E1666" s="570"/>
      <c r="F1666" s="88" t="s">
        <v>5119</v>
      </c>
      <c r="G1666" s="88" t="s">
        <v>545</v>
      </c>
      <c r="H1666" s="98" t="s">
        <v>220</v>
      </c>
      <c r="I1666" s="98" t="s">
        <v>722</v>
      </c>
      <c r="J1666" s="75">
        <f t="shared" si="146"/>
        <v>1</v>
      </c>
      <c r="K1666" s="76" t="s">
        <v>211</v>
      </c>
      <c r="N1666" s="78" t="s">
        <v>17</v>
      </c>
      <c r="Q1666" s="78" t="s">
        <v>2163</v>
      </c>
      <c r="R1666" s="75">
        <f t="shared" si="147"/>
        <v>1</v>
      </c>
      <c r="S1666" s="263" t="s">
        <v>1991</v>
      </c>
      <c r="T1666" s="263" t="s">
        <v>932</v>
      </c>
      <c r="AA1666" s="576">
        <f t="shared" si="148"/>
        <v>0</v>
      </c>
      <c r="AB1666" s="722"/>
    </row>
    <row r="1667" spans="1:28" x14ac:dyDescent="0.35">
      <c r="A1667" s="98" t="s">
        <v>5033</v>
      </c>
      <c r="C1667" s="118">
        <v>43886</v>
      </c>
      <c r="D1667" s="318">
        <v>43963</v>
      </c>
      <c r="E1667" s="570">
        <v>43927</v>
      </c>
      <c r="F1667" s="88" t="s">
        <v>5120</v>
      </c>
      <c r="G1667" s="88" t="s">
        <v>154</v>
      </c>
      <c r="H1667" s="98" t="s">
        <v>220</v>
      </c>
      <c r="I1667" s="98" t="s">
        <v>3260</v>
      </c>
      <c r="J1667" s="75">
        <f t="shared" si="146"/>
        <v>1</v>
      </c>
      <c r="K1667" s="76" t="s">
        <v>211</v>
      </c>
      <c r="L1667" s="99" t="s">
        <v>6076</v>
      </c>
      <c r="N1667" s="78" t="s">
        <v>19</v>
      </c>
      <c r="Q1667" s="78" t="s">
        <v>2130</v>
      </c>
      <c r="R1667" s="75">
        <f t="shared" si="147"/>
        <v>1</v>
      </c>
      <c r="S1667" s="263" t="s">
        <v>1991</v>
      </c>
      <c r="T1667" s="263" t="s">
        <v>934</v>
      </c>
      <c r="U1667" s="304" t="s">
        <v>6078</v>
      </c>
      <c r="Y1667" s="576">
        <v>0.65833333333333333</v>
      </c>
      <c r="Z1667" s="576">
        <v>0.66388888888888886</v>
      </c>
      <c r="AA1667" s="576">
        <f t="shared" si="148"/>
        <v>5.5555555555555358E-3</v>
      </c>
      <c r="AB1667" s="722"/>
    </row>
    <row r="1668" spans="1:28" x14ac:dyDescent="0.35">
      <c r="A1668" s="98" t="s">
        <v>5042</v>
      </c>
      <c r="C1668" s="118">
        <v>43886</v>
      </c>
      <c r="D1668" s="318">
        <v>43930</v>
      </c>
      <c r="E1668" s="570"/>
      <c r="F1668" s="88" t="s">
        <v>5129</v>
      </c>
      <c r="G1668" s="88" t="s">
        <v>158</v>
      </c>
      <c r="H1668" s="98" t="s">
        <v>220</v>
      </c>
      <c r="I1668" s="98" t="s">
        <v>1004</v>
      </c>
      <c r="J1668" s="75">
        <f t="shared" si="146"/>
        <v>1</v>
      </c>
      <c r="K1668" s="76" t="s">
        <v>211</v>
      </c>
      <c r="N1668" s="78" t="s">
        <v>19</v>
      </c>
      <c r="Q1668" s="78" t="s">
        <v>2056</v>
      </c>
      <c r="R1668" s="75">
        <f t="shared" si="147"/>
        <v>1</v>
      </c>
      <c r="S1668" s="263" t="s">
        <v>1991</v>
      </c>
      <c r="T1668" s="263" t="s">
        <v>934</v>
      </c>
      <c r="AA1668" s="576">
        <f t="shared" si="148"/>
        <v>0</v>
      </c>
      <c r="AB1668" s="722"/>
    </row>
    <row r="1669" spans="1:28" x14ac:dyDescent="0.35">
      <c r="A1669" s="98" t="s">
        <v>5043</v>
      </c>
      <c r="C1669" s="118">
        <v>43886</v>
      </c>
      <c r="D1669" s="318">
        <v>43963</v>
      </c>
      <c r="E1669" s="570">
        <v>43927</v>
      </c>
      <c r="F1669" s="88" t="s">
        <v>5130</v>
      </c>
      <c r="G1669" s="88" t="s">
        <v>176</v>
      </c>
      <c r="H1669" s="98" t="s">
        <v>220</v>
      </c>
      <c r="I1669" s="98" t="s">
        <v>1308</v>
      </c>
      <c r="J1669" s="75">
        <f t="shared" si="146"/>
        <v>1</v>
      </c>
      <c r="K1669" s="76" t="s">
        <v>211</v>
      </c>
      <c r="N1669" s="78" t="s">
        <v>18</v>
      </c>
      <c r="Q1669" s="78" t="s">
        <v>2056</v>
      </c>
      <c r="R1669" s="75">
        <f t="shared" si="147"/>
        <v>1</v>
      </c>
      <c r="S1669" s="263" t="s">
        <v>1991</v>
      </c>
      <c r="T1669" s="263" t="s">
        <v>933</v>
      </c>
      <c r="X1669" s="304" t="s">
        <v>6225</v>
      </c>
      <c r="Y1669" s="576">
        <v>0.67152777777777783</v>
      </c>
      <c r="Z1669" s="576">
        <v>0.67986111111111114</v>
      </c>
      <c r="AA1669" s="576">
        <f t="shared" si="148"/>
        <v>8.3333333333333037E-3</v>
      </c>
      <c r="AB1669" s="722"/>
    </row>
    <row r="1670" spans="1:28" x14ac:dyDescent="0.35">
      <c r="A1670" s="81" t="s">
        <v>5653</v>
      </c>
      <c r="C1670" s="118">
        <v>43895</v>
      </c>
      <c r="D1670" s="118">
        <v>43927</v>
      </c>
      <c r="E1670" s="570"/>
      <c r="F1670" s="88" t="s">
        <v>5804</v>
      </c>
      <c r="G1670" s="88" t="s">
        <v>152</v>
      </c>
      <c r="H1670" s="98" t="s">
        <v>220</v>
      </c>
      <c r="J1670" s="75">
        <f t="shared" ref="J1670:J1700" si="149">IF(OR(K1670="Документы готовы",K1670="Запрос в ФО",K1670="ЭЗ",K1670="РЕШ",K1670="РЕШ шаблон"),0.1,IF(OR(K1670="ЭЗ согласование",K1670="РЕШ согласование"),0.3,IF(OR(K1670="ЭЗ согласовано",K1670="РЕШ согласовано",K1670="РЕШ подписано"),0.6,IF(OR(K1670="ЭЗ ПР согласование",K1670="РЕШ УВ согласование"),0.9,IF(OR(K1670="ЭЗ ПР DONE",K1670="РЕШ УВ DONE"),1,0)))))</f>
        <v>1</v>
      </c>
      <c r="K1670" s="76" t="s">
        <v>221</v>
      </c>
      <c r="Q1670" s="78" t="s">
        <v>5501</v>
      </c>
      <c r="R1670" s="75">
        <f t="shared" ref="R1670:R1700" si="150">IF(S1670="В работе",0.3,IF(S1670="Отписано",0.6,IF(S1670="На доработку",0.9,IF(S1670="Согласовано",1,0))))</f>
        <v>1</v>
      </c>
      <c r="S1670" s="263" t="s">
        <v>1991</v>
      </c>
      <c r="T1670" s="263"/>
      <c r="AA1670" s="576">
        <f t="shared" si="148"/>
        <v>0</v>
      </c>
      <c r="AB1670" s="722"/>
    </row>
    <row r="1671" spans="1:28" x14ac:dyDescent="0.35">
      <c r="A1671" s="98" t="s">
        <v>5654</v>
      </c>
      <c r="C1671" s="118">
        <v>43895</v>
      </c>
      <c r="D1671" s="318">
        <v>43927</v>
      </c>
      <c r="E1671" s="570"/>
      <c r="F1671" s="88" t="s">
        <v>5805</v>
      </c>
      <c r="G1671" s="88" t="s">
        <v>152</v>
      </c>
      <c r="H1671" s="98" t="s">
        <v>220</v>
      </c>
      <c r="I1671" s="98" t="s">
        <v>656</v>
      </c>
      <c r="J1671" s="75">
        <f t="shared" si="149"/>
        <v>1</v>
      </c>
      <c r="K1671" s="76" t="s">
        <v>211</v>
      </c>
      <c r="N1671" s="78" t="s">
        <v>17</v>
      </c>
      <c r="Q1671" s="78" t="s">
        <v>2163</v>
      </c>
      <c r="R1671" s="75">
        <f t="shared" si="150"/>
        <v>1</v>
      </c>
      <c r="S1671" s="263" t="s">
        <v>1991</v>
      </c>
      <c r="T1671" s="263" t="s">
        <v>934</v>
      </c>
      <c r="AA1671" s="576">
        <f t="shared" si="148"/>
        <v>0</v>
      </c>
      <c r="AB1671" s="722"/>
    </row>
    <row r="1672" spans="1:28" x14ac:dyDescent="0.35">
      <c r="A1672" s="81" t="s">
        <v>5655</v>
      </c>
      <c r="C1672" s="118">
        <v>43895</v>
      </c>
      <c r="D1672" s="118">
        <v>43927</v>
      </c>
      <c r="E1672" s="570"/>
      <c r="F1672" s="88" t="s">
        <v>5806</v>
      </c>
      <c r="G1672" s="88" t="s">
        <v>152</v>
      </c>
      <c r="H1672" s="98" t="s">
        <v>220</v>
      </c>
      <c r="J1672" s="75">
        <f t="shared" si="149"/>
        <v>1</v>
      </c>
      <c r="K1672" s="76" t="s">
        <v>221</v>
      </c>
      <c r="Q1672" s="78" t="s">
        <v>5501</v>
      </c>
      <c r="R1672" s="75">
        <f t="shared" si="150"/>
        <v>1</v>
      </c>
      <c r="S1672" s="263" t="s">
        <v>1991</v>
      </c>
      <c r="T1672" s="263"/>
      <c r="AA1672" s="576">
        <f t="shared" si="148"/>
        <v>0</v>
      </c>
      <c r="AB1672" s="722"/>
    </row>
    <row r="1673" spans="1:28" x14ac:dyDescent="0.35">
      <c r="A1673" s="569" t="s">
        <v>5656</v>
      </c>
      <c r="C1673" s="118">
        <v>43895</v>
      </c>
      <c r="D1673" s="318">
        <v>43957</v>
      </c>
      <c r="E1673" s="570"/>
      <c r="F1673" s="88" t="s">
        <v>5807</v>
      </c>
      <c r="G1673" s="88" t="s">
        <v>154</v>
      </c>
      <c r="H1673" s="98" t="s">
        <v>220</v>
      </c>
      <c r="I1673" s="98" t="s">
        <v>691</v>
      </c>
      <c r="J1673" s="75">
        <f t="shared" si="149"/>
        <v>1</v>
      </c>
      <c r="K1673" s="76" t="s">
        <v>211</v>
      </c>
      <c r="N1673" s="78" t="s">
        <v>18</v>
      </c>
      <c r="Q1673" s="78" t="s">
        <v>2097</v>
      </c>
      <c r="R1673" s="75">
        <f t="shared" si="150"/>
        <v>1</v>
      </c>
      <c r="S1673" s="263" t="s">
        <v>1991</v>
      </c>
      <c r="T1673" s="263" t="s">
        <v>934</v>
      </c>
      <c r="U1673" s="304" t="s">
        <v>5592</v>
      </c>
      <c r="V1673" s="304" t="s">
        <v>6033</v>
      </c>
      <c r="AA1673" s="576">
        <f t="shared" si="148"/>
        <v>0</v>
      </c>
      <c r="AB1673" s="722"/>
    </row>
    <row r="1674" spans="1:28" x14ac:dyDescent="0.35">
      <c r="A1674" s="81" t="s">
        <v>5657</v>
      </c>
      <c r="C1674" s="118">
        <v>43895</v>
      </c>
      <c r="D1674" s="318">
        <v>43927</v>
      </c>
      <c r="E1674" s="570"/>
      <c r="F1674" s="88" t="s">
        <v>5808</v>
      </c>
      <c r="G1674" s="88" t="s">
        <v>1692</v>
      </c>
      <c r="H1674" s="98" t="s">
        <v>220</v>
      </c>
      <c r="I1674" s="98" t="s">
        <v>1213</v>
      </c>
      <c r="J1674" s="75">
        <f t="shared" si="149"/>
        <v>1</v>
      </c>
      <c r="K1674" s="76" t="s">
        <v>211</v>
      </c>
      <c r="N1674" s="78" t="s">
        <v>18</v>
      </c>
      <c r="Q1674" s="78" t="s">
        <v>2447</v>
      </c>
      <c r="R1674" s="75">
        <f t="shared" si="150"/>
        <v>1</v>
      </c>
      <c r="S1674" s="263" t="s">
        <v>1991</v>
      </c>
      <c r="T1674" s="263" t="s">
        <v>934</v>
      </c>
      <c r="U1674" s="81"/>
      <c r="AA1674" s="576">
        <f t="shared" si="148"/>
        <v>0</v>
      </c>
      <c r="AB1674" s="722"/>
    </row>
    <row r="1675" spans="1:28" x14ac:dyDescent="0.35">
      <c r="A1675" s="355" t="s">
        <v>5659</v>
      </c>
      <c r="C1675" s="118">
        <v>43895</v>
      </c>
      <c r="D1675" s="318">
        <v>43957</v>
      </c>
      <c r="E1675" s="570"/>
      <c r="F1675" s="88" t="s">
        <v>5810</v>
      </c>
      <c r="G1675" s="88" t="s">
        <v>154</v>
      </c>
      <c r="H1675" s="98" t="s">
        <v>220</v>
      </c>
      <c r="I1675" s="98" t="s">
        <v>722</v>
      </c>
      <c r="J1675" s="75">
        <f t="shared" si="149"/>
        <v>1</v>
      </c>
      <c r="K1675" s="76" t="s">
        <v>211</v>
      </c>
      <c r="N1675" s="78" t="s">
        <v>18</v>
      </c>
      <c r="Q1675" s="78" t="s">
        <v>2447</v>
      </c>
      <c r="R1675" s="75">
        <f t="shared" si="150"/>
        <v>1</v>
      </c>
      <c r="S1675" s="263" t="s">
        <v>1991</v>
      </c>
      <c r="T1675" s="263" t="s">
        <v>932</v>
      </c>
      <c r="AA1675" s="576">
        <f t="shared" si="148"/>
        <v>0</v>
      </c>
      <c r="AB1675" s="722"/>
    </row>
    <row r="1676" spans="1:28" x14ac:dyDescent="0.35">
      <c r="A1676" s="98" t="s">
        <v>5660</v>
      </c>
      <c r="C1676" s="118">
        <v>43895</v>
      </c>
      <c r="D1676" s="318">
        <v>43927</v>
      </c>
      <c r="E1676" s="570"/>
      <c r="F1676" s="88" t="s">
        <v>5811</v>
      </c>
      <c r="G1676" s="88" t="s">
        <v>162</v>
      </c>
      <c r="H1676" s="98" t="s">
        <v>220</v>
      </c>
      <c r="I1676" s="98" t="s">
        <v>1122</v>
      </c>
      <c r="J1676" s="75">
        <f t="shared" si="149"/>
        <v>1</v>
      </c>
      <c r="K1676" s="76" t="s">
        <v>211</v>
      </c>
      <c r="N1676" s="78" t="s">
        <v>18</v>
      </c>
      <c r="Q1676" s="78" t="s">
        <v>2056</v>
      </c>
      <c r="R1676" s="75">
        <f t="shared" si="150"/>
        <v>1</v>
      </c>
      <c r="S1676" s="263" t="s">
        <v>1991</v>
      </c>
      <c r="T1676" s="263" t="s">
        <v>933</v>
      </c>
      <c r="AA1676" s="576">
        <f t="shared" si="148"/>
        <v>0</v>
      </c>
      <c r="AB1676" s="722"/>
    </row>
    <row r="1677" spans="1:28" x14ac:dyDescent="0.35">
      <c r="A1677" s="81" t="s">
        <v>5662</v>
      </c>
      <c r="C1677" s="118">
        <v>43895</v>
      </c>
      <c r="D1677" s="318">
        <v>43927</v>
      </c>
      <c r="E1677" s="570"/>
      <c r="F1677" s="88" t="s">
        <v>5813</v>
      </c>
      <c r="G1677" s="88" t="s">
        <v>162</v>
      </c>
      <c r="H1677" s="98" t="s">
        <v>220</v>
      </c>
      <c r="I1677" s="98" t="s">
        <v>763</v>
      </c>
      <c r="J1677" s="75">
        <f t="shared" si="149"/>
        <v>1</v>
      </c>
      <c r="K1677" s="76" t="s">
        <v>211</v>
      </c>
      <c r="N1677" s="78" t="s">
        <v>18</v>
      </c>
      <c r="Q1677" s="78" t="s">
        <v>5501</v>
      </c>
      <c r="R1677" s="75">
        <f t="shared" si="150"/>
        <v>1</v>
      </c>
      <c r="S1677" s="263" t="s">
        <v>1991</v>
      </c>
      <c r="T1677" s="263" t="s">
        <v>932</v>
      </c>
      <c r="AA1677" s="576">
        <f t="shared" si="148"/>
        <v>0</v>
      </c>
      <c r="AB1677" s="722"/>
    </row>
    <row r="1678" spans="1:28" x14ac:dyDescent="0.35">
      <c r="A1678" s="98" t="s">
        <v>5663</v>
      </c>
      <c r="C1678" s="118">
        <v>43895</v>
      </c>
      <c r="D1678" s="318">
        <v>43927</v>
      </c>
      <c r="E1678" s="570"/>
      <c r="F1678" s="88" t="s">
        <v>5814</v>
      </c>
      <c r="G1678" s="88" t="s">
        <v>179</v>
      </c>
      <c r="H1678" s="98" t="s">
        <v>220</v>
      </c>
      <c r="I1678" s="98" t="s">
        <v>656</v>
      </c>
      <c r="J1678" s="75">
        <f t="shared" si="149"/>
        <v>1</v>
      </c>
      <c r="K1678" s="76" t="s">
        <v>211</v>
      </c>
      <c r="L1678" s="99" t="s">
        <v>6030</v>
      </c>
      <c r="N1678" s="78" t="s">
        <v>18</v>
      </c>
      <c r="Q1678" s="78" t="s">
        <v>2056</v>
      </c>
      <c r="R1678" s="75">
        <f t="shared" si="150"/>
        <v>1</v>
      </c>
      <c r="S1678" s="263" t="s">
        <v>1991</v>
      </c>
      <c r="T1678" s="263" t="s">
        <v>932</v>
      </c>
      <c r="U1678" s="304" t="s">
        <v>5592</v>
      </c>
      <c r="V1678" s="304" t="s">
        <v>6031</v>
      </c>
      <c r="AA1678" s="576">
        <f t="shared" si="148"/>
        <v>0</v>
      </c>
      <c r="AB1678" s="722"/>
    </row>
    <row r="1679" spans="1:28" x14ac:dyDescent="0.35">
      <c r="A1679" s="81" t="s">
        <v>5666</v>
      </c>
      <c r="C1679" s="118">
        <v>43895</v>
      </c>
      <c r="D1679" s="118">
        <v>43927</v>
      </c>
      <c r="E1679" s="570"/>
      <c r="F1679" s="88" t="s">
        <v>5817</v>
      </c>
      <c r="G1679" s="88" t="s">
        <v>162</v>
      </c>
      <c r="H1679" s="98" t="s">
        <v>220</v>
      </c>
      <c r="J1679" s="75">
        <f t="shared" si="149"/>
        <v>1</v>
      </c>
      <c r="K1679" s="76" t="s">
        <v>221</v>
      </c>
      <c r="Q1679" s="78" t="s">
        <v>5501</v>
      </c>
      <c r="R1679" s="75">
        <f t="shared" si="150"/>
        <v>1</v>
      </c>
      <c r="S1679" s="263" t="s">
        <v>1991</v>
      </c>
      <c r="T1679" s="263"/>
      <c r="AA1679" s="576">
        <f t="shared" si="148"/>
        <v>0</v>
      </c>
      <c r="AB1679" s="722"/>
    </row>
    <row r="1680" spans="1:28" x14ac:dyDescent="0.35">
      <c r="A1680" s="355" t="s">
        <v>5667</v>
      </c>
      <c r="C1680" s="118">
        <v>43895</v>
      </c>
      <c r="D1680" s="318">
        <v>43957</v>
      </c>
      <c r="E1680" s="570">
        <v>43928</v>
      </c>
      <c r="F1680" s="88" t="s">
        <v>5818</v>
      </c>
      <c r="G1680" s="88" t="s">
        <v>154</v>
      </c>
      <c r="H1680" s="98" t="s">
        <v>220</v>
      </c>
      <c r="I1680" s="98" t="s">
        <v>2516</v>
      </c>
      <c r="J1680" s="75">
        <f t="shared" si="149"/>
        <v>1</v>
      </c>
      <c r="K1680" s="76" t="s">
        <v>211</v>
      </c>
      <c r="L1680" s="99" t="s">
        <v>6032</v>
      </c>
      <c r="N1680" s="78" t="s">
        <v>17</v>
      </c>
      <c r="Q1680" s="78" t="s">
        <v>2130</v>
      </c>
      <c r="R1680" s="75">
        <f t="shared" si="150"/>
        <v>1</v>
      </c>
      <c r="S1680" s="263" t="s">
        <v>1991</v>
      </c>
      <c r="T1680" s="263" t="s">
        <v>933</v>
      </c>
      <c r="U1680" s="304" t="s">
        <v>5592</v>
      </c>
      <c r="V1680" s="304" t="s">
        <v>6228</v>
      </c>
      <c r="X1680" s="304" t="s">
        <v>6379</v>
      </c>
      <c r="Y1680" s="576">
        <v>0.3659722222222222</v>
      </c>
      <c r="Z1680" s="576">
        <v>0.3979166666666667</v>
      </c>
      <c r="AA1680" s="576">
        <f t="shared" si="148"/>
        <v>3.1944444444444497E-2</v>
      </c>
      <c r="AB1680" s="722"/>
    </row>
    <row r="1681" spans="1:28" x14ac:dyDescent="0.35">
      <c r="A1681" s="81" t="s">
        <v>5668</v>
      </c>
      <c r="C1681" s="118">
        <v>43895</v>
      </c>
      <c r="D1681" s="118">
        <v>43927</v>
      </c>
      <c r="E1681" s="570"/>
      <c r="F1681" s="88" t="s">
        <v>5819</v>
      </c>
      <c r="G1681" s="88" t="s">
        <v>193</v>
      </c>
      <c r="H1681" s="98" t="s">
        <v>220</v>
      </c>
      <c r="J1681" s="75">
        <f t="shared" si="149"/>
        <v>1</v>
      </c>
      <c r="K1681" s="76" t="s">
        <v>221</v>
      </c>
      <c r="Q1681" s="78" t="s">
        <v>5501</v>
      </c>
      <c r="R1681" s="75">
        <f t="shared" si="150"/>
        <v>1</v>
      </c>
      <c r="S1681" s="263" t="s">
        <v>1991</v>
      </c>
      <c r="T1681" s="263"/>
      <c r="AA1681" s="576">
        <f t="shared" si="148"/>
        <v>0</v>
      </c>
      <c r="AB1681" s="722"/>
    </row>
    <row r="1682" spans="1:28" x14ac:dyDescent="0.35">
      <c r="A1682" s="81" t="s">
        <v>5669</v>
      </c>
      <c r="C1682" s="118">
        <v>43895</v>
      </c>
      <c r="D1682" s="118">
        <v>43927</v>
      </c>
      <c r="E1682" s="570"/>
      <c r="F1682" s="88" t="s">
        <v>5820</v>
      </c>
      <c r="G1682" s="88" t="s">
        <v>176</v>
      </c>
      <c r="H1682" s="98" t="s">
        <v>220</v>
      </c>
      <c r="J1682" s="75">
        <f t="shared" si="149"/>
        <v>1</v>
      </c>
      <c r="K1682" s="76" t="s">
        <v>221</v>
      </c>
      <c r="Q1682" s="78" t="s">
        <v>5501</v>
      </c>
      <c r="R1682" s="75">
        <f t="shared" si="150"/>
        <v>1</v>
      </c>
      <c r="S1682" s="263" t="s">
        <v>1991</v>
      </c>
      <c r="T1682" s="263"/>
      <c r="AA1682" s="576">
        <f t="shared" si="148"/>
        <v>0</v>
      </c>
      <c r="AB1682" s="722"/>
    </row>
    <row r="1683" spans="1:28" x14ac:dyDescent="0.35">
      <c r="A1683" s="81" t="s">
        <v>5671</v>
      </c>
      <c r="C1683" s="118">
        <v>43895</v>
      </c>
      <c r="D1683" s="318">
        <v>43927</v>
      </c>
      <c r="E1683" s="570"/>
      <c r="F1683" s="88" t="s">
        <v>5822</v>
      </c>
      <c r="G1683" s="88" t="s">
        <v>176</v>
      </c>
      <c r="H1683" s="98" t="s">
        <v>220</v>
      </c>
      <c r="I1683" s="98" t="s">
        <v>1004</v>
      </c>
      <c r="J1683" s="75">
        <f t="shared" si="149"/>
        <v>1</v>
      </c>
      <c r="K1683" s="76" t="s">
        <v>211</v>
      </c>
      <c r="L1683" s="99" t="s">
        <v>5930</v>
      </c>
      <c r="N1683" s="78" t="s">
        <v>19</v>
      </c>
      <c r="Q1683" s="78" t="s">
        <v>2447</v>
      </c>
      <c r="R1683" s="75">
        <f t="shared" si="150"/>
        <v>1</v>
      </c>
      <c r="S1683" s="263" t="s">
        <v>1991</v>
      </c>
      <c r="T1683" s="263" t="s">
        <v>932</v>
      </c>
      <c r="AA1683" s="576">
        <f t="shared" si="148"/>
        <v>0</v>
      </c>
      <c r="AB1683" s="722"/>
    </row>
    <row r="1684" spans="1:28" x14ac:dyDescent="0.35">
      <c r="A1684" s="355" t="s">
        <v>5672</v>
      </c>
      <c r="C1684" s="118">
        <v>43895</v>
      </c>
      <c r="D1684" s="318">
        <v>43957</v>
      </c>
      <c r="E1684" s="570">
        <v>43927</v>
      </c>
      <c r="F1684" s="88" t="s">
        <v>5823</v>
      </c>
      <c r="G1684" s="88" t="s">
        <v>158</v>
      </c>
      <c r="H1684" s="98" t="s">
        <v>220</v>
      </c>
      <c r="I1684" s="98" t="s">
        <v>2516</v>
      </c>
      <c r="J1684" s="75">
        <f t="shared" si="149"/>
        <v>1</v>
      </c>
      <c r="K1684" s="76" t="s">
        <v>211</v>
      </c>
      <c r="L1684" s="99"/>
      <c r="N1684" s="78" t="s">
        <v>17</v>
      </c>
      <c r="Q1684" s="78" t="s">
        <v>2056</v>
      </c>
      <c r="R1684" s="75">
        <f t="shared" si="150"/>
        <v>1</v>
      </c>
      <c r="S1684" s="263" t="s">
        <v>1991</v>
      </c>
      <c r="T1684" s="263" t="s">
        <v>932</v>
      </c>
      <c r="Y1684" s="576">
        <v>0.6875</v>
      </c>
      <c r="Z1684" s="576">
        <v>0.70208333333333339</v>
      </c>
      <c r="AA1684" s="576">
        <f t="shared" si="148"/>
        <v>1.4583333333333393E-2</v>
      </c>
      <c r="AB1684" s="722"/>
    </row>
    <row r="1685" spans="1:28" x14ac:dyDescent="0.35">
      <c r="A1685" s="98" t="s">
        <v>5674</v>
      </c>
      <c r="C1685" s="118">
        <v>43896</v>
      </c>
      <c r="D1685" s="318">
        <v>43928</v>
      </c>
      <c r="E1685" s="570"/>
      <c r="F1685" s="88" t="s">
        <v>5825</v>
      </c>
      <c r="G1685" s="88" t="s">
        <v>3866</v>
      </c>
      <c r="H1685" s="98" t="s">
        <v>220</v>
      </c>
      <c r="I1685" s="98" t="s">
        <v>656</v>
      </c>
      <c r="J1685" s="75">
        <f t="shared" si="149"/>
        <v>1</v>
      </c>
      <c r="K1685" s="76" t="s">
        <v>211</v>
      </c>
      <c r="N1685" s="78" t="s">
        <v>17</v>
      </c>
      <c r="Q1685" s="78" t="s">
        <v>2163</v>
      </c>
      <c r="R1685" s="75">
        <f t="shared" si="150"/>
        <v>1</v>
      </c>
      <c r="S1685" s="263" t="s">
        <v>1991</v>
      </c>
      <c r="T1685" s="263" t="s">
        <v>934</v>
      </c>
      <c r="AA1685" s="576">
        <f t="shared" si="148"/>
        <v>0</v>
      </c>
      <c r="AB1685" s="722"/>
    </row>
    <row r="1686" spans="1:28" x14ac:dyDescent="0.35">
      <c r="A1686" s="98" t="s">
        <v>5678</v>
      </c>
      <c r="C1686" s="118">
        <v>43896</v>
      </c>
      <c r="D1686" s="318">
        <v>43928</v>
      </c>
      <c r="E1686" s="570"/>
      <c r="F1686" s="88" t="s">
        <v>5829</v>
      </c>
      <c r="G1686" s="88" t="s">
        <v>170</v>
      </c>
      <c r="H1686" s="98" t="s">
        <v>220</v>
      </c>
      <c r="I1686" s="98" t="s">
        <v>656</v>
      </c>
      <c r="J1686" s="75">
        <f t="shared" si="149"/>
        <v>1</v>
      </c>
      <c r="K1686" s="76" t="s">
        <v>211</v>
      </c>
      <c r="N1686" s="78" t="s">
        <v>17</v>
      </c>
      <c r="Q1686" s="78" t="s">
        <v>2130</v>
      </c>
      <c r="R1686" s="75">
        <f t="shared" si="150"/>
        <v>1</v>
      </c>
      <c r="S1686" s="263" t="s">
        <v>1991</v>
      </c>
      <c r="T1686" s="263" t="s">
        <v>932</v>
      </c>
      <c r="AA1686" s="576">
        <f t="shared" si="148"/>
        <v>0</v>
      </c>
      <c r="AB1686" s="722"/>
    </row>
    <row r="1687" spans="1:28" x14ac:dyDescent="0.35">
      <c r="A1687" s="98" t="s">
        <v>5679</v>
      </c>
      <c r="C1687" s="118">
        <v>43896</v>
      </c>
      <c r="D1687" s="318">
        <v>43928</v>
      </c>
      <c r="E1687" s="570"/>
      <c r="F1687" s="88" t="s">
        <v>5830</v>
      </c>
      <c r="G1687" s="88" t="s">
        <v>149</v>
      </c>
      <c r="H1687" s="98" t="s">
        <v>220</v>
      </c>
      <c r="I1687" s="98" t="s">
        <v>6040</v>
      </c>
      <c r="J1687" s="75">
        <f t="shared" si="149"/>
        <v>1</v>
      </c>
      <c r="K1687" s="76" t="s">
        <v>211</v>
      </c>
      <c r="L1687" s="99" t="s">
        <v>6039</v>
      </c>
      <c r="N1687" s="78" t="s">
        <v>18</v>
      </c>
      <c r="Q1687" s="78" t="s">
        <v>2163</v>
      </c>
      <c r="R1687" s="75">
        <f t="shared" si="150"/>
        <v>1</v>
      </c>
      <c r="S1687" s="263" t="s">
        <v>1991</v>
      </c>
      <c r="T1687" s="263" t="s">
        <v>932</v>
      </c>
      <c r="AA1687" s="576">
        <f t="shared" si="148"/>
        <v>0</v>
      </c>
      <c r="AB1687" s="722"/>
    </row>
    <row r="1688" spans="1:28" x14ac:dyDescent="0.35">
      <c r="A1688" s="98" t="s">
        <v>5681</v>
      </c>
      <c r="C1688" s="118">
        <v>43896</v>
      </c>
      <c r="D1688" s="318">
        <v>43928</v>
      </c>
      <c r="E1688" s="570"/>
      <c r="F1688" s="88" t="s">
        <v>5832</v>
      </c>
      <c r="G1688" s="88" t="s">
        <v>152</v>
      </c>
      <c r="H1688" s="98" t="s">
        <v>220</v>
      </c>
      <c r="I1688" s="98" t="s">
        <v>3557</v>
      </c>
      <c r="J1688" s="75">
        <f t="shared" si="149"/>
        <v>1</v>
      </c>
      <c r="K1688" s="76" t="s">
        <v>211</v>
      </c>
      <c r="N1688" s="78" t="s">
        <v>18</v>
      </c>
      <c r="Q1688" s="78" t="s">
        <v>2097</v>
      </c>
      <c r="R1688" s="75">
        <f t="shared" si="150"/>
        <v>1</v>
      </c>
      <c r="S1688" s="263" t="s">
        <v>1991</v>
      </c>
      <c r="T1688" s="263" t="s">
        <v>933</v>
      </c>
      <c r="AA1688" s="576">
        <f t="shared" si="148"/>
        <v>0</v>
      </c>
      <c r="AB1688" s="722"/>
    </row>
    <row r="1689" spans="1:28" x14ac:dyDescent="0.35">
      <c r="A1689" s="81" t="s">
        <v>5689</v>
      </c>
      <c r="C1689" s="118">
        <v>43896</v>
      </c>
      <c r="D1689" s="318">
        <v>43927</v>
      </c>
      <c r="E1689" s="570"/>
      <c r="F1689" s="88" t="s">
        <v>5840</v>
      </c>
      <c r="G1689" s="88" t="s">
        <v>417</v>
      </c>
      <c r="H1689" s="98" t="s">
        <v>220</v>
      </c>
      <c r="I1689" s="98" t="s">
        <v>3901</v>
      </c>
      <c r="J1689" s="75">
        <f t="shared" si="149"/>
        <v>1</v>
      </c>
      <c r="K1689" s="76" t="s">
        <v>211</v>
      </c>
      <c r="N1689" s="78" t="s">
        <v>17</v>
      </c>
      <c r="Q1689" s="78" t="s">
        <v>2163</v>
      </c>
      <c r="R1689" s="75">
        <f t="shared" si="150"/>
        <v>1</v>
      </c>
      <c r="S1689" s="263" t="s">
        <v>1991</v>
      </c>
      <c r="T1689" s="263" t="s">
        <v>933</v>
      </c>
      <c r="AA1689" s="576">
        <f t="shared" si="148"/>
        <v>0</v>
      </c>
      <c r="AB1689" s="722"/>
    </row>
    <row r="1690" spans="1:28" x14ac:dyDescent="0.35">
      <c r="A1690" s="81" t="s">
        <v>5690</v>
      </c>
      <c r="C1690" s="118">
        <v>43896</v>
      </c>
      <c r="D1690" s="318">
        <v>43927</v>
      </c>
      <c r="E1690" s="570"/>
      <c r="F1690" s="88" t="s">
        <v>5841</v>
      </c>
      <c r="G1690" s="88" t="s">
        <v>186</v>
      </c>
      <c r="H1690" s="98" t="s">
        <v>220</v>
      </c>
      <c r="I1690" s="98" t="s">
        <v>730</v>
      </c>
      <c r="J1690" s="75">
        <f t="shared" si="149"/>
        <v>1</v>
      </c>
      <c r="K1690" s="76" t="s">
        <v>211</v>
      </c>
      <c r="N1690" s="78" t="s">
        <v>18</v>
      </c>
      <c r="Q1690" s="78" t="s">
        <v>2447</v>
      </c>
      <c r="R1690" s="75">
        <f t="shared" si="150"/>
        <v>1</v>
      </c>
      <c r="S1690" s="263" t="s">
        <v>1991</v>
      </c>
      <c r="T1690" s="263" t="s">
        <v>934</v>
      </c>
      <c r="AA1690" s="576">
        <f t="shared" si="148"/>
        <v>0</v>
      </c>
      <c r="AB1690" s="722"/>
    </row>
    <row r="1691" spans="1:28" x14ac:dyDescent="0.35">
      <c r="A1691" s="81" t="s">
        <v>5691</v>
      </c>
      <c r="C1691" s="118">
        <v>43896</v>
      </c>
      <c r="D1691" s="318">
        <v>43927</v>
      </c>
      <c r="E1691" s="570"/>
      <c r="F1691" s="88" t="s">
        <v>5842</v>
      </c>
      <c r="G1691" s="88" t="s">
        <v>162</v>
      </c>
      <c r="H1691" s="98" t="s">
        <v>220</v>
      </c>
      <c r="I1691" s="98" t="s">
        <v>656</v>
      </c>
      <c r="J1691" s="75">
        <f t="shared" si="149"/>
        <v>1</v>
      </c>
      <c r="K1691" s="76" t="s">
        <v>211</v>
      </c>
      <c r="N1691" s="78" t="s">
        <v>17</v>
      </c>
      <c r="Q1691" s="78" t="s">
        <v>2447</v>
      </c>
      <c r="R1691" s="75">
        <f t="shared" si="150"/>
        <v>1</v>
      </c>
      <c r="S1691" s="263" t="s">
        <v>1991</v>
      </c>
      <c r="T1691" s="263" t="s">
        <v>933</v>
      </c>
      <c r="AA1691" s="576">
        <f t="shared" ref="AA1691:AA1754" si="151">Z1691-Y1691</f>
        <v>0</v>
      </c>
      <c r="AB1691" s="722"/>
    </row>
    <row r="1692" spans="1:28" x14ac:dyDescent="0.35">
      <c r="A1692" s="81" t="s">
        <v>5692</v>
      </c>
      <c r="C1692" s="118">
        <v>43896</v>
      </c>
      <c r="D1692" s="318">
        <v>43928</v>
      </c>
      <c r="E1692" s="570"/>
      <c r="F1692" s="88" t="s">
        <v>5843</v>
      </c>
      <c r="G1692" s="88" t="s">
        <v>162</v>
      </c>
      <c r="H1692" s="98" t="s">
        <v>220</v>
      </c>
      <c r="I1692" s="98" t="s">
        <v>3221</v>
      </c>
      <c r="J1692" s="75">
        <f t="shared" si="149"/>
        <v>1</v>
      </c>
      <c r="K1692" s="76" t="s">
        <v>211</v>
      </c>
      <c r="N1692" s="78" t="s">
        <v>17</v>
      </c>
      <c r="Q1692" s="78" t="s">
        <v>5501</v>
      </c>
      <c r="R1692" s="75">
        <f t="shared" si="150"/>
        <v>1</v>
      </c>
      <c r="S1692" s="263" t="s">
        <v>1991</v>
      </c>
      <c r="T1692" s="263" t="s">
        <v>932</v>
      </c>
      <c r="AA1692" s="576">
        <f t="shared" si="151"/>
        <v>0</v>
      </c>
      <c r="AB1692" s="722"/>
    </row>
    <row r="1693" spans="1:28" x14ac:dyDescent="0.35">
      <c r="A1693" s="355" t="s">
        <v>5693</v>
      </c>
      <c r="C1693" s="118">
        <v>43896</v>
      </c>
      <c r="D1693" s="318">
        <v>43958</v>
      </c>
      <c r="E1693" s="570"/>
      <c r="F1693" s="88" t="s">
        <v>5844</v>
      </c>
      <c r="G1693" s="88" t="s">
        <v>160</v>
      </c>
      <c r="H1693" s="98" t="s">
        <v>220</v>
      </c>
      <c r="I1693" s="98" t="s">
        <v>649</v>
      </c>
      <c r="J1693" s="75">
        <f t="shared" si="149"/>
        <v>1</v>
      </c>
      <c r="K1693" s="76" t="s">
        <v>211</v>
      </c>
      <c r="N1693" s="78" t="s">
        <v>18</v>
      </c>
      <c r="Q1693" s="78" t="s">
        <v>2447</v>
      </c>
      <c r="R1693" s="75">
        <f t="shared" si="150"/>
        <v>1</v>
      </c>
      <c r="S1693" s="263" t="s">
        <v>1991</v>
      </c>
      <c r="T1693" s="263" t="s">
        <v>934</v>
      </c>
      <c r="AA1693" s="576">
        <f t="shared" si="151"/>
        <v>0</v>
      </c>
      <c r="AB1693" s="722"/>
    </row>
    <row r="1694" spans="1:28" x14ac:dyDescent="0.35">
      <c r="A1694" s="81" t="s">
        <v>5694</v>
      </c>
      <c r="C1694" s="118">
        <v>43900</v>
      </c>
      <c r="D1694" s="318">
        <v>43928</v>
      </c>
      <c r="E1694" s="570"/>
      <c r="F1694" s="88" t="s">
        <v>5845</v>
      </c>
      <c r="G1694" s="88" t="s">
        <v>158</v>
      </c>
      <c r="H1694" s="98" t="s">
        <v>220</v>
      </c>
      <c r="I1694" s="98" t="s">
        <v>656</v>
      </c>
      <c r="J1694" s="75">
        <f t="shared" si="149"/>
        <v>1</v>
      </c>
      <c r="K1694" s="76" t="s">
        <v>211</v>
      </c>
      <c r="N1694" s="78" t="s">
        <v>18</v>
      </c>
      <c r="Q1694" s="78" t="s">
        <v>5501</v>
      </c>
      <c r="R1694" s="75">
        <f t="shared" si="150"/>
        <v>1</v>
      </c>
      <c r="S1694" s="263" t="s">
        <v>1991</v>
      </c>
      <c r="T1694" s="263" t="s">
        <v>932</v>
      </c>
      <c r="AA1694" s="576">
        <f t="shared" si="151"/>
        <v>0</v>
      </c>
      <c r="AB1694" s="722"/>
    </row>
    <row r="1695" spans="1:28" x14ac:dyDescent="0.35">
      <c r="A1695" s="81" t="s">
        <v>5695</v>
      </c>
      <c r="C1695" s="118">
        <v>43896</v>
      </c>
      <c r="D1695" s="318">
        <v>43928</v>
      </c>
      <c r="E1695" s="570"/>
      <c r="F1695" s="88" t="s">
        <v>5846</v>
      </c>
      <c r="G1695" s="88" t="s">
        <v>152</v>
      </c>
      <c r="H1695" s="98" t="s">
        <v>220</v>
      </c>
      <c r="I1695" s="98" t="s">
        <v>656</v>
      </c>
      <c r="J1695" s="75">
        <f t="shared" si="149"/>
        <v>1</v>
      </c>
      <c r="K1695" s="76" t="s">
        <v>211</v>
      </c>
      <c r="Q1695" s="78" t="s">
        <v>5501</v>
      </c>
      <c r="R1695" s="75">
        <f t="shared" si="150"/>
        <v>1</v>
      </c>
      <c r="S1695" s="263" t="s">
        <v>1991</v>
      </c>
      <c r="T1695" s="263" t="s">
        <v>934</v>
      </c>
      <c r="AA1695" s="576">
        <f t="shared" si="151"/>
        <v>0</v>
      </c>
      <c r="AB1695" s="722"/>
    </row>
    <row r="1696" spans="1:28" x14ac:dyDescent="0.35">
      <c r="A1696" s="81" t="s">
        <v>5699</v>
      </c>
      <c r="C1696" s="118">
        <v>43900</v>
      </c>
      <c r="D1696" s="318">
        <v>43928</v>
      </c>
      <c r="E1696" s="570"/>
      <c r="F1696" s="88" t="s">
        <v>5850</v>
      </c>
      <c r="G1696" s="88" t="s">
        <v>154</v>
      </c>
      <c r="H1696" s="98" t="s">
        <v>220</v>
      </c>
      <c r="I1696" s="98" t="s">
        <v>3553</v>
      </c>
      <c r="J1696" s="75">
        <f t="shared" si="149"/>
        <v>1</v>
      </c>
      <c r="K1696" s="76" t="s">
        <v>211</v>
      </c>
      <c r="Q1696" s="78" t="s">
        <v>2163</v>
      </c>
      <c r="R1696" s="75">
        <f t="shared" si="150"/>
        <v>1</v>
      </c>
      <c r="S1696" s="263" t="s">
        <v>1991</v>
      </c>
      <c r="T1696" s="263" t="s">
        <v>933</v>
      </c>
      <c r="AA1696" s="576">
        <f t="shared" si="151"/>
        <v>0</v>
      </c>
      <c r="AB1696" s="722"/>
    </row>
    <row r="1697" spans="1:28" x14ac:dyDescent="0.35">
      <c r="A1697" s="98" t="s">
        <v>5701</v>
      </c>
      <c r="C1697" s="118">
        <v>43900</v>
      </c>
      <c r="D1697" s="318">
        <v>43929</v>
      </c>
      <c r="E1697" s="570"/>
      <c r="F1697" s="88" t="s">
        <v>5852</v>
      </c>
      <c r="G1697" s="88" t="s">
        <v>162</v>
      </c>
      <c r="H1697" s="98" t="s">
        <v>220</v>
      </c>
      <c r="I1697" s="98" t="s">
        <v>6072</v>
      </c>
      <c r="J1697" s="75">
        <f t="shared" si="149"/>
        <v>1</v>
      </c>
      <c r="K1697" s="76" t="s">
        <v>211</v>
      </c>
      <c r="N1697" s="78" t="s">
        <v>18</v>
      </c>
      <c r="Q1697" s="78" t="s">
        <v>2163</v>
      </c>
      <c r="R1697" s="75">
        <f t="shared" si="150"/>
        <v>1</v>
      </c>
      <c r="S1697" s="263" t="s">
        <v>1991</v>
      </c>
      <c r="T1697" s="263" t="s">
        <v>932</v>
      </c>
      <c r="AA1697" s="576">
        <f t="shared" si="151"/>
        <v>0</v>
      </c>
      <c r="AB1697" s="722"/>
    </row>
    <row r="1698" spans="1:28" x14ac:dyDescent="0.35">
      <c r="A1698" s="81" t="s">
        <v>5702</v>
      </c>
      <c r="C1698" s="118">
        <v>43900</v>
      </c>
      <c r="D1698" s="118">
        <v>43929</v>
      </c>
      <c r="E1698" s="570"/>
      <c r="F1698" s="88" t="s">
        <v>5853</v>
      </c>
      <c r="G1698" s="88" t="s">
        <v>149</v>
      </c>
      <c r="H1698" s="98" t="s">
        <v>220</v>
      </c>
      <c r="J1698" s="75">
        <f t="shared" si="149"/>
        <v>1</v>
      </c>
      <c r="K1698" s="76" t="s">
        <v>221</v>
      </c>
      <c r="Q1698" s="78" t="s">
        <v>5501</v>
      </c>
      <c r="R1698" s="75">
        <f t="shared" si="150"/>
        <v>1</v>
      </c>
      <c r="S1698" s="263" t="s">
        <v>1991</v>
      </c>
      <c r="T1698" s="263"/>
      <c r="AA1698" s="576">
        <f t="shared" si="151"/>
        <v>0</v>
      </c>
      <c r="AB1698" s="722"/>
    </row>
    <row r="1699" spans="1:28" x14ac:dyDescent="0.35">
      <c r="A1699" s="98" t="s">
        <v>5703</v>
      </c>
      <c r="C1699" s="118">
        <v>43900</v>
      </c>
      <c r="D1699" s="318">
        <v>43929</v>
      </c>
      <c r="E1699" s="570"/>
      <c r="F1699" s="88" t="s">
        <v>5854</v>
      </c>
      <c r="G1699" s="88" t="s">
        <v>154</v>
      </c>
      <c r="H1699" s="98" t="s">
        <v>220</v>
      </c>
      <c r="I1699" s="98" t="s">
        <v>2516</v>
      </c>
      <c r="J1699" s="75">
        <f t="shared" si="149"/>
        <v>1</v>
      </c>
      <c r="K1699" s="76" t="s">
        <v>211</v>
      </c>
      <c r="N1699" s="78" t="s">
        <v>17</v>
      </c>
      <c r="Q1699" s="78" t="s">
        <v>2056</v>
      </c>
      <c r="R1699" s="75">
        <f t="shared" si="150"/>
        <v>1</v>
      </c>
      <c r="S1699" s="263" t="s">
        <v>1991</v>
      </c>
      <c r="T1699" s="263" t="s">
        <v>934</v>
      </c>
      <c r="AA1699" s="576">
        <f t="shared" si="151"/>
        <v>0</v>
      </c>
      <c r="AB1699" s="722"/>
    </row>
    <row r="1700" spans="1:28" x14ac:dyDescent="0.35">
      <c r="A1700" s="81" t="s">
        <v>5704</v>
      </c>
      <c r="C1700" s="118">
        <v>43900</v>
      </c>
      <c r="D1700" s="118">
        <v>43928</v>
      </c>
      <c r="E1700" s="570"/>
      <c r="F1700" s="88" t="s">
        <v>5855</v>
      </c>
      <c r="G1700" s="88" t="s">
        <v>195</v>
      </c>
      <c r="H1700" s="98" t="s">
        <v>220</v>
      </c>
      <c r="J1700" s="75">
        <f t="shared" si="149"/>
        <v>1</v>
      </c>
      <c r="K1700" s="76" t="s">
        <v>221</v>
      </c>
      <c r="Q1700" s="78" t="s">
        <v>5501</v>
      </c>
      <c r="R1700" s="75">
        <f t="shared" si="150"/>
        <v>1</v>
      </c>
      <c r="S1700" s="263" t="s">
        <v>1991</v>
      </c>
      <c r="T1700" s="263"/>
      <c r="AA1700" s="576">
        <f t="shared" si="151"/>
        <v>0</v>
      </c>
      <c r="AB1700" s="722"/>
    </row>
    <row r="1701" spans="1:28" x14ac:dyDescent="0.35">
      <c r="A1701" s="81" t="s">
        <v>5706</v>
      </c>
      <c r="C1701" s="118">
        <v>43900</v>
      </c>
      <c r="D1701" s="118">
        <v>43929</v>
      </c>
      <c r="E1701" s="570"/>
      <c r="F1701" s="88" t="s">
        <v>5857</v>
      </c>
      <c r="G1701" s="88" t="s">
        <v>152</v>
      </c>
      <c r="H1701" s="98" t="s">
        <v>220</v>
      </c>
      <c r="J1701" s="75">
        <f t="shared" ref="J1701:J1716" si="152">IF(OR(K1701="Документы готовы",K1701="Запрос в ФО",K1701="ЭЗ",K1701="РЕШ",K1701="РЕШ шаблон"),0.1,IF(OR(K1701="ЭЗ согласование",K1701="РЕШ согласование"),0.3,IF(OR(K1701="ЭЗ согласовано",K1701="РЕШ согласовано",K1701="РЕШ подписано"),0.6,IF(OR(K1701="ЭЗ ПР согласование",K1701="РЕШ УВ согласование"),0.9,IF(OR(K1701="ЭЗ ПР DONE",K1701="РЕШ УВ DONE"),1,0)))))</f>
        <v>1</v>
      </c>
      <c r="K1701" s="76" t="s">
        <v>221</v>
      </c>
      <c r="Q1701" s="78" t="s">
        <v>5501</v>
      </c>
      <c r="R1701" s="75">
        <f t="shared" ref="R1701:R1716" si="153">IF(S1701="В работе",0.3,IF(S1701="Отписано",0.6,IF(S1701="На доработку",0.9,IF(S1701="Согласовано",1,0))))</f>
        <v>1</v>
      </c>
      <c r="S1701" s="263" t="s">
        <v>1991</v>
      </c>
      <c r="T1701" s="263"/>
      <c r="AA1701" s="576">
        <f t="shared" si="151"/>
        <v>0</v>
      </c>
      <c r="AB1701" s="722"/>
    </row>
    <row r="1702" spans="1:28" x14ac:dyDescent="0.35">
      <c r="A1702" s="98" t="s">
        <v>5708</v>
      </c>
      <c r="C1702" s="118">
        <v>43900</v>
      </c>
      <c r="D1702" s="318">
        <v>43928</v>
      </c>
      <c r="E1702" s="570"/>
      <c r="F1702" s="88" t="s">
        <v>5859</v>
      </c>
      <c r="G1702" s="88" t="s">
        <v>160</v>
      </c>
      <c r="H1702" s="98" t="s">
        <v>220</v>
      </c>
      <c r="I1702" s="98" t="s">
        <v>763</v>
      </c>
      <c r="J1702" s="75">
        <f t="shared" si="152"/>
        <v>1</v>
      </c>
      <c r="K1702" s="76" t="s">
        <v>211</v>
      </c>
      <c r="Q1702" s="78" t="s">
        <v>2130</v>
      </c>
      <c r="R1702" s="75">
        <f t="shared" si="153"/>
        <v>1</v>
      </c>
      <c r="S1702" s="263" t="s">
        <v>1991</v>
      </c>
      <c r="T1702" s="263" t="s">
        <v>933</v>
      </c>
      <c r="AA1702" s="576">
        <f t="shared" si="151"/>
        <v>0</v>
      </c>
      <c r="AB1702" s="722"/>
    </row>
    <row r="1703" spans="1:28" x14ac:dyDescent="0.35">
      <c r="A1703" s="81" t="s">
        <v>5710</v>
      </c>
      <c r="C1703" s="118">
        <v>43900</v>
      </c>
      <c r="D1703" s="318">
        <v>43929</v>
      </c>
      <c r="E1703" s="570"/>
      <c r="F1703" s="88" t="s">
        <v>5861</v>
      </c>
      <c r="G1703" s="88" t="s">
        <v>149</v>
      </c>
      <c r="H1703" s="98" t="s">
        <v>220</v>
      </c>
      <c r="I1703" s="98" t="s">
        <v>6100</v>
      </c>
      <c r="J1703" s="75">
        <f t="shared" si="152"/>
        <v>1</v>
      </c>
      <c r="K1703" s="76" t="s">
        <v>211</v>
      </c>
      <c r="N1703" s="78" t="s">
        <v>18</v>
      </c>
      <c r="Q1703" s="78" t="s">
        <v>2163</v>
      </c>
      <c r="R1703" s="75">
        <f t="shared" si="153"/>
        <v>1</v>
      </c>
      <c r="S1703" s="263" t="s">
        <v>1991</v>
      </c>
      <c r="T1703" s="263" t="s">
        <v>933</v>
      </c>
      <c r="AA1703" s="576">
        <f t="shared" si="151"/>
        <v>0</v>
      </c>
      <c r="AB1703" s="722"/>
    </row>
    <row r="1704" spans="1:28" x14ac:dyDescent="0.35">
      <c r="A1704" s="81" t="s">
        <v>5712</v>
      </c>
      <c r="C1704" s="118">
        <v>43900</v>
      </c>
      <c r="D1704" s="318">
        <v>43929</v>
      </c>
      <c r="E1704" s="570"/>
      <c r="F1704" s="88" t="s">
        <v>5863</v>
      </c>
      <c r="G1704" s="88" t="s">
        <v>152</v>
      </c>
      <c r="H1704" s="98" t="s">
        <v>220</v>
      </c>
      <c r="I1704" s="98" t="s">
        <v>3557</v>
      </c>
      <c r="J1704" s="75">
        <f t="shared" si="152"/>
        <v>1</v>
      </c>
      <c r="K1704" s="76" t="s">
        <v>211</v>
      </c>
      <c r="Q1704" s="78" t="s">
        <v>2130</v>
      </c>
      <c r="R1704" s="75">
        <f t="shared" si="153"/>
        <v>1</v>
      </c>
      <c r="S1704" s="263" t="s">
        <v>1991</v>
      </c>
      <c r="T1704" s="263" t="s">
        <v>934</v>
      </c>
      <c r="AA1704" s="576">
        <f t="shared" si="151"/>
        <v>0</v>
      </c>
      <c r="AB1704" s="722"/>
    </row>
    <row r="1705" spans="1:28" x14ac:dyDescent="0.35">
      <c r="A1705" s="81" t="s">
        <v>5713</v>
      </c>
      <c r="C1705" s="118">
        <v>43900</v>
      </c>
      <c r="D1705" s="318">
        <v>43929</v>
      </c>
      <c r="E1705" s="570"/>
      <c r="F1705" s="88" t="s">
        <v>5864</v>
      </c>
      <c r="G1705" s="88" t="s">
        <v>154</v>
      </c>
      <c r="H1705" s="98" t="s">
        <v>220</v>
      </c>
      <c r="I1705" s="98" t="s">
        <v>656</v>
      </c>
      <c r="J1705" s="75">
        <f t="shared" si="152"/>
        <v>1</v>
      </c>
      <c r="K1705" s="76" t="s">
        <v>211</v>
      </c>
      <c r="Q1705" s="78" t="s">
        <v>2447</v>
      </c>
      <c r="R1705" s="75">
        <f t="shared" si="153"/>
        <v>1</v>
      </c>
      <c r="S1705" s="263" t="s">
        <v>1991</v>
      </c>
      <c r="T1705" s="263" t="s">
        <v>933</v>
      </c>
      <c r="U1705" s="304" t="s">
        <v>5592</v>
      </c>
      <c r="V1705" s="304" t="s">
        <v>6061</v>
      </c>
      <c r="AA1705" s="576">
        <f t="shared" si="151"/>
        <v>0</v>
      </c>
      <c r="AB1705" s="722"/>
    </row>
    <row r="1706" spans="1:28" x14ac:dyDescent="0.35">
      <c r="A1706" s="98" t="s">
        <v>5715</v>
      </c>
      <c r="C1706" s="118">
        <v>43900</v>
      </c>
      <c r="D1706" s="318">
        <v>43929</v>
      </c>
      <c r="E1706" s="570"/>
      <c r="F1706" s="88" t="s">
        <v>5866</v>
      </c>
      <c r="G1706" s="88" t="s">
        <v>154</v>
      </c>
      <c r="H1706" s="98" t="s">
        <v>220</v>
      </c>
      <c r="I1706" s="98" t="s">
        <v>2904</v>
      </c>
      <c r="J1706" s="75">
        <f t="shared" si="152"/>
        <v>1</v>
      </c>
      <c r="K1706" s="76" t="s">
        <v>211</v>
      </c>
      <c r="N1706" s="78" t="s">
        <v>17</v>
      </c>
      <c r="Q1706" s="78" t="s">
        <v>2056</v>
      </c>
      <c r="R1706" s="75">
        <f t="shared" si="153"/>
        <v>1</v>
      </c>
      <c r="S1706" s="263" t="s">
        <v>1991</v>
      </c>
      <c r="T1706" s="263" t="s">
        <v>933</v>
      </c>
      <c r="AA1706" s="576">
        <f t="shared" si="151"/>
        <v>0</v>
      </c>
      <c r="AB1706" s="722"/>
    </row>
    <row r="1707" spans="1:28" x14ac:dyDescent="0.35">
      <c r="A1707" s="81" t="s">
        <v>5718</v>
      </c>
      <c r="C1707" s="118">
        <v>43900</v>
      </c>
      <c r="D1707" s="318">
        <v>43929</v>
      </c>
      <c r="E1707" s="570"/>
      <c r="F1707" s="88" t="s">
        <v>5869</v>
      </c>
      <c r="G1707" s="88" t="s">
        <v>152</v>
      </c>
      <c r="H1707" s="98" t="s">
        <v>220</v>
      </c>
      <c r="I1707" s="98" t="s">
        <v>730</v>
      </c>
      <c r="J1707" s="75">
        <f t="shared" si="152"/>
        <v>1</v>
      </c>
      <c r="K1707" s="76" t="s">
        <v>211</v>
      </c>
      <c r="Q1707" s="78" t="s">
        <v>2447</v>
      </c>
      <c r="R1707" s="75">
        <f t="shared" si="153"/>
        <v>1</v>
      </c>
      <c r="S1707" s="263" t="s">
        <v>1991</v>
      </c>
      <c r="T1707" s="263" t="s">
        <v>934</v>
      </c>
      <c r="AA1707" s="576">
        <f t="shared" si="151"/>
        <v>0</v>
      </c>
      <c r="AB1707" s="722"/>
    </row>
    <row r="1708" spans="1:28" x14ac:dyDescent="0.35">
      <c r="A1708" s="98" t="s">
        <v>5719</v>
      </c>
      <c r="C1708" s="118">
        <v>43900</v>
      </c>
      <c r="D1708" s="318">
        <v>43958</v>
      </c>
      <c r="E1708" s="570"/>
      <c r="F1708" s="88" t="s">
        <v>5870</v>
      </c>
      <c r="G1708" s="88" t="s">
        <v>176</v>
      </c>
      <c r="H1708" s="98" t="s">
        <v>220</v>
      </c>
      <c r="I1708" s="98" t="s">
        <v>665</v>
      </c>
      <c r="J1708" s="75">
        <f t="shared" si="152"/>
        <v>1</v>
      </c>
      <c r="K1708" s="76" t="s">
        <v>211</v>
      </c>
      <c r="L1708" s="99" t="s">
        <v>6041</v>
      </c>
      <c r="N1708" s="78" t="s">
        <v>18</v>
      </c>
      <c r="Q1708" s="78" t="s">
        <v>2097</v>
      </c>
      <c r="R1708" s="75">
        <f t="shared" si="153"/>
        <v>1</v>
      </c>
      <c r="S1708" s="263" t="s">
        <v>1991</v>
      </c>
      <c r="T1708" s="263" t="s">
        <v>934</v>
      </c>
      <c r="U1708" s="304" t="s">
        <v>5592</v>
      </c>
      <c r="V1708" s="304" t="s">
        <v>6042</v>
      </c>
      <c r="AA1708" s="576">
        <f t="shared" si="151"/>
        <v>0</v>
      </c>
      <c r="AB1708" s="722"/>
    </row>
    <row r="1709" spans="1:28" x14ac:dyDescent="0.35">
      <c r="A1709" s="81" t="s">
        <v>5721</v>
      </c>
      <c r="C1709" s="118">
        <v>43900</v>
      </c>
      <c r="D1709" s="118">
        <v>43928</v>
      </c>
      <c r="E1709" s="570"/>
      <c r="F1709" s="88" t="s">
        <v>5871</v>
      </c>
      <c r="G1709" s="88" t="s">
        <v>162</v>
      </c>
      <c r="H1709" s="98" t="s">
        <v>220</v>
      </c>
      <c r="J1709" s="75">
        <f t="shared" si="152"/>
        <v>1</v>
      </c>
      <c r="K1709" s="76" t="s">
        <v>221</v>
      </c>
      <c r="Q1709" s="78" t="s">
        <v>5501</v>
      </c>
      <c r="R1709" s="75">
        <f t="shared" si="153"/>
        <v>1</v>
      </c>
      <c r="S1709" s="263" t="s">
        <v>1991</v>
      </c>
      <c r="T1709" s="263"/>
      <c r="AA1709" s="576">
        <f t="shared" si="151"/>
        <v>0</v>
      </c>
      <c r="AB1709" s="722"/>
    </row>
    <row r="1710" spans="1:28" x14ac:dyDescent="0.35">
      <c r="A1710" s="81" t="s">
        <v>5726</v>
      </c>
      <c r="C1710" s="118">
        <v>43900</v>
      </c>
      <c r="D1710" s="118">
        <v>43929</v>
      </c>
      <c r="E1710" s="570"/>
      <c r="F1710" s="88" t="s">
        <v>5876</v>
      </c>
      <c r="G1710" s="88" t="s">
        <v>156</v>
      </c>
      <c r="H1710" s="98" t="s">
        <v>220</v>
      </c>
      <c r="J1710" s="75">
        <f t="shared" si="152"/>
        <v>1</v>
      </c>
      <c r="K1710" s="76" t="s">
        <v>221</v>
      </c>
      <c r="Q1710" s="78" t="s">
        <v>5501</v>
      </c>
      <c r="R1710" s="75">
        <f t="shared" si="153"/>
        <v>1</v>
      </c>
      <c r="S1710" s="263" t="s">
        <v>1991</v>
      </c>
      <c r="T1710" s="263"/>
      <c r="AA1710" s="576">
        <f t="shared" si="151"/>
        <v>0</v>
      </c>
      <c r="AB1710" s="722"/>
    </row>
    <row r="1711" spans="1:28" x14ac:dyDescent="0.35">
      <c r="A1711" s="81" t="s">
        <v>5729</v>
      </c>
      <c r="C1711" s="118">
        <v>43901</v>
      </c>
      <c r="D1711" s="318">
        <v>43929</v>
      </c>
      <c r="E1711" s="570"/>
      <c r="F1711" s="88" t="s">
        <v>5879</v>
      </c>
      <c r="G1711" s="88" t="s">
        <v>154</v>
      </c>
      <c r="H1711" s="98" t="s">
        <v>220</v>
      </c>
      <c r="I1711" s="98" t="s">
        <v>5215</v>
      </c>
      <c r="J1711" s="75">
        <f t="shared" si="152"/>
        <v>1</v>
      </c>
      <c r="K1711" s="76" t="s">
        <v>211</v>
      </c>
      <c r="N1711" s="78" t="s">
        <v>19</v>
      </c>
      <c r="Q1711" s="78" t="s">
        <v>2163</v>
      </c>
      <c r="R1711" s="75">
        <f t="shared" si="153"/>
        <v>1</v>
      </c>
      <c r="S1711" s="263" t="s">
        <v>1991</v>
      </c>
      <c r="T1711" s="263" t="s">
        <v>934</v>
      </c>
      <c r="AA1711" s="576">
        <f t="shared" si="151"/>
        <v>0</v>
      </c>
      <c r="AB1711" s="722"/>
    </row>
    <row r="1712" spans="1:28" x14ac:dyDescent="0.35">
      <c r="A1712" s="81" t="s">
        <v>5730</v>
      </c>
      <c r="C1712" s="118">
        <v>43901</v>
      </c>
      <c r="D1712" s="118">
        <v>43929</v>
      </c>
      <c r="E1712" s="570"/>
      <c r="F1712" s="88" t="s">
        <v>5880</v>
      </c>
      <c r="G1712" s="88" t="s">
        <v>162</v>
      </c>
      <c r="H1712" s="98" t="s">
        <v>220</v>
      </c>
      <c r="J1712" s="75">
        <f t="shared" si="152"/>
        <v>1</v>
      </c>
      <c r="K1712" s="76" t="s">
        <v>221</v>
      </c>
      <c r="Q1712" s="78" t="s">
        <v>5501</v>
      </c>
      <c r="R1712" s="75">
        <f t="shared" si="153"/>
        <v>1</v>
      </c>
      <c r="S1712" s="263" t="s">
        <v>1991</v>
      </c>
      <c r="T1712" s="263"/>
      <c r="AA1712" s="576">
        <f t="shared" si="151"/>
        <v>0</v>
      </c>
      <c r="AB1712" s="722"/>
    </row>
    <row r="1713" spans="1:28" x14ac:dyDescent="0.35">
      <c r="A1713" s="98" t="s">
        <v>5731</v>
      </c>
      <c r="C1713" s="118">
        <v>43901</v>
      </c>
      <c r="D1713" s="318">
        <v>43929</v>
      </c>
      <c r="E1713" s="570"/>
      <c r="F1713" s="88" t="s">
        <v>5881</v>
      </c>
      <c r="G1713" s="88" t="s">
        <v>179</v>
      </c>
      <c r="H1713" s="98" t="s">
        <v>220</v>
      </c>
      <c r="I1713" s="98" t="s">
        <v>656</v>
      </c>
      <c r="J1713" s="75">
        <f t="shared" si="152"/>
        <v>1</v>
      </c>
      <c r="K1713" s="76" t="s">
        <v>211</v>
      </c>
      <c r="N1713" s="78" t="s">
        <v>18</v>
      </c>
      <c r="Q1713" s="78" t="s">
        <v>2056</v>
      </c>
      <c r="R1713" s="75">
        <f t="shared" si="153"/>
        <v>1</v>
      </c>
      <c r="S1713" s="263" t="s">
        <v>1991</v>
      </c>
      <c r="T1713" s="263" t="s">
        <v>933</v>
      </c>
      <c r="U1713" s="304" t="s">
        <v>5592</v>
      </c>
      <c r="V1713" s="304" t="s">
        <v>6062</v>
      </c>
      <c r="AA1713" s="576">
        <f t="shared" si="151"/>
        <v>0</v>
      </c>
      <c r="AB1713" s="722"/>
    </row>
    <row r="1714" spans="1:28" x14ac:dyDescent="0.35">
      <c r="A1714" s="81" t="s">
        <v>5733</v>
      </c>
      <c r="C1714" s="118">
        <v>43901</v>
      </c>
      <c r="D1714" s="318">
        <v>43930</v>
      </c>
      <c r="E1714" s="570"/>
      <c r="F1714" s="88" t="s">
        <v>5883</v>
      </c>
      <c r="G1714" s="88" t="s">
        <v>154</v>
      </c>
      <c r="H1714" s="98" t="s">
        <v>220</v>
      </c>
      <c r="I1714" s="98" t="s">
        <v>3260</v>
      </c>
      <c r="J1714" s="75">
        <f t="shared" si="152"/>
        <v>1</v>
      </c>
      <c r="K1714" s="76" t="s">
        <v>211</v>
      </c>
      <c r="L1714" t="s">
        <v>6079</v>
      </c>
      <c r="N1714" s="78" t="s">
        <v>19</v>
      </c>
      <c r="Q1714" s="78" t="s">
        <v>2447</v>
      </c>
      <c r="R1714" s="75">
        <f t="shared" si="153"/>
        <v>1</v>
      </c>
      <c r="S1714" s="263" t="s">
        <v>1991</v>
      </c>
      <c r="T1714" s="263" t="s">
        <v>933</v>
      </c>
      <c r="U1714" s="304" t="s">
        <v>5592</v>
      </c>
      <c r="V1714" s="304" t="s">
        <v>6074</v>
      </c>
      <c r="AA1714" s="576">
        <f t="shared" si="151"/>
        <v>0</v>
      </c>
      <c r="AB1714" s="722"/>
    </row>
    <row r="1715" spans="1:28" x14ac:dyDescent="0.35">
      <c r="A1715" s="98" t="s">
        <v>5734</v>
      </c>
      <c r="C1715" s="118">
        <v>43901</v>
      </c>
      <c r="D1715" s="318">
        <v>43930</v>
      </c>
      <c r="E1715" s="570"/>
      <c r="F1715" s="88" t="s">
        <v>5884</v>
      </c>
      <c r="G1715" s="88" t="s">
        <v>154</v>
      </c>
      <c r="H1715" s="98" t="s">
        <v>220</v>
      </c>
      <c r="I1715" s="98" t="s">
        <v>730</v>
      </c>
      <c r="J1715" s="75">
        <f t="shared" si="152"/>
        <v>1</v>
      </c>
      <c r="K1715" s="76" t="s">
        <v>211</v>
      </c>
      <c r="N1715" s="78" t="s">
        <v>18</v>
      </c>
      <c r="Q1715" s="78" t="s">
        <v>2130</v>
      </c>
      <c r="R1715" s="75">
        <f t="shared" si="153"/>
        <v>1</v>
      </c>
      <c r="S1715" s="263" t="s">
        <v>1991</v>
      </c>
      <c r="T1715" s="263" t="s">
        <v>933</v>
      </c>
      <c r="AA1715" s="576">
        <f t="shared" si="151"/>
        <v>0</v>
      </c>
      <c r="AB1715" s="722"/>
    </row>
    <row r="1716" spans="1:28" x14ac:dyDescent="0.35">
      <c r="A1716" s="81" t="s">
        <v>5755</v>
      </c>
      <c r="C1716" s="118">
        <v>43902</v>
      </c>
      <c r="D1716" s="318">
        <v>43930</v>
      </c>
      <c r="E1716" s="570"/>
      <c r="F1716" s="88" t="s">
        <v>5905</v>
      </c>
      <c r="G1716" s="88" t="s">
        <v>179</v>
      </c>
      <c r="H1716" s="98" t="s">
        <v>220</v>
      </c>
      <c r="I1716" s="98" t="s">
        <v>656</v>
      </c>
      <c r="J1716" s="75">
        <f t="shared" si="152"/>
        <v>1</v>
      </c>
      <c r="K1716" s="76" t="s">
        <v>211</v>
      </c>
      <c r="N1716" s="78" t="s">
        <v>18</v>
      </c>
      <c r="Q1716" s="78" t="s">
        <v>2447</v>
      </c>
      <c r="R1716" s="75">
        <f t="shared" si="153"/>
        <v>1</v>
      </c>
      <c r="S1716" s="263" t="s">
        <v>1991</v>
      </c>
      <c r="T1716" s="263"/>
      <c r="AA1716" s="576">
        <f t="shared" si="151"/>
        <v>0</v>
      </c>
      <c r="AB1716" s="722"/>
    </row>
    <row r="1717" spans="1:28" x14ac:dyDescent="0.35">
      <c r="A1717" s="98" t="s">
        <v>6064</v>
      </c>
      <c r="C1717" s="83">
        <v>43881</v>
      </c>
      <c r="D1717" s="112">
        <v>43928</v>
      </c>
      <c r="E1717" s="570"/>
      <c r="F1717" s="99" t="s">
        <v>6065</v>
      </c>
      <c r="G1717" s="99" t="s">
        <v>154</v>
      </c>
      <c r="H1717" s="98" t="s">
        <v>220</v>
      </c>
      <c r="I1717" s="98" t="s">
        <v>649</v>
      </c>
      <c r="J1717" s="75">
        <f t="shared" ref="J1717:J1751" si="154">IF(OR(K1717="Документы готовы",K1717="Запрос в ФО",K1717="ЭЗ",K1717="РЕШ",K1717="РЕШ шаблон"),0.1,IF(OR(K1717="ЭЗ согласование",K1717="РЕШ согласование"),0.3,IF(OR(K1717="ЭЗ согласовано",K1717="РЕШ согласовано",K1717="РЕШ подписано"),0.6,IF(OR(K1717="ЭЗ ПР согласование",K1717="РЕШ УВ согласование"),0.9,IF(OR(K1717="ЭЗ ПР DONE",K1717="РЕШ УВ DONE"),1,0)))))</f>
        <v>1</v>
      </c>
      <c r="K1717" s="76" t="s">
        <v>211</v>
      </c>
      <c r="N1717" s="78" t="s">
        <v>17</v>
      </c>
      <c r="Q1717" s="304" t="s">
        <v>2163</v>
      </c>
      <c r="R1717" s="75">
        <f t="shared" ref="R1717:R1751" si="155">IF(S1717="В работе",0.3,IF(S1717="Отписано",0.6,IF(S1717="На доработку",0.9,IF(S1717="Согласовано",1,0))))</f>
        <v>1</v>
      </c>
      <c r="S1717" s="263" t="s">
        <v>1991</v>
      </c>
      <c r="T1717" s="263" t="s">
        <v>934</v>
      </c>
      <c r="AA1717" s="576">
        <f t="shared" si="151"/>
        <v>0</v>
      </c>
      <c r="AB1717" s="722"/>
    </row>
    <row r="1718" spans="1:28" x14ac:dyDescent="0.35">
      <c r="A1718" s="352" t="s">
        <v>6067</v>
      </c>
      <c r="C1718" s="83">
        <v>43880</v>
      </c>
      <c r="D1718" s="112">
        <v>43927</v>
      </c>
      <c r="E1718" s="570"/>
      <c r="F1718" s="99" t="s">
        <v>6066</v>
      </c>
      <c r="G1718" s="99" t="s">
        <v>168</v>
      </c>
      <c r="H1718" s="98" t="s">
        <v>220</v>
      </c>
      <c r="I1718" s="98" t="s">
        <v>722</v>
      </c>
      <c r="J1718" s="75">
        <f t="shared" si="154"/>
        <v>1</v>
      </c>
      <c r="K1718" s="76" t="s">
        <v>211</v>
      </c>
      <c r="N1718" s="78" t="s">
        <v>17</v>
      </c>
      <c r="Q1718" s="304" t="s">
        <v>5501</v>
      </c>
      <c r="R1718" s="75">
        <f t="shared" si="155"/>
        <v>1</v>
      </c>
      <c r="S1718" s="263" t="s">
        <v>1991</v>
      </c>
      <c r="T1718" s="263" t="s">
        <v>934</v>
      </c>
      <c r="AA1718" s="576">
        <f t="shared" si="151"/>
        <v>0</v>
      </c>
      <c r="AB1718" s="722"/>
    </row>
    <row r="1719" spans="1:28" x14ac:dyDescent="0.35">
      <c r="A1719" s="98" t="s">
        <v>6068</v>
      </c>
      <c r="C1719" s="83">
        <v>43880</v>
      </c>
      <c r="D1719" s="112">
        <v>43927</v>
      </c>
      <c r="E1719" s="570"/>
      <c r="F1719" s="88" t="s">
        <v>6069</v>
      </c>
      <c r="G1719" s="88" t="s">
        <v>183</v>
      </c>
      <c r="H1719" s="98" t="s">
        <v>220</v>
      </c>
      <c r="I1719" s="98" t="s">
        <v>652</v>
      </c>
      <c r="J1719" s="75">
        <f t="shared" si="154"/>
        <v>1</v>
      </c>
      <c r="K1719" s="76" t="s">
        <v>211</v>
      </c>
      <c r="N1719" s="78" t="s">
        <v>17</v>
      </c>
      <c r="Q1719" s="304" t="s">
        <v>2097</v>
      </c>
      <c r="R1719" s="75">
        <f t="shared" si="155"/>
        <v>1</v>
      </c>
      <c r="S1719" s="263" t="s">
        <v>1991</v>
      </c>
      <c r="T1719" s="263" t="s">
        <v>933</v>
      </c>
      <c r="U1719" s="304" t="s">
        <v>5592</v>
      </c>
      <c r="V1719" s="304" t="s">
        <v>6071</v>
      </c>
      <c r="AA1719" s="576">
        <f t="shared" si="151"/>
        <v>0</v>
      </c>
      <c r="AB1719" s="722"/>
    </row>
    <row r="1720" spans="1:28" x14ac:dyDescent="0.35">
      <c r="A1720" s="98" t="s">
        <v>6101</v>
      </c>
      <c r="C1720" s="83">
        <v>43882</v>
      </c>
      <c r="D1720" s="112">
        <v>43929</v>
      </c>
      <c r="E1720" s="570"/>
      <c r="F1720" s="99" t="s">
        <v>6102</v>
      </c>
      <c r="G1720" s="99" t="s">
        <v>417</v>
      </c>
      <c r="H1720" s="98" t="s">
        <v>220</v>
      </c>
      <c r="I1720" s="98" t="s">
        <v>649</v>
      </c>
      <c r="J1720" s="75">
        <f t="shared" si="154"/>
        <v>1</v>
      </c>
      <c r="K1720" s="76" t="s">
        <v>211</v>
      </c>
      <c r="N1720" s="78" t="s">
        <v>18</v>
      </c>
      <c r="Q1720" s="304" t="s">
        <v>2056</v>
      </c>
      <c r="R1720" s="75">
        <f t="shared" si="155"/>
        <v>1</v>
      </c>
      <c r="S1720" s="263" t="s">
        <v>1991</v>
      </c>
      <c r="T1720" s="263" t="s">
        <v>933</v>
      </c>
      <c r="AA1720" s="576">
        <f t="shared" si="151"/>
        <v>0</v>
      </c>
      <c r="AB1720" s="722"/>
    </row>
    <row r="1721" spans="1:28" x14ac:dyDescent="0.35">
      <c r="A1721" s="98" t="s">
        <v>5226</v>
      </c>
      <c r="C1721" s="118">
        <v>43867</v>
      </c>
      <c r="D1721" s="318">
        <v>43966</v>
      </c>
      <c r="E1721" s="83">
        <v>43929</v>
      </c>
      <c r="F1721" s="255" t="s">
        <v>5365</v>
      </c>
      <c r="G1721" s="88" t="s">
        <v>172</v>
      </c>
      <c r="H1721" s="98" t="s">
        <v>220</v>
      </c>
      <c r="I1721" s="98" t="s">
        <v>1004</v>
      </c>
      <c r="J1721" s="75">
        <f t="shared" si="154"/>
        <v>1</v>
      </c>
      <c r="K1721" s="76" t="s">
        <v>211</v>
      </c>
      <c r="N1721" s="78" t="s">
        <v>19</v>
      </c>
      <c r="Q1721" s="78" t="s">
        <v>2056</v>
      </c>
      <c r="R1721" s="75">
        <f t="shared" si="155"/>
        <v>1</v>
      </c>
      <c r="S1721" s="263" t="s">
        <v>1991</v>
      </c>
      <c r="T1721" s="263" t="s">
        <v>932</v>
      </c>
      <c r="Y1721" s="576">
        <v>0.64861111111111114</v>
      </c>
      <c r="Z1721" s="576">
        <v>0.66388888888888886</v>
      </c>
      <c r="AA1721" s="576">
        <f t="shared" si="151"/>
        <v>1.5277777777777724E-2</v>
      </c>
      <c r="AB1721" s="722"/>
    </row>
    <row r="1722" spans="1:28" x14ac:dyDescent="0.35">
      <c r="A1722" s="81" t="s">
        <v>4639</v>
      </c>
      <c r="C1722" s="118">
        <v>43872</v>
      </c>
      <c r="D1722" s="318">
        <v>43964</v>
      </c>
      <c r="E1722" s="83">
        <v>43930</v>
      </c>
      <c r="F1722" s="88" t="s">
        <v>4734</v>
      </c>
      <c r="G1722" s="88" t="s">
        <v>158</v>
      </c>
      <c r="H1722" s="98" t="s">
        <v>220</v>
      </c>
      <c r="I1722" s="98" t="s">
        <v>649</v>
      </c>
      <c r="J1722" s="75">
        <f t="shared" si="154"/>
        <v>1</v>
      </c>
      <c r="K1722" s="76" t="s">
        <v>211</v>
      </c>
      <c r="N1722" s="78" t="s">
        <v>18</v>
      </c>
      <c r="Q1722" s="78" t="s">
        <v>2097</v>
      </c>
      <c r="R1722" s="75">
        <f t="shared" si="155"/>
        <v>1</v>
      </c>
      <c r="S1722" s="263" t="s">
        <v>1991</v>
      </c>
      <c r="T1722" s="263" t="s">
        <v>934</v>
      </c>
      <c r="Y1722" s="576">
        <v>0.45526620370370369</v>
      </c>
      <c r="Z1722" s="576">
        <v>0.46218749999999997</v>
      </c>
      <c r="AA1722" s="576">
        <f t="shared" si="151"/>
        <v>6.9212962962962865E-3</v>
      </c>
      <c r="AB1722" s="722"/>
    </row>
    <row r="1723" spans="1:28" x14ac:dyDescent="0.35">
      <c r="A1723" s="98" t="s">
        <v>5631</v>
      </c>
      <c r="C1723" s="118">
        <v>43879</v>
      </c>
      <c r="D1723" s="318">
        <v>43964</v>
      </c>
      <c r="E1723" s="83">
        <v>43928</v>
      </c>
      <c r="F1723" s="88" t="s">
        <v>5782</v>
      </c>
      <c r="G1723" s="88" t="s">
        <v>154</v>
      </c>
      <c r="H1723" s="98" t="s">
        <v>220</v>
      </c>
      <c r="I1723" s="98" t="s">
        <v>3553</v>
      </c>
      <c r="J1723" s="75">
        <f t="shared" si="154"/>
        <v>1</v>
      </c>
      <c r="K1723" s="76" t="s">
        <v>211</v>
      </c>
      <c r="L1723" s="99" t="s">
        <v>6231</v>
      </c>
      <c r="N1723" s="78" t="s">
        <v>19</v>
      </c>
      <c r="Q1723" s="78" t="s">
        <v>2163</v>
      </c>
      <c r="R1723" s="75">
        <f t="shared" si="155"/>
        <v>1</v>
      </c>
      <c r="S1723" s="263" t="s">
        <v>1991</v>
      </c>
      <c r="T1723" s="263" t="s">
        <v>932</v>
      </c>
      <c r="Y1723" s="576">
        <v>0.50555555555555554</v>
      </c>
      <c r="Z1723" s="576">
        <v>0.51527777777777783</v>
      </c>
      <c r="AA1723" s="576">
        <f t="shared" si="151"/>
        <v>9.7222222222222987E-3</v>
      </c>
      <c r="AB1723" s="722"/>
    </row>
    <row r="1724" spans="1:28" x14ac:dyDescent="0.35">
      <c r="A1724" s="81" t="s">
        <v>5026</v>
      </c>
      <c r="C1724" s="118">
        <v>43886</v>
      </c>
      <c r="D1724" s="318">
        <v>43963</v>
      </c>
      <c r="E1724" s="83">
        <v>43928</v>
      </c>
      <c r="F1724" s="88" t="s">
        <v>5113</v>
      </c>
      <c r="G1724" s="88" t="s">
        <v>154</v>
      </c>
      <c r="H1724" s="98" t="s">
        <v>220</v>
      </c>
      <c r="I1724" s="98" t="s">
        <v>6230</v>
      </c>
      <c r="J1724" s="75">
        <f t="shared" si="154"/>
        <v>1</v>
      </c>
      <c r="K1724" s="76" t="s">
        <v>211</v>
      </c>
      <c r="N1724" s="78" t="s">
        <v>18</v>
      </c>
      <c r="Q1724" s="78" t="s">
        <v>2097</v>
      </c>
      <c r="R1724" s="75">
        <f t="shared" si="155"/>
        <v>1</v>
      </c>
      <c r="S1724" s="263" t="s">
        <v>1991</v>
      </c>
      <c r="T1724" s="263" t="s">
        <v>932</v>
      </c>
      <c r="U1724" s="304" t="s">
        <v>5592</v>
      </c>
      <c r="V1724" s="304" t="s">
        <v>6240</v>
      </c>
      <c r="Y1724" s="576">
        <v>0.47361111111111115</v>
      </c>
      <c r="Z1724" s="576">
        <v>0.50069444444444444</v>
      </c>
      <c r="AA1724" s="576">
        <f t="shared" si="151"/>
        <v>2.7083333333333293E-2</v>
      </c>
      <c r="AB1724" s="722"/>
    </row>
    <row r="1725" spans="1:28" x14ac:dyDescent="0.35">
      <c r="A1725" s="81" t="s">
        <v>5647</v>
      </c>
      <c r="C1725" s="118">
        <v>43886</v>
      </c>
      <c r="D1725" s="318">
        <v>43963</v>
      </c>
      <c r="E1725" s="83">
        <v>43928</v>
      </c>
      <c r="F1725" s="88" t="s">
        <v>5798</v>
      </c>
      <c r="G1725" s="88" t="s">
        <v>177</v>
      </c>
      <c r="H1725" s="98" t="s">
        <v>220</v>
      </c>
      <c r="I1725" s="98" t="s">
        <v>722</v>
      </c>
      <c r="J1725" s="75">
        <f t="shared" si="154"/>
        <v>1</v>
      </c>
      <c r="K1725" s="76" t="s">
        <v>211</v>
      </c>
      <c r="N1725" s="78" t="s">
        <v>17</v>
      </c>
      <c r="Q1725" s="78" t="s">
        <v>2447</v>
      </c>
      <c r="R1725" s="75">
        <f t="shared" si="155"/>
        <v>1</v>
      </c>
      <c r="S1725" s="263" t="s">
        <v>1991</v>
      </c>
      <c r="T1725" s="263" t="s">
        <v>934</v>
      </c>
      <c r="Y1725" s="576">
        <v>0.74652777777777779</v>
      </c>
      <c r="Z1725" s="576">
        <v>0.75486111111111109</v>
      </c>
      <c r="AA1725" s="576">
        <f t="shared" si="151"/>
        <v>8.3333333333333037E-3</v>
      </c>
      <c r="AB1725" s="722"/>
    </row>
    <row r="1726" spans="1:28" x14ac:dyDescent="0.35">
      <c r="A1726" s="81" t="s">
        <v>5038</v>
      </c>
      <c r="C1726" s="118">
        <v>43886</v>
      </c>
      <c r="D1726" s="318">
        <v>43963</v>
      </c>
      <c r="E1726" s="83">
        <v>43929</v>
      </c>
      <c r="F1726" s="88" t="s">
        <v>5125</v>
      </c>
      <c r="G1726" s="88" t="s">
        <v>158</v>
      </c>
      <c r="H1726" s="98" t="s">
        <v>220</v>
      </c>
      <c r="I1726" s="98" t="s">
        <v>649</v>
      </c>
      <c r="J1726" s="75">
        <f t="shared" si="154"/>
        <v>1</v>
      </c>
      <c r="K1726" s="76" t="s">
        <v>211</v>
      </c>
      <c r="N1726" s="78" t="s">
        <v>18</v>
      </c>
      <c r="Q1726" s="78" t="s">
        <v>2097</v>
      </c>
      <c r="R1726" s="75">
        <f t="shared" si="155"/>
        <v>1</v>
      </c>
      <c r="S1726" s="263" t="s">
        <v>1991</v>
      </c>
      <c r="T1726" s="263" t="s">
        <v>934</v>
      </c>
      <c r="Y1726" s="576">
        <v>0.4055555555555555</v>
      </c>
      <c r="Z1726" s="576">
        <v>0.41180555555555554</v>
      </c>
      <c r="AA1726" s="576">
        <f t="shared" si="151"/>
        <v>6.2500000000000333E-3</v>
      </c>
      <c r="AB1726" s="722"/>
    </row>
    <row r="1727" spans="1:28" x14ac:dyDescent="0.35">
      <c r="A1727" s="98" t="s">
        <v>5039</v>
      </c>
      <c r="C1727" s="118">
        <v>43886</v>
      </c>
      <c r="D1727" s="318">
        <v>43963</v>
      </c>
      <c r="E1727" s="83">
        <v>43927</v>
      </c>
      <c r="F1727" s="88" t="s">
        <v>5126</v>
      </c>
      <c r="G1727" s="88" t="s">
        <v>176</v>
      </c>
      <c r="H1727" s="98" t="s">
        <v>220</v>
      </c>
      <c r="I1727" s="98" t="s">
        <v>649</v>
      </c>
      <c r="J1727" s="75">
        <f t="shared" si="154"/>
        <v>1</v>
      </c>
      <c r="K1727" s="76" t="s">
        <v>211</v>
      </c>
      <c r="N1727" s="78" t="s">
        <v>18</v>
      </c>
      <c r="Q1727" s="78" t="s">
        <v>2163</v>
      </c>
      <c r="R1727" s="75">
        <f t="shared" si="155"/>
        <v>1</v>
      </c>
      <c r="S1727" s="263" t="s">
        <v>1991</v>
      </c>
      <c r="T1727" s="263" t="s">
        <v>934</v>
      </c>
      <c r="Y1727" s="576">
        <v>0.64930555555555558</v>
      </c>
      <c r="Z1727" s="576">
        <v>0.65625</v>
      </c>
      <c r="AA1727" s="576">
        <f t="shared" si="151"/>
        <v>6.9444444444444198E-3</v>
      </c>
      <c r="AB1727" s="722"/>
    </row>
    <row r="1728" spans="1:28" x14ac:dyDescent="0.35">
      <c r="A1728" s="81" t="s">
        <v>5040</v>
      </c>
      <c r="C1728" s="118">
        <v>43886</v>
      </c>
      <c r="D1728" s="318">
        <v>43963</v>
      </c>
      <c r="E1728" s="83">
        <v>43929</v>
      </c>
      <c r="F1728" s="88" t="s">
        <v>5127</v>
      </c>
      <c r="G1728" s="88" t="s">
        <v>179</v>
      </c>
      <c r="H1728" s="98" t="s">
        <v>220</v>
      </c>
      <c r="I1728" s="98" t="s">
        <v>722</v>
      </c>
      <c r="J1728" s="75">
        <f t="shared" si="154"/>
        <v>1</v>
      </c>
      <c r="K1728" s="76" t="s">
        <v>211</v>
      </c>
      <c r="N1728" s="78" t="s">
        <v>17</v>
      </c>
      <c r="Q1728" s="78" t="s">
        <v>2097</v>
      </c>
      <c r="R1728" s="75">
        <f t="shared" si="155"/>
        <v>1</v>
      </c>
      <c r="S1728" s="263" t="s">
        <v>1991</v>
      </c>
      <c r="T1728" s="263" t="s">
        <v>933</v>
      </c>
      <c r="Y1728" s="576">
        <v>0.43958333333333338</v>
      </c>
      <c r="Z1728" s="576">
        <v>0.45208333333333334</v>
      </c>
      <c r="AA1728" s="576">
        <f t="shared" si="151"/>
        <v>1.2499999999999956E-2</v>
      </c>
      <c r="AB1728" s="722"/>
    </row>
    <row r="1729" spans="1:28" x14ac:dyDescent="0.35">
      <c r="A1729" s="81" t="s">
        <v>5648</v>
      </c>
      <c r="C1729" s="118">
        <v>43886</v>
      </c>
      <c r="D1729" s="318">
        <v>43963</v>
      </c>
      <c r="E1729" s="83">
        <v>43928</v>
      </c>
      <c r="F1729" s="88" t="s">
        <v>5799</v>
      </c>
      <c r="G1729" s="88" t="s">
        <v>149</v>
      </c>
      <c r="H1729" s="98" t="s">
        <v>220</v>
      </c>
      <c r="I1729" s="98" t="s">
        <v>648</v>
      </c>
      <c r="J1729" s="75">
        <f t="shared" si="154"/>
        <v>1</v>
      </c>
      <c r="K1729" s="76" t="s">
        <v>211</v>
      </c>
      <c r="N1729" s="78" t="s">
        <v>17</v>
      </c>
      <c r="Q1729" s="78" t="s">
        <v>2447</v>
      </c>
      <c r="R1729" s="75">
        <f t="shared" si="155"/>
        <v>1</v>
      </c>
      <c r="S1729" s="263" t="s">
        <v>1991</v>
      </c>
      <c r="T1729" s="263" t="s">
        <v>932</v>
      </c>
      <c r="Y1729" s="576">
        <v>0.55486111111111114</v>
      </c>
      <c r="Z1729" s="576">
        <v>0.56111111111111112</v>
      </c>
      <c r="AA1729" s="576">
        <f t="shared" si="151"/>
        <v>6.2499999999999778E-3</v>
      </c>
      <c r="AB1729" s="722"/>
    </row>
    <row r="1730" spans="1:28" x14ac:dyDescent="0.35">
      <c r="A1730" s="81" t="s">
        <v>5649</v>
      </c>
      <c r="C1730" s="118">
        <v>43886</v>
      </c>
      <c r="D1730" s="318">
        <v>43963</v>
      </c>
      <c r="E1730" s="83">
        <v>43927</v>
      </c>
      <c r="F1730" s="88" t="s">
        <v>5800</v>
      </c>
      <c r="G1730" s="88" t="s">
        <v>160</v>
      </c>
      <c r="H1730" s="98" t="s">
        <v>220</v>
      </c>
      <c r="I1730" s="98" t="s">
        <v>722</v>
      </c>
      <c r="J1730" s="75">
        <f t="shared" si="154"/>
        <v>1</v>
      </c>
      <c r="K1730" s="76" t="s">
        <v>211</v>
      </c>
      <c r="N1730" s="78" t="s">
        <v>17</v>
      </c>
      <c r="Q1730" s="78" t="s">
        <v>2447</v>
      </c>
      <c r="R1730" s="75">
        <f t="shared" si="155"/>
        <v>1</v>
      </c>
      <c r="S1730" s="263" t="s">
        <v>1991</v>
      </c>
      <c r="T1730" s="263" t="s">
        <v>934</v>
      </c>
      <c r="Y1730" s="576">
        <v>0.63194444444444442</v>
      </c>
      <c r="Z1730" s="576">
        <v>0.6381944444444444</v>
      </c>
      <c r="AA1730" s="576">
        <f t="shared" si="151"/>
        <v>6.2499999999999778E-3</v>
      </c>
      <c r="AB1730" s="722"/>
    </row>
    <row r="1731" spans="1:28" x14ac:dyDescent="0.35">
      <c r="A1731" s="98" t="s">
        <v>5044</v>
      </c>
      <c r="C1731" s="118">
        <v>43887</v>
      </c>
      <c r="D1731" s="318">
        <v>43964</v>
      </c>
      <c r="E1731" s="83">
        <v>43928</v>
      </c>
      <c r="F1731" s="88" t="s">
        <v>5131</v>
      </c>
      <c r="G1731" s="88" t="s">
        <v>158</v>
      </c>
      <c r="H1731" s="98" t="s">
        <v>220</v>
      </c>
      <c r="I1731" s="98" t="s">
        <v>722</v>
      </c>
      <c r="J1731" s="75">
        <f t="shared" si="154"/>
        <v>1</v>
      </c>
      <c r="K1731" s="76" t="s">
        <v>211</v>
      </c>
      <c r="N1731" s="78" t="s">
        <v>17</v>
      </c>
      <c r="Q1731" s="78" t="s">
        <v>2163</v>
      </c>
      <c r="R1731" s="75">
        <f t="shared" si="155"/>
        <v>1</v>
      </c>
      <c r="S1731" s="263" t="s">
        <v>1991</v>
      </c>
      <c r="T1731" s="263" t="s">
        <v>933</v>
      </c>
      <c r="Y1731" s="576">
        <v>0.45555555555555555</v>
      </c>
      <c r="Z1731" s="576">
        <v>0.46875</v>
      </c>
      <c r="AA1731" s="576">
        <f t="shared" si="151"/>
        <v>1.3194444444444453E-2</v>
      </c>
      <c r="AB1731" s="722"/>
    </row>
    <row r="1732" spans="1:28" x14ac:dyDescent="0.35">
      <c r="A1732" s="81" t="s">
        <v>5650</v>
      </c>
      <c r="C1732" s="118">
        <v>43886</v>
      </c>
      <c r="D1732" s="318">
        <v>43963</v>
      </c>
      <c r="E1732" s="83">
        <v>43927</v>
      </c>
      <c r="F1732" s="88" t="s">
        <v>5801</v>
      </c>
      <c r="G1732" s="88" t="s">
        <v>152</v>
      </c>
      <c r="H1732" s="98" t="s">
        <v>220</v>
      </c>
      <c r="I1732" s="98" t="s">
        <v>722</v>
      </c>
      <c r="J1732" s="75">
        <f t="shared" si="154"/>
        <v>1</v>
      </c>
      <c r="K1732" s="76" t="s">
        <v>211</v>
      </c>
      <c r="N1732" s="78" t="s">
        <v>17</v>
      </c>
      <c r="Q1732" s="78" t="s">
        <v>2163</v>
      </c>
      <c r="R1732" s="75">
        <f t="shared" si="155"/>
        <v>1</v>
      </c>
      <c r="S1732" s="263" t="s">
        <v>1991</v>
      </c>
      <c r="T1732" s="263" t="s">
        <v>934</v>
      </c>
      <c r="Y1732" s="576">
        <v>0.56597222222222221</v>
      </c>
      <c r="Z1732" s="576">
        <v>0.57916666666666672</v>
      </c>
      <c r="AA1732" s="576">
        <f t="shared" si="151"/>
        <v>1.3194444444444509E-2</v>
      </c>
      <c r="AB1732" s="722"/>
    </row>
    <row r="1733" spans="1:28" x14ac:dyDescent="0.35">
      <c r="A1733" s="81" t="s">
        <v>5651</v>
      </c>
      <c r="C1733" s="118">
        <v>43887</v>
      </c>
      <c r="D1733" s="318">
        <v>43964</v>
      </c>
      <c r="E1733" s="83">
        <v>43929</v>
      </c>
      <c r="F1733" s="88" t="s">
        <v>5802</v>
      </c>
      <c r="G1733" s="88" t="s">
        <v>158</v>
      </c>
      <c r="H1733" s="98" t="s">
        <v>220</v>
      </c>
      <c r="I1733" s="98" t="s">
        <v>1308</v>
      </c>
      <c r="J1733" s="75">
        <f t="shared" si="154"/>
        <v>1</v>
      </c>
      <c r="K1733" s="76" t="s">
        <v>211</v>
      </c>
      <c r="N1733" s="78" t="s">
        <v>17</v>
      </c>
      <c r="Q1733" s="78" t="s">
        <v>2447</v>
      </c>
      <c r="R1733" s="75">
        <f t="shared" si="155"/>
        <v>1</v>
      </c>
      <c r="S1733" s="263" t="s">
        <v>1991</v>
      </c>
      <c r="T1733" s="263" t="s">
        <v>934</v>
      </c>
      <c r="U1733" s="304" t="s">
        <v>5592</v>
      </c>
      <c r="V1733" s="304" t="s">
        <v>6385</v>
      </c>
      <c r="Y1733" s="576">
        <v>0.72986111111111107</v>
      </c>
      <c r="Z1733" s="576">
        <v>0.75694444444444453</v>
      </c>
      <c r="AA1733" s="576">
        <f t="shared" si="151"/>
        <v>2.7083333333333459E-2</v>
      </c>
      <c r="AB1733" s="722"/>
    </row>
    <row r="1734" spans="1:28" x14ac:dyDescent="0.35">
      <c r="A1734" s="81" t="s">
        <v>5047</v>
      </c>
      <c r="C1734" s="118">
        <v>43887</v>
      </c>
      <c r="D1734" s="318">
        <v>43964</v>
      </c>
      <c r="E1734" s="83">
        <v>43928</v>
      </c>
      <c r="F1734" s="88" t="s">
        <v>5134</v>
      </c>
      <c r="G1734" s="88" t="s">
        <v>152</v>
      </c>
      <c r="H1734" s="98" t="s">
        <v>220</v>
      </c>
      <c r="I1734" s="98" t="s">
        <v>722</v>
      </c>
      <c r="J1734" s="75">
        <f t="shared" si="154"/>
        <v>1</v>
      </c>
      <c r="K1734" s="76" t="s">
        <v>211</v>
      </c>
      <c r="N1734" s="78" t="s">
        <v>18</v>
      </c>
      <c r="Q1734" s="78" t="s">
        <v>2130</v>
      </c>
      <c r="R1734" s="75">
        <f t="shared" si="155"/>
        <v>1</v>
      </c>
      <c r="S1734" s="263" t="s">
        <v>1991</v>
      </c>
      <c r="T1734" s="263" t="s">
        <v>933</v>
      </c>
      <c r="Y1734" s="576">
        <v>0.44236111111111115</v>
      </c>
      <c r="Z1734" s="576">
        <v>0.45277777777777778</v>
      </c>
      <c r="AA1734" s="576">
        <f t="shared" si="151"/>
        <v>1.041666666666663E-2</v>
      </c>
      <c r="AB1734" s="722"/>
    </row>
    <row r="1735" spans="1:28" x14ac:dyDescent="0.35">
      <c r="A1735" s="81" t="s">
        <v>5048</v>
      </c>
      <c r="C1735" s="118">
        <v>43887</v>
      </c>
      <c r="D1735" s="318">
        <v>43964</v>
      </c>
      <c r="E1735" s="83">
        <v>43927</v>
      </c>
      <c r="F1735" s="88" t="s">
        <v>5135</v>
      </c>
      <c r="G1735" s="88" t="s">
        <v>152</v>
      </c>
      <c r="H1735" s="98" t="s">
        <v>220</v>
      </c>
      <c r="I1735" s="98" t="s">
        <v>722</v>
      </c>
      <c r="J1735" s="75">
        <f t="shared" si="154"/>
        <v>1</v>
      </c>
      <c r="K1735" s="76" t="s">
        <v>211</v>
      </c>
      <c r="N1735" s="78" t="s">
        <v>17</v>
      </c>
      <c r="Q1735" s="78" t="s">
        <v>2163</v>
      </c>
      <c r="R1735" s="75">
        <f t="shared" si="155"/>
        <v>1</v>
      </c>
      <c r="S1735" s="263" t="s">
        <v>1991</v>
      </c>
      <c r="T1735" s="263" t="s">
        <v>934</v>
      </c>
      <c r="Y1735" s="576">
        <v>0.84375</v>
      </c>
      <c r="Z1735" s="576">
        <v>0.85</v>
      </c>
      <c r="AA1735" s="576">
        <f t="shared" si="151"/>
        <v>6.2499999999999778E-3</v>
      </c>
      <c r="AB1735" s="722"/>
    </row>
    <row r="1736" spans="1:28" x14ac:dyDescent="0.35">
      <c r="A1736" s="81" t="s">
        <v>5050</v>
      </c>
      <c r="C1736" s="118">
        <v>43887</v>
      </c>
      <c r="D1736" s="318">
        <v>43964</v>
      </c>
      <c r="E1736" s="83">
        <v>43928</v>
      </c>
      <c r="F1736" s="88" t="s">
        <v>5137</v>
      </c>
      <c r="G1736" s="88" t="s">
        <v>156</v>
      </c>
      <c r="H1736" s="98" t="s">
        <v>220</v>
      </c>
      <c r="I1736" s="98" t="s">
        <v>763</v>
      </c>
      <c r="J1736" s="75">
        <f t="shared" si="154"/>
        <v>1</v>
      </c>
      <c r="K1736" s="76" t="s">
        <v>211</v>
      </c>
      <c r="N1736" s="78" t="s">
        <v>18</v>
      </c>
      <c r="Q1736" s="78" t="s">
        <v>2056</v>
      </c>
      <c r="R1736" s="75">
        <f t="shared" si="155"/>
        <v>1</v>
      </c>
      <c r="S1736" s="263" t="s">
        <v>1991</v>
      </c>
      <c r="T1736" s="263" t="s">
        <v>933</v>
      </c>
      <c r="Y1736" s="576">
        <v>0.68888888888888899</v>
      </c>
      <c r="Z1736" s="576">
        <v>0.69930555555555562</v>
      </c>
      <c r="AA1736" s="576">
        <f t="shared" si="151"/>
        <v>1.041666666666663E-2</v>
      </c>
      <c r="AB1736" s="722"/>
    </row>
    <row r="1737" spans="1:28" x14ac:dyDescent="0.35">
      <c r="A1737" s="81" t="s">
        <v>5652</v>
      </c>
      <c r="C1737" s="118">
        <v>43887</v>
      </c>
      <c r="D1737" s="318">
        <v>43964</v>
      </c>
      <c r="E1737" s="83">
        <v>43929</v>
      </c>
      <c r="F1737" s="88" t="s">
        <v>5803</v>
      </c>
      <c r="G1737" s="88" t="s">
        <v>417</v>
      </c>
      <c r="H1737" s="98" t="s">
        <v>220</v>
      </c>
      <c r="I1737" s="98" t="s">
        <v>3260</v>
      </c>
      <c r="J1737" s="75">
        <f t="shared" si="154"/>
        <v>1</v>
      </c>
      <c r="K1737" s="76" t="s">
        <v>211</v>
      </c>
      <c r="L1737" s="99" t="s">
        <v>6247</v>
      </c>
      <c r="N1737" s="78" t="s">
        <v>19</v>
      </c>
      <c r="Q1737" s="78" t="s">
        <v>2447</v>
      </c>
      <c r="R1737" s="75">
        <f t="shared" si="155"/>
        <v>1</v>
      </c>
      <c r="S1737" s="263" t="s">
        <v>1991</v>
      </c>
      <c r="T1737" s="263" t="s">
        <v>932</v>
      </c>
      <c r="Y1737" s="576">
        <v>0.71250000000000002</v>
      </c>
      <c r="Z1737" s="576">
        <v>0.72013888888888899</v>
      </c>
      <c r="AA1737" s="576">
        <f t="shared" si="151"/>
        <v>7.6388888888889728E-3</v>
      </c>
      <c r="AB1737" s="722"/>
    </row>
    <row r="1738" spans="1:28" x14ac:dyDescent="0.35">
      <c r="A1738" s="81" t="s">
        <v>5054</v>
      </c>
      <c r="C1738" s="118">
        <v>43887</v>
      </c>
      <c r="D1738" s="318">
        <v>43964</v>
      </c>
      <c r="E1738" s="83">
        <v>43928</v>
      </c>
      <c r="F1738" s="88" t="s">
        <v>5141</v>
      </c>
      <c r="G1738" s="88" t="s">
        <v>152</v>
      </c>
      <c r="H1738" s="98" t="s">
        <v>220</v>
      </c>
      <c r="I1738" s="98" t="s">
        <v>722</v>
      </c>
      <c r="J1738" s="75">
        <f t="shared" si="154"/>
        <v>1</v>
      </c>
      <c r="K1738" s="76" t="s">
        <v>211</v>
      </c>
      <c r="N1738" s="78" t="s">
        <v>18</v>
      </c>
      <c r="Q1738" s="78" t="s">
        <v>2130</v>
      </c>
      <c r="R1738" s="75">
        <f t="shared" si="155"/>
        <v>1</v>
      </c>
      <c r="S1738" s="263" t="s">
        <v>1991</v>
      </c>
      <c r="T1738" s="263" t="s">
        <v>933</v>
      </c>
      <c r="U1738" s="304" t="s">
        <v>5592</v>
      </c>
      <c r="V1738" s="304" t="s">
        <v>6242</v>
      </c>
      <c r="Y1738" s="576">
        <v>0.75555555555555554</v>
      </c>
      <c r="Z1738" s="576">
        <v>0.77083333333333337</v>
      </c>
      <c r="AA1738" s="576">
        <f t="shared" si="151"/>
        <v>1.5277777777777835E-2</v>
      </c>
      <c r="AB1738" s="722"/>
    </row>
    <row r="1739" spans="1:28" x14ac:dyDescent="0.35">
      <c r="A1739" s="81" t="s">
        <v>5055</v>
      </c>
      <c r="C1739" s="118">
        <v>43887</v>
      </c>
      <c r="D1739" s="318">
        <v>43964</v>
      </c>
      <c r="E1739" s="83">
        <v>43930</v>
      </c>
      <c r="F1739" s="88" t="s">
        <v>5142</v>
      </c>
      <c r="G1739" s="88" t="s">
        <v>149</v>
      </c>
      <c r="H1739" s="98" t="s">
        <v>220</v>
      </c>
      <c r="I1739" s="98" t="s">
        <v>649</v>
      </c>
      <c r="J1739" s="75">
        <f t="shared" si="154"/>
        <v>1</v>
      </c>
      <c r="K1739" s="76" t="s">
        <v>211</v>
      </c>
      <c r="N1739" s="78" t="s">
        <v>18</v>
      </c>
      <c r="Q1739" s="78" t="s">
        <v>2097</v>
      </c>
      <c r="R1739" s="75">
        <f t="shared" si="155"/>
        <v>1</v>
      </c>
      <c r="S1739" s="263" t="s">
        <v>1991</v>
      </c>
      <c r="T1739" s="263" t="s">
        <v>934</v>
      </c>
      <c r="Y1739" s="576">
        <v>0.47601851851851856</v>
      </c>
      <c r="Z1739" s="576">
        <v>0.48958333333333331</v>
      </c>
      <c r="AA1739" s="576">
        <f t="shared" si="151"/>
        <v>1.3564814814814752E-2</v>
      </c>
      <c r="AB1739" s="722"/>
    </row>
    <row r="1740" spans="1:28" x14ac:dyDescent="0.35">
      <c r="A1740" s="81" t="s">
        <v>5057</v>
      </c>
      <c r="C1740" s="118">
        <v>43887</v>
      </c>
      <c r="D1740" s="318">
        <v>43964</v>
      </c>
      <c r="E1740" s="83">
        <v>43927</v>
      </c>
      <c r="F1740" s="88" t="s">
        <v>5144</v>
      </c>
      <c r="G1740" s="88" t="s">
        <v>195</v>
      </c>
      <c r="H1740" s="98" t="s">
        <v>220</v>
      </c>
      <c r="I1740" s="98" t="s">
        <v>649</v>
      </c>
      <c r="J1740" s="75">
        <f t="shared" si="154"/>
        <v>1</v>
      </c>
      <c r="K1740" s="76" t="s">
        <v>211</v>
      </c>
      <c r="N1740" s="78" t="s">
        <v>18</v>
      </c>
      <c r="Q1740" s="78" t="s">
        <v>2130</v>
      </c>
      <c r="R1740" s="75">
        <f t="shared" si="155"/>
        <v>1</v>
      </c>
      <c r="S1740" s="263" t="s">
        <v>1991</v>
      </c>
      <c r="T1740" s="263" t="s">
        <v>934</v>
      </c>
      <c r="Y1740" s="576">
        <v>0.73055555555555562</v>
      </c>
      <c r="Z1740" s="576">
        <v>0.73958333333333337</v>
      </c>
      <c r="AA1740" s="576">
        <f t="shared" si="151"/>
        <v>9.0277777777777457E-3</v>
      </c>
      <c r="AB1740" s="722"/>
    </row>
    <row r="1741" spans="1:28" x14ac:dyDescent="0.35">
      <c r="A1741" s="81" t="s">
        <v>5058</v>
      </c>
      <c r="C1741" s="118">
        <v>43887</v>
      </c>
      <c r="D1741" s="318">
        <v>43964</v>
      </c>
      <c r="E1741" s="83">
        <v>43928</v>
      </c>
      <c r="F1741" s="88" t="s">
        <v>5145</v>
      </c>
      <c r="G1741" s="88" t="s">
        <v>156</v>
      </c>
      <c r="H1741" s="81" t="s">
        <v>275</v>
      </c>
      <c r="I1741" s="98" t="s">
        <v>730</v>
      </c>
      <c r="J1741" s="75">
        <f t="shared" si="154"/>
        <v>1</v>
      </c>
      <c r="K1741" s="76" t="s">
        <v>211</v>
      </c>
      <c r="L1741" s="99" t="s">
        <v>6233</v>
      </c>
      <c r="N1741" s="78" t="s">
        <v>17</v>
      </c>
      <c r="Q1741" s="78" t="s">
        <v>2056</v>
      </c>
      <c r="R1741" s="75">
        <f t="shared" si="155"/>
        <v>1</v>
      </c>
      <c r="S1741" s="263" t="s">
        <v>1991</v>
      </c>
      <c r="T1741" s="263" t="s">
        <v>932</v>
      </c>
      <c r="U1741" s="304" t="s">
        <v>5592</v>
      </c>
      <c r="V1741" s="304" t="s">
        <v>6232</v>
      </c>
      <c r="Y1741" s="576">
        <v>0.51597222222222217</v>
      </c>
      <c r="Z1741" s="576">
        <v>0.5444444444444444</v>
      </c>
      <c r="AA1741" s="576">
        <f t="shared" si="151"/>
        <v>2.8472222222222232E-2</v>
      </c>
      <c r="AB1741" s="722"/>
    </row>
    <row r="1742" spans="1:28" x14ac:dyDescent="0.35">
      <c r="A1742" s="81" t="s">
        <v>5254</v>
      </c>
      <c r="C1742" s="118">
        <v>43888</v>
      </c>
      <c r="D1742" s="318">
        <v>43965</v>
      </c>
      <c r="E1742" s="83">
        <v>43931</v>
      </c>
      <c r="F1742" s="88" t="s">
        <v>5392</v>
      </c>
      <c r="G1742" s="88" t="s">
        <v>158</v>
      </c>
      <c r="H1742" s="98" t="s">
        <v>220</v>
      </c>
      <c r="I1742" s="98" t="s">
        <v>722</v>
      </c>
      <c r="J1742" s="75">
        <f t="shared" si="154"/>
        <v>1</v>
      </c>
      <c r="K1742" s="76" t="s">
        <v>211</v>
      </c>
      <c r="N1742" s="78" t="s">
        <v>18</v>
      </c>
      <c r="Q1742" s="78" t="s">
        <v>2097</v>
      </c>
      <c r="R1742" s="75">
        <f t="shared" si="155"/>
        <v>1</v>
      </c>
      <c r="S1742" s="263" t="s">
        <v>1991</v>
      </c>
      <c r="T1742" s="263" t="s">
        <v>932</v>
      </c>
      <c r="Y1742" s="576">
        <v>0.50325231481481481</v>
      </c>
      <c r="Z1742" s="576">
        <v>0.51359953703703709</v>
      </c>
      <c r="AA1742" s="576">
        <f t="shared" si="151"/>
        <v>1.0347222222222285E-2</v>
      </c>
      <c r="AB1742" s="722"/>
    </row>
    <row r="1743" spans="1:28" x14ac:dyDescent="0.35">
      <c r="A1743" s="81" t="s">
        <v>6106</v>
      </c>
      <c r="C1743" s="118">
        <v>43888</v>
      </c>
      <c r="D1743" s="318">
        <v>43965</v>
      </c>
      <c r="E1743" s="83">
        <v>43929</v>
      </c>
      <c r="F1743" s="88" t="s">
        <v>6160</v>
      </c>
      <c r="G1743" s="88" t="s">
        <v>162</v>
      </c>
      <c r="H1743" s="98" t="s">
        <v>220</v>
      </c>
      <c r="I1743" s="98" t="s">
        <v>6245</v>
      </c>
      <c r="J1743" s="75">
        <f t="shared" si="154"/>
        <v>1</v>
      </c>
      <c r="K1743" s="76" t="s">
        <v>211</v>
      </c>
      <c r="N1743" s="78" t="s">
        <v>17</v>
      </c>
      <c r="Q1743" s="78" t="s">
        <v>2056</v>
      </c>
      <c r="R1743" s="75">
        <f t="shared" si="155"/>
        <v>1</v>
      </c>
      <c r="S1743" s="263" t="s">
        <v>1991</v>
      </c>
      <c r="T1743" s="263" t="s">
        <v>933</v>
      </c>
      <c r="Y1743" s="576">
        <v>0.53055555555555556</v>
      </c>
      <c r="Z1743" s="576">
        <v>0.54375000000000007</v>
      </c>
      <c r="AA1743" s="576">
        <f t="shared" si="151"/>
        <v>1.3194444444444509E-2</v>
      </c>
      <c r="AB1743" s="722"/>
    </row>
    <row r="1744" spans="1:28" x14ac:dyDescent="0.35">
      <c r="A1744" s="81" t="s">
        <v>5262</v>
      </c>
      <c r="C1744" s="118">
        <v>43888</v>
      </c>
      <c r="D1744" s="318">
        <v>43965</v>
      </c>
      <c r="E1744" s="83">
        <v>43931</v>
      </c>
      <c r="F1744" s="88" t="s">
        <v>5400</v>
      </c>
      <c r="G1744" s="88" t="s">
        <v>158</v>
      </c>
      <c r="H1744" s="98" t="s">
        <v>220</v>
      </c>
      <c r="I1744" s="98" t="s">
        <v>722</v>
      </c>
      <c r="J1744" s="75">
        <f t="shared" si="154"/>
        <v>1</v>
      </c>
      <c r="K1744" s="76" t="s">
        <v>211</v>
      </c>
      <c r="N1744" s="78" t="s">
        <v>18</v>
      </c>
      <c r="Q1744" s="78" t="s">
        <v>2447</v>
      </c>
      <c r="R1744" s="75">
        <f t="shared" si="155"/>
        <v>1</v>
      </c>
      <c r="S1744" s="263" t="s">
        <v>1991</v>
      </c>
      <c r="T1744" s="263" t="s">
        <v>933</v>
      </c>
      <c r="Y1744" s="576">
        <v>0.39288194444444446</v>
      </c>
      <c r="Z1744" s="576">
        <v>0.40423611111111107</v>
      </c>
      <c r="AA1744" s="576">
        <f t="shared" si="151"/>
        <v>1.135416666666661E-2</v>
      </c>
      <c r="AB1744" s="722"/>
    </row>
    <row r="1745" spans="1:28" x14ac:dyDescent="0.35">
      <c r="A1745" s="81" t="s">
        <v>5059</v>
      </c>
      <c r="C1745" s="118">
        <v>43888</v>
      </c>
      <c r="D1745" s="318">
        <v>43964</v>
      </c>
      <c r="E1745" s="83">
        <v>43927</v>
      </c>
      <c r="F1745" s="88" t="s">
        <v>5146</v>
      </c>
      <c r="G1745" s="88" t="s">
        <v>162</v>
      </c>
      <c r="H1745" s="98" t="s">
        <v>220</v>
      </c>
      <c r="I1745" s="98" t="s">
        <v>722</v>
      </c>
      <c r="J1745" s="75">
        <f t="shared" si="154"/>
        <v>1</v>
      </c>
      <c r="K1745" s="76" t="s">
        <v>211</v>
      </c>
      <c r="N1745" s="78" t="s">
        <v>17</v>
      </c>
      <c r="Q1745" s="78" t="s">
        <v>2163</v>
      </c>
      <c r="R1745" s="75">
        <f t="shared" si="155"/>
        <v>1</v>
      </c>
      <c r="S1745" s="263" t="s">
        <v>1991</v>
      </c>
      <c r="T1745" s="263" t="s">
        <v>933</v>
      </c>
      <c r="Y1745" s="576">
        <v>0.82638888888888884</v>
      </c>
      <c r="Z1745" s="576">
        <v>0.84236111111111101</v>
      </c>
      <c r="AA1745" s="576">
        <f t="shared" si="151"/>
        <v>1.5972222222222165E-2</v>
      </c>
      <c r="AB1745" s="722"/>
    </row>
    <row r="1746" spans="1:28" x14ac:dyDescent="0.35">
      <c r="A1746" s="81" t="s">
        <v>5264</v>
      </c>
      <c r="C1746" s="118">
        <v>43888</v>
      </c>
      <c r="D1746" s="318">
        <v>43965</v>
      </c>
      <c r="E1746" s="83">
        <v>43931</v>
      </c>
      <c r="F1746" s="88" t="s">
        <v>5402</v>
      </c>
      <c r="G1746" s="88" t="s">
        <v>152</v>
      </c>
      <c r="H1746" s="98" t="s">
        <v>220</v>
      </c>
      <c r="I1746" s="98" t="s">
        <v>730</v>
      </c>
      <c r="J1746" s="75">
        <f t="shared" si="154"/>
        <v>1</v>
      </c>
      <c r="K1746" s="76" t="s">
        <v>211</v>
      </c>
      <c r="N1746" s="78" t="s">
        <v>18</v>
      </c>
      <c r="Q1746" s="78" t="s">
        <v>2097</v>
      </c>
      <c r="R1746" s="75">
        <f t="shared" si="155"/>
        <v>1</v>
      </c>
      <c r="S1746" s="263" t="s">
        <v>1991</v>
      </c>
      <c r="T1746" s="263" t="s">
        <v>934</v>
      </c>
      <c r="Y1746" s="576">
        <v>0.46908564814814818</v>
      </c>
      <c r="Z1746" s="576">
        <v>0.48993055555555554</v>
      </c>
      <c r="AA1746" s="576">
        <f t="shared" si="151"/>
        <v>2.0844907407407354E-2</v>
      </c>
      <c r="AB1746" s="722"/>
    </row>
    <row r="1747" spans="1:28" x14ac:dyDescent="0.35">
      <c r="A1747" s="98" t="s">
        <v>5266</v>
      </c>
      <c r="C1747" s="118">
        <v>43888</v>
      </c>
      <c r="D1747" s="318">
        <v>43965</v>
      </c>
      <c r="E1747" s="83">
        <v>43929</v>
      </c>
      <c r="F1747" s="88" t="s">
        <v>5404</v>
      </c>
      <c r="G1747" s="88" t="s">
        <v>162</v>
      </c>
      <c r="H1747" s="98" t="s">
        <v>220</v>
      </c>
      <c r="I1747" s="98" t="s">
        <v>722</v>
      </c>
      <c r="J1747" s="75">
        <f t="shared" si="154"/>
        <v>1</v>
      </c>
      <c r="K1747" s="76" t="s">
        <v>211</v>
      </c>
      <c r="N1747" s="78" t="s">
        <v>17</v>
      </c>
      <c r="Q1747" s="78" t="s">
        <v>2163</v>
      </c>
      <c r="R1747" s="75">
        <f t="shared" si="155"/>
        <v>1</v>
      </c>
      <c r="S1747" s="263" t="s">
        <v>1991</v>
      </c>
      <c r="T1747" s="263" t="s">
        <v>932</v>
      </c>
      <c r="Y1747" s="576">
        <v>0.51944444444444449</v>
      </c>
      <c r="Z1747" s="576">
        <v>0.52986111111111112</v>
      </c>
      <c r="AA1747" s="576">
        <f t="shared" si="151"/>
        <v>1.041666666666663E-2</v>
      </c>
      <c r="AB1747" s="722"/>
    </row>
    <row r="1748" spans="1:28" x14ac:dyDescent="0.35">
      <c r="A1748" s="98" t="s">
        <v>5267</v>
      </c>
      <c r="C1748" s="118">
        <v>43888</v>
      </c>
      <c r="D1748" s="318">
        <v>43965</v>
      </c>
      <c r="E1748" s="83">
        <v>43929</v>
      </c>
      <c r="F1748" s="88" t="s">
        <v>5405</v>
      </c>
      <c r="G1748" s="88" t="s">
        <v>2698</v>
      </c>
      <c r="H1748" s="98" t="s">
        <v>220</v>
      </c>
      <c r="I1748" s="98" t="s">
        <v>730</v>
      </c>
      <c r="J1748" s="75">
        <f t="shared" si="154"/>
        <v>1</v>
      </c>
      <c r="K1748" s="76" t="s">
        <v>211</v>
      </c>
      <c r="N1748" s="78" t="s">
        <v>17</v>
      </c>
      <c r="Q1748" s="78" t="s">
        <v>2163</v>
      </c>
      <c r="R1748" s="75">
        <f t="shared" si="155"/>
        <v>1</v>
      </c>
      <c r="S1748" s="263" t="s">
        <v>1991</v>
      </c>
      <c r="T1748" s="263" t="s">
        <v>933</v>
      </c>
      <c r="Y1748" s="576">
        <v>0.49722222222222223</v>
      </c>
      <c r="Z1748" s="576">
        <v>0.51111111111111118</v>
      </c>
      <c r="AA1748" s="576">
        <f t="shared" si="151"/>
        <v>1.3888888888888951E-2</v>
      </c>
      <c r="AB1748" s="722"/>
    </row>
    <row r="1749" spans="1:28" x14ac:dyDescent="0.35">
      <c r="A1749" s="98" t="s">
        <v>5268</v>
      </c>
      <c r="C1749" s="118">
        <v>43888</v>
      </c>
      <c r="D1749" s="318">
        <v>43965</v>
      </c>
      <c r="E1749" s="83">
        <v>43930</v>
      </c>
      <c r="F1749" s="88" t="s">
        <v>5406</v>
      </c>
      <c r="G1749" s="88" t="s">
        <v>195</v>
      </c>
      <c r="H1749" s="98" t="s">
        <v>220</v>
      </c>
      <c r="I1749" s="98" t="s">
        <v>649</v>
      </c>
      <c r="J1749" s="75">
        <f t="shared" si="154"/>
        <v>1</v>
      </c>
      <c r="K1749" s="76" t="s">
        <v>211</v>
      </c>
      <c r="N1749" s="78" t="s">
        <v>18</v>
      </c>
      <c r="Q1749" s="78" t="s">
        <v>2130</v>
      </c>
      <c r="R1749" s="75">
        <f t="shared" si="155"/>
        <v>1</v>
      </c>
      <c r="S1749" s="263" t="s">
        <v>1991</v>
      </c>
      <c r="T1749" s="263" t="s">
        <v>932</v>
      </c>
      <c r="Y1749" s="576">
        <v>0.46253472222222225</v>
      </c>
      <c r="Z1749" s="576">
        <v>0.46922453703703698</v>
      </c>
      <c r="AA1749" s="576">
        <f t="shared" si="151"/>
        <v>6.6898148148147318E-3</v>
      </c>
      <c r="AB1749" s="722"/>
    </row>
    <row r="1750" spans="1:28" x14ac:dyDescent="0.35">
      <c r="A1750" s="98" t="s">
        <v>5272</v>
      </c>
      <c r="C1750" s="118">
        <v>43888</v>
      </c>
      <c r="D1750" s="318">
        <v>43965</v>
      </c>
      <c r="E1750" s="83">
        <v>43929</v>
      </c>
      <c r="F1750" s="88" t="s">
        <v>5410</v>
      </c>
      <c r="G1750" s="88" t="s">
        <v>162</v>
      </c>
      <c r="H1750" s="98" t="s">
        <v>220</v>
      </c>
      <c r="I1750" s="98" t="s">
        <v>649</v>
      </c>
      <c r="J1750" s="75">
        <f t="shared" si="154"/>
        <v>1</v>
      </c>
      <c r="K1750" s="76" t="s">
        <v>211</v>
      </c>
      <c r="N1750" s="78" t="s">
        <v>18</v>
      </c>
      <c r="Q1750" s="78" t="s">
        <v>2056</v>
      </c>
      <c r="R1750" s="75">
        <f t="shared" si="155"/>
        <v>1</v>
      </c>
      <c r="S1750" s="263" t="s">
        <v>1991</v>
      </c>
      <c r="T1750" s="263" t="s">
        <v>933</v>
      </c>
      <c r="Y1750" s="576">
        <v>0.55486111111111114</v>
      </c>
      <c r="Z1750" s="576">
        <v>0.55902777777777779</v>
      </c>
      <c r="AA1750" s="576">
        <f t="shared" si="151"/>
        <v>4.1666666666666519E-3</v>
      </c>
      <c r="AB1750" s="722"/>
    </row>
    <row r="1751" spans="1:28" x14ac:dyDescent="0.35">
      <c r="A1751" s="81" t="s">
        <v>6107</v>
      </c>
      <c r="C1751" s="118">
        <v>43889</v>
      </c>
      <c r="D1751" s="318">
        <v>43966</v>
      </c>
      <c r="E1751" s="83">
        <v>43932</v>
      </c>
      <c r="F1751" s="88" t="s">
        <v>6161</v>
      </c>
      <c r="G1751" s="88" t="s">
        <v>158</v>
      </c>
      <c r="H1751" s="98" t="s">
        <v>220</v>
      </c>
      <c r="I1751" s="98" t="s">
        <v>1308</v>
      </c>
      <c r="J1751" s="75">
        <f t="shared" si="154"/>
        <v>1</v>
      </c>
      <c r="K1751" s="76" t="s">
        <v>211</v>
      </c>
      <c r="L1751" s="99" t="s">
        <v>6398</v>
      </c>
      <c r="N1751" s="78" t="s">
        <v>18</v>
      </c>
      <c r="Q1751" s="78" t="s">
        <v>2097</v>
      </c>
      <c r="R1751" s="75">
        <f t="shared" si="155"/>
        <v>1</v>
      </c>
      <c r="S1751" s="263" t="s">
        <v>1991</v>
      </c>
      <c r="T1751" s="263" t="s">
        <v>934</v>
      </c>
      <c r="Y1751" s="576">
        <v>0.70108796296296294</v>
      </c>
      <c r="Z1751" s="576">
        <v>0.71158564814814806</v>
      </c>
      <c r="AA1751" s="576">
        <f t="shared" si="151"/>
        <v>1.0497685185185124E-2</v>
      </c>
      <c r="AB1751" s="722"/>
    </row>
    <row r="1752" spans="1:28" x14ac:dyDescent="0.35">
      <c r="A1752" s="81" t="s">
        <v>5275</v>
      </c>
      <c r="C1752" s="118">
        <v>43889</v>
      </c>
      <c r="D1752" s="318">
        <v>43966</v>
      </c>
      <c r="E1752" s="83">
        <v>43932</v>
      </c>
      <c r="F1752" s="88" t="s">
        <v>5413</v>
      </c>
      <c r="G1752" s="88" t="s">
        <v>179</v>
      </c>
      <c r="H1752" s="98" t="s">
        <v>220</v>
      </c>
      <c r="I1752" s="98" t="s">
        <v>722</v>
      </c>
      <c r="J1752" s="75">
        <f t="shared" ref="J1752:J1797" si="156">IF(OR(K1752="Документы готовы",K1752="Запрос в ФО",K1752="ЭЗ",K1752="РЕШ",K1752="РЕШ шаблон"),0.1,IF(OR(K1752="ЭЗ согласование",K1752="РЕШ согласование"),0.3,IF(OR(K1752="ЭЗ согласовано",K1752="РЕШ согласовано",K1752="РЕШ подписано"),0.6,IF(OR(K1752="ЭЗ ПР согласование",K1752="РЕШ УВ согласование"),0.9,IF(OR(K1752="ЭЗ ПР DONE",K1752="РЕШ УВ DONE"),1,0)))))</f>
        <v>1</v>
      </c>
      <c r="K1752" s="76" t="s">
        <v>211</v>
      </c>
      <c r="N1752" s="78" t="s">
        <v>18</v>
      </c>
      <c r="Q1752" s="78" t="s">
        <v>2097</v>
      </c>
      <c r="R1752" s="75">
        <f t="shared" ref="R1752:R1797" si="157">IF(S1752="В работе",0.3,IF(S1752="Отписано",0.6,IF(S1752="На доработку",0.9,IF(S1752="Согласовано",1,0))))</f>
        <v>1</v>
      </c>
      <c r="S1752" s="263" t="s">
        <v>1991</v>
      </c>
      <c r="T1752" s="263" t="s">
        <v>934</v>
      </c>
      <c r="Y1752" s="576">
        <v>0.67371527777777773</v>
      </c>
      <c r="Z1752" s="576">
        <v>0.68515046296296289</v>
      </c>
      <c r="AA1752" s="576">
        <f t="shared" si="151"/>
        <v>1.1435185185185159E-2</v>
      </c>
      <c r="AB1752" s="722"/>
    </row>
    <row r="1753" spans="1:28" x14ac:dyDescent="0.35">
      <c r="A1753" s="81" t="s">
        <v>5276</v>
      </c>
      <c r="C1753" s="118">
        <v>43889</v>
      </c>
      <c r="D1753" s="318">
        <v>43966</v>
      </c>
      <c r="E1753" s="83">
        <v>43930</v>
      </c>
      <c r="F1753" s="88" t="s">
        <v>5414</v>
      </c>
      <c r="G1753" s="88" t="s">
        <v>158</v>
      </c>
      <c r="H1753" s="98" t="s">
        <v>220</v>
      </c>
      <c r="I1753" s="98" t="s">
        <v>722</v>
      </c>
      <c r="J1753" s="75">
        <f t="shared" si="156"/>
        <v>1</v>
      </c>
      <c r="K1753" s="76" t="s">
        <v>211</v>
      </c>
      <c r="N1753" s="78" t="s">
        <v>18</v>
      </c>
      <c r="Q1753" s="78" t="s">
        <v>2130</v>
      </c>
      <c r="R1753" s="75">
        <f t="shared" si="157"/>
        <v>1</v>
      </c>
      <c r="S1753" s="263" t="s">
        <v>1991</v>
      </c>
      <c r="T1753" s="263" t="s">
        <v>932</v>
      </c>
      <c r="Y1753" s="576">
        <v>0.62520833333333337</v>
      </c>
      <c r="Z1753" s="576">
        <v>0.63226851851851851</v>
      </c>
      <c r="AA1753" s="576">
        <f t="shared" si="151"/>
        <v>7.0601851851851416E-3</v>
      </c>
      <c r="AB1753" s="722"/>
    </row>
    <row r="1754" spans="1:28" x14ac:dyDescent="0.35">
      <c r="A1754" s="81" t="s">
        <v>5277</v>
      </c>
      <c r="C1754" s="118">
        <v>43889</v>
      </c>
      <c r="D1754" s="118">
        <v>43965</v>
      </c>
      <c r="F1754" s="88" t="s">
        <v>5415</v>
      </c>
      <c r="G1754" s="88" t="s">
        <v>2698</v>
      </c>
      <c r="H1754" s="98" t="s">
        <v>220</v>
      </c>
      <c r="J1754" s="75">
        <f t="shared" si="156"/>
        <v>1</v>
      </c>
      <c r="K1754" s="76" t="s">
        <v>221</v>
      </c>
      <c r="Q1754" s="78" t="s">
        <v>2056</v>
      </c>
      <c r="R1754" s="75">
        <f t="shared" si="157"/>
        <v>1</v>
      </c>
      <c r="S1754" s="263" t="s">
        <v>1991</v>
      </c>
      <c r="T1754" s="263"/>
      <c r="AA1754" s="576">
        <f t="shared" si="151"/>
        <v>0</v>
      </c>
      <c r="AB1754" s="722"/>
    </row>
    <row r="1755" spans="1:28" x14ac:dyDescent="0.35">
      <c r="A1755" s="81" t="s">
        <v>5281</v>
      </c>
      <c r="C1755" s="118">
        <v>43889</v>
      </c>
      <c r="D1755" s="318">
        <v>43971</v>
      </c>
      <c r="E1755" s="83">
        <v>43957</v>
      </c>
      <c r="F1755" s="88" t="s">
        <v>5419</v>
      </c>
      <c r="G1755" s="88" t="s">
        <v>177</v>
      </c>
      <c r="H1755" s="98" t="s">
        <v>220</v>
      </c>
      <c r="I1755" s="98" t="s">
        <v>1004</v>
      </c>
      <c r="J1755" s="75">
        <f t="shared" si="156"/>
        <v>1</v>
      </c>
      <c r="K1755" s="263" t="s">
        <v>211</v>
      </c>
      <c r="L1755" s="99" t="s">
        <v>6832</v>
      </c>
      <c r="N1755" s="78" t="s">
        <v>19</v>
      </c>
      <c r="Q1755" s="78" t="s">
        <v>2163</v>
      </c>
      <c r="R1755" s="75">
        <f t="shared" si="157"/>
        <v>1</v>
      </c>
      <c r="S1755" s="263" t="s">
        <v>1991</v>
      </c>
      <c r="T1755" s="263" t="s">
        <v>932</v>
      </c>
      <c r="Y1755" s="576">
        <v>0.38790509259259259</v>
      </c>
      <c r="Z1755" s="576">
        <v>0.39619212962962963</v>
      </c>
      <c r="AA1755" s="576">
        <f t="shared" ref="AA1755:AA1800" si="158">Z1755-Y1755</f>
        <v>8.2870370370370372E-3</v>
      </c>
      <c r="AB1755" s="722"/>
    </row>
    <row r="1756" spans="1:28" x14ac:dyDescent="0.35">
      <c r="A1756" s="81" t="s">
        <v>6108</v>
      </c>
      <c r="C1756" s="118">
        <v>43889</v>
      </c>
      <c r="D1756" s="318">
        <v>43966</v>
      </c>
      <c r="E1756" s="83">
        <v>43931</v>
      </c>
      <c r="F1756" s="88" t="s">
        <v>6162</v>
      </c>
      <c r="G1756" s="88" t="s">
        <v>156</v>
      </c>
      <c r="H1756" s="98" t="s">
        <v>220</v>
      </c>
      <c r="I1756" s="98" t="s">
        <v>722</v>
      </c>
      <c r="J1756" s="75">
        <f t="shared" si="156"/>
        <v>1</v>
      </c>
      <c r="K1756" s="76" t="s">
        <v>211</v>
      </c>
      <c r="N1756" s="78" t="s">
        <v>17</v>
      </c>
      <c r="Q1756" s="78" t="s">
        <v>2447</v>
      </c>
      <c r="R1756" s="75">
        <f t="shared" si="157"/>
        <v>1</v>
      </c>
      <c r="S1756" s="263" t="s">
        <v>1991</v>
      </c>
      <c r="T1756" s="263" t="s">
        <v>933</v>
      </c>
      <c r="Y1756" s="576">
        <v>0.45934027777777775</v>
      </c>
      <c r="Z1756" s="576">
        <v>0.4685185185185185</v>
      </c>
      <c r="AA1756" s="576">
        <f t="shared" si="158"/>
        <v>9.1782407407407507E-3</v>
      </c>
      <c r="AB1756" s="722"/>
    </row>
    <row r="1757" spans="1:28" x14ac:dyDescent="0.35">
      <c r="A1757" s="81" t="s">
        <v>6109</v>
      </c>
      <c r="C1757" s="118">
        <v>43889</v>
      </c>
      <c r="D1757" s="318">
        <v>43966</v>
      </c>
      <c r="E1757" s="83">
        <v>43931</v>
      </c>
      <c r="F1757" s="88" t="s">
        <v>6163</v>
      </c>
      <c r="G1757" s="88" t="s">
        <v>149</v>
      </c>
      <c r="H1757" s="98" t="s">
        <v>220</v>
      </c>
      <c r="I1757" s="98" t="s">
        <v>722</v>
      </c>
      <c r="J1757" s="75">
        <f t="shared" si="156"/>
        <v>1</v>
      </c>
      <c r="K1757" s="76" t="s">
        <v>211</v>
      </c>
      <c r="N1757" s="78" t="s">
        <v>18</v>
      </c>
      <c r="Q1757" s="78" t="s">
        <v>2447</v>
      </c>
      <c r="R1757" s="75">
        <f t="shared" si="157"/>
        <v>1</v>
      </c>
      <c r="S1757" s="263" t="s">
        <v>1991</v>
      </c>
      <c r="T1757" s="263" t="s">
        <v>934</v>
      </c>
      <c r="Y1757" s="576">
        <v>0.65517361111111116</v>
      </c>
      <c r="Z1757" s="576">
        <v>0.66396990740740736</v>
      </c>
      <c r="AA1757" s="576">
        <f t="shared" si="158"/>
        <v>8.796296296296191E-3</v>
      </c>
      <c r="AB1757" s="722"/>
    </row>
    <row r="1758" spans="1:28" x14ac:dyDescent="0.35">
      <c r="A1758" s="81" t="s">
        <v>6110</v>
      </c>
      <c r="C1758" s="118">
        <v>43889</v>
      </c>
      <c r="D1758" s="318">
        <v>43965</v>
      </c>
      <c r="E1758" s="83">
        <v>43930</v>
      </c>
      <c r="F1758" s="88" t="s">
        <v>6164</v>
      </c>
      <c r="G1758" s="88" t="s">
        <v>152</v>
      </c>
      <c r="H1758" s="98" t="s">
        <v>220</v>
      </c>
      <c r="I1758" s="98" t="s">
        <v>730</v>
      </c>
      <c r="J1758" s="75">
        <f t="shared" si="156"/>
        <v>1</v>
      </c>
      <c r="K1758" s="76" t="s">
        <v>211</v>
      </c>
      <c r="N1758" s="78" t="s">
        <v>18</v>
      </c>
      <c r="Q1758" s="78" t="s">
        <v>2447</v>
      </c>
      <c r="R1758" s="75">
        <f t="shared" si="157"/>
        <v>1</v>
      </c>
      <c r="S1758" s="263" t="s">
        <v>1991</v>
      </c>
      <c r="T1758" s="263" t="s">
        <v>934</v>
      </c>
      <c r="Y1758" s="576">
        <v>0.71130787037037047</v>
      </c>
      <c r="Z1758" s="576">
        <v>0.72116898148148145</v>
      </c>
      <c r="AA1758" s="576">
        <f t="shared" si="158"/>
        <v>9.8611111111109873E-3</v>
      </c>
      <c r="AB1758" s="722"/>
    </row>
    <row r="1759" spans="1:28" x14ac:dyDescent="0.35">
      <c r="A1759" s="98" t="s">
        <v>5285</v>
      </c>
      <c r="C1759" s="118">
        <v>43889</v>
      </c>
      <c r="D1759" s="318">
        <v>43966</v>
      </c>
      <c r="E1759" s="83">
        <v>43929</v>
      </c>
      <c r="F1759" s="88" t="s">
        <v>5423</v>
      </c>
      <c r="G1759" s="88" t="s">
        <v>168</v>
      </c>
      <c r="H1759" s="98" t="s">
        <v>220</v>
      </c>
      <c r="I1759" s="98" t="s">
        <v>722</v>
      </c>
      <c r="J1759" s="75">
        <f t="shared" si="156"/>
        <v>1</v>
      </c>
      <c r="K1759" s="76" t="s">
        <v>211</v>
      </c>
      <c r="N1759" s="78" t="s">
        <v>17</v>
      </c>
      <c r="Q1759" s="78" t="s">
        <v>2056</v>
      </c>
      <c r="R1759" s="75">
        <f t="shared" si="157"/>
        <v>1</v>
      </c>
      <c r="S1759" s="263" t="s">
        <v>1991</v>
      </c>
      <c r="T1759" s="263" t="s">
        <v>933</v>
      </c>
      <c r="Y1759" s="576">
        <v>0.63194444444444442</v>
      </c>
      <c r="Z1759" s="576">
        <v>0.63888888888888895</v>
      </c>
      <c r="AA1759" s="576">
        <f t="shared" si="158"/>
        <v>6.9444444444445308E-3</v>
      </c>
      <c r="AB1759" s="722"/>
    </row>
    <row r="1760" spans="1:28" x14ac:dyDescent="0.35">
      <c r="A1760" s="98" t="s">
        <v>5286</v>
      </c>
      <c r="C1760" s="118">
        <v>43889</v>
      </c>
      <c r="D1760" s="318">
        <v>43966</v>
      </c>
      <c r="E1760" s="83">
        <v>43929</v>
      </c>
      <c r="F1760" s="88" t="s">
        <v>5424</v>
      </c>
      <c r="G1760" s="88" t="s">
        <v>152</v>
      </c>
      <c r="H1760" s="98" t="s">
        <v>220</v>
      </c>
      <c r="I1760" s="98" t="s">
        <v>649</v>
      </c>
      <c r="J1760" s="75">
        <f t="shared" si="156"/>
        <v>1</v>
      </c>
      <c r="K1760" s="76" t="s">
        <v>211</v>
      </c>
      <c r="N1760" s="78" t="s">
        <v>18</v>
      </c>
      <c r="Q1760" s="78" t="s">
        <v>2163</v>
      </c>
      <c r="R1760" s="75">
        <f t="shared" si="157"/>
        <v>1</v>
      </c>
      <c r="S1760" s="263" t="s">
        <v>1991</v>
      </c>
      <c r="T1760" s="263" t="s">
        <v>932</v>
      </c>
      <c r="Y1760" s="576">
        <v>0.64027777777777783</v>
      </c>
      <c r="Z1760" s="576">
        <v>0.6479166666666667</v>
      </c>
      <c r="AA1760" s="576">
        <f t="shared" si="158"/>
        <v>7.6388888888888618E-3</v>
      </c>
      <c r="AB1760" s="722"/>
    </row>
    <row r="1761" spans="1:28" x14ac:dyDescent="0.35">
      <c r="A1761" s="98" t="s">
        <v>5310</v>
      </c>
      <c r="C1761" s="118">
        <v>43892</v>
      </c>
      <c r="D1761" s="318">
        <v>43966</v>
      </c>
      <c r="E1761" s="83">
        <v>43930</v>
      </c>
      <c r="F1761" s="88" t="s">
        <v>5447</v>
      </c>
      <c r="G1761" s="88" t="s">
        <v>179</v>
      </c>
      <c r="H1761" s="98" t="s">
        <v>220</v>
      </c>
      <c r="I1761" s="98" t="s">
        <v>648</v>
      </c>
      <c r="J1761" s="75">
        <f t="shared" si="156"/>
        <v>1</v>
      </c>
      <c r="K1761" s="76" t="s">
        <v>211</v>
      </c>
      <c r="N1761" s="78" t="s">
        <v>17</v>
      </c>
      <c r="Q1761" s="78" t="s">
        <v>2130</v>
      </c>
      <c r="R1761" s="75">
        <f t="shared" si="157"/>
        <v>1</v>
      </c>
      <c r="S1761" s="263" t="s">
        <v>1991</v>
      </c>
      <c r="T1761" s="263" t="s">
        <v>933</v>
      </c>
      <c r="Y1761" s="576">
        <v>0.72150462962962969</v>
      </c>
      <c r="Z1761" s="576">
        <v>0.73158564814814808</v>
      </c>
      <c r="AA1761" s="576">
        <f t="shared" si="158"/>
        <v>1.0081018518518392E-2</v>
      </c>
      <c r="AB1761" s="722"/>
    </row>
    <row r="1762" spans="1:28" x14ac:dyDescent="0.35">
      <c r="A1762" s="98" t="s">
        <v>5723</v>
      </c>
      <c r="C1762" s="118">
        <v>43901</v>
      </c>
      <c r="D1762" s="318">
        <v>43963</v>
      </c>
      <c r="E1762" s="83">
        <v>43928</v>
      </c>
      <c r="F1762" s="88" t="s">
        <v>5873</v>
      </c>
      <c r="G1762" s="88" t="s">
        <v>154</v>
      </c>
      <c r="H1762" s="98" t="s">
        <v>220</v>
      </c>
      <c r="I1762" s="98" t="s">
        <v>656</v>
      </c>
      <c r="J1762" s="75">
        <f t="shared" si="156"/>
        <v>1</v>
      </c>
      <c r="K1762" s="76" t="s">
        <v>211</v>
      </c>
      <c r="L1762" s="99" t="s">
        <v>6229</v>
      </c>
      <c r="N1762" s="78" t="s">
        <v>17</v>
      </c>
      <c r="Q1762" s="78" t="s">
        <v>2163</v>
      </c>
      <c r="R1762" s="75">
        <f t="shared" si="157"/>
        <v>1</v>
      </c>
      <c r="S1762" s="263" t="s">
        <v>1991</v>
      </c>
      <c r="T1762" s="263" t="s">
        <v>933</v>
      </c>
      <c r="Y1762" s="576">
        <v>0.41388888888888892</v>
      </c>
      <c r="Z1762" s="576">
        <v>0.42222222222222222</v>
      </c>
      <c r="AA1762" s="576">
        <f t="shared" si="158"/>
        <v>8.3333333333333037E-3</v>
      </c>
      <c r="AB1762" s="722"/>
    </row>
    <row r="1763" spans="1:28" x14ac:dyDescent="0.35">
      <c r="A1763" s="98" t="s">
        <v>5724</v>
      </c>
      <c r="C1763" s="118">
        <v>43901</v>
      </c>
      <c r="D1763" s="318">
        <v>43963</v>
      </c>
      <c r="E1763" s="83">
        <v>43931</v>
      </c>
      <c r="F1763" s="88" t="s">
        <v>5874</v>
      </c>
      <c r="G1763" s="88" t="s">
        <v>152</v>
      </c>
      <c r="H1763" s="98" t="s">
        <v>220</v>
      </c>
      <c r="I1763" s="98" t="s">
        <v>691</v>
      </c>
      <c r="J1763" s="75">
        <f t="shared" si="156"/>
        <v>1</v>
      </c>
      <c r="K1763" s="76" t="s">
        <v>211</v>
      </c>
      <c r="N1763" s="78" t="s">
        <v>17</v>
      </c>
      <c r="Q1763" s="78" t="s">
        <v>2130</v>
      </c>
      <c r="R1763" s="75">
        <f t="shared" si="157"/>
        <v>1</v>
      </c>
      <c r="S1763" s="263" t="s">
        <v>1991</v>
      </c>
      <c r="T1763" s="263" t="s">
        <v>933</v>
      </c>
      <c r="Y1763" s="576">
        <v>0.63094907407407408</v>
      </c>
      <c r="Z1763" s="576">
        <v>0.64440972222222215</v>
      </c>
      <c r="AA1763" s="576">
        <f t="shared" si="158"/>
        <v>1.3460648148148069E-2</v>
      </c>
      <c r="AB1763" s="722"/>
    </row>
    <row r="1764" spans="1:28" x14ac:dyDescent="0.35">
      <c r="A1764" s="81" t="s">
        <v>5725</v>
      </c>
      <c r="C1764" s="118">
        <v>43901</v>
      </c>
      <c r="D1764" s="318">
        <v>43980</v>
      </c>
      <c r="E1764" s="83">
        <v>43959</v>
      </c>
      <c r="F1764" s="88" t="s">
        <v>5875</v>
      </c>
      <c r="G1764" s="88" t="s">
        <v>156</v>
      </c>
      <c r="H1764" s="81" t="s">
        <v>275</v>
      </c>
      <c r="I1764" s="98" t="s">
        <v>7173</v>
      </c>
      <c r="J1764" s="75">
        <f t="shared" si="156"/>
        <v>1</v>
      </c>
      <c r="K1764" s="263" t="s">
        <v>211</v>
      </c>
      <c r="L1764" s="99" t="s">
        <v>7172</v>
      </c>
      <c r="N1764" s="78" t="s">
        <v>17</v>
      </c>
      <c r="Q1764" s="78" t="s">
        <v>2163</v>
      </c>
      <c r="R1764" s="75">
        <f t="shared" si="157"/>
        <v>1</v>
      </c>
      <c r="S1764" s="263" t="s">
        <v>1991</v>
      </c>
      <c r="T1764" s="263" t="s">
        <v>933</v>
      </c>
      <c r="U1764" s="304"/>
      <c r="V1764" s="304"/>
      <c r="Y1764" s="576">
        <v>0.72510416666666666</v>
      </c>
      <c r="Z1764" s="576">
        <v>0.7805671296296296</v>
      </c>
      <c r="AA1764" s="576">
        <f t="shared" si="158"/>
        <v>5.5462962962962936E-2</v>
      </c>
      <c r="AB1764" s="722"/>
    </row>
    <row r="1765" spans="1:28" x14ac:dyDescent="0.35">
      <c r="A1765" s="98" t="s">
        <v>5737</v>
      </c>
      <c r="C1765" s="118">
        <v>43901</v>
      </c>
      <c r="D1765" s="318">
        <v>43963</v>
      </c>
      <c r="E1765" s="83">
        <v>43927</v>
      </c>
      <c r="F1765" s="88" t="s">
        <v>5887</v>
      </c>
      <c r="G1765" s="88" t="s">
        <v>154</v>
      </c>
      <c r="H1765" s="98" t="s">
        <v>220</v>
      </c>
      <c r="I1765" s="98" t="s">
        <v>2516</v>
      </c>
      <c r="J1765" s="75">
        <f t="shared" si="156"/>
        <v>1</v>
      </c>
      <c r="K1765" s="76" t="s">
        <v>211</v>
      </c>
      <c r="L1765" s="99"/>
      <c r="N1765" s="78" t="s">
        <v>18</v>
      </c>
      <c r="Q1765" s="78" t="s">
        <v>2163</v>
      </c>
      <c r="R1765" s="75">
        <f t="shared" si="157"/>
        <v>1</v>
      </c>
      <c r="S1765" s="263" t="s">
        <v>1991</v>
      </c>
      <c r="T1765" s="263" t="s">
        <v>932</v>
      </c>
      <c r="Y1765" s="576">
        <v>0.53541666666666665</v>
      </c>
      <c r="Z1765" s="576">
        <v>0.55069444444444449</v>
      </c>
      <c r="AA1765" s="576">
        <f t="shared" si="158"/>
        <v>1.5277777777777835E-2</v>
      </c>
      <c r="AB1765" s="722"/>
    </row>
    <row r="1766" spans="1:28" x14ac:dyDescent="0.35">
      <c r="A1766" s="81" t="s">
        <v>5738</v>
      </c>
      <c r="C1766" s="118">
        <v>43901</v>
      </c>
      <c r="D1766" s="118">
        <v>43963</v>
      </c>
      <c r="F1766" s="88" t="s">
        <v>5888</v>
      </c>
      <c r="G1766" s="88" t="s">
        <v>149</v>
      </c>
      <c r="H1766" s="98" t="s">
        <v>220</v>
      </c>
      <c r="J1766" s="75">
        <f t="shared" si="156"/>
        <v>1</v>
      </c>
      <c r="K1766" s="76" t="s">
        <v>221</v>
      </c>
      <c r="Q1766" s="78" t="s">
        <v>2056</v>
      </c>
      <c r="R1766" s="75">
        <f t="shared" si="157"/>
        <v>1</v>
      </c>
      <c r="S1766" s="263" t="s">
        <v>1991</v>
      </c>
      <c r="T1766" s="263"/>
      <c r="AA1766" s="576">
        <f t="shared" si="158"/>
        <v>0</v>
      </c>
      <c r="AB1766" s="722"/>
    </row>
    <row r="1767" spans="1:28" x14ac:dyDescent="0.35">
      <c r="A1767" s="81" t="s">
        <v>5739</v>
      </c>
      <c r="C1767" s="118">
        <v>43901</v>
      </c>
      <c r="D1767" s="318">
        <v>43963</v>
      </c>
      <c r="E1767" s="83">
        <v>43928</v>
      </c>
      <c r="F1767" s="88" t="s">
        <v>5889</v>
      </c>
      <c r="G1767" s="88" t="s">
        <v>154</v>
      </c>
      <c r="H1767" s="98" t="s">
        <v>220</v>
      </c>
      <c r="I1767" s="98" t="s">
        <v>691</v>
      </c>
      <c r="J1767" s="75">
        <f t="shared" si="156"/>
        <v>1</v>
      </c>
      <c r="K1767" s="76" t="s">
        <v>211</v>
      </c>
      <c r="N1767" s="78" t="s">
        <v>18</v>
      </c>
      <c r="Q1767" s="78" t="s">
        <v>2097</v>
      </c>
      <c r="R1767" s="75">
        <f t="shared" si="157"/>
        <v>1</v>
      </c>
      <c r="S1767" s="263" t="s">
        <v>1991</v>
      </c>
      <c r="T1767" s="263" t="s">
        <v>933</v>
      </c>
      <c r="Y1767" s="576">
        <v>0.73541666666666661</v>
      </c>
      <c r="Z1767" s="576">
        <v>0.74444444444444446</v>
      </c>
      <c r="AA1767" s="576">
        <f t="shared" si="158"/>
        <v>9.0277777777778567E-3</v>
      </c>
      <c r="AB1767" s="722"/>
    </row>
    <row r="1768" spans="1:28" x14ac:dyDescent="0.35">
      <c r="A1768" s="81" t="s">
        <v>5740</v>
      </c>
      <c r="C1768" s="118">
        <v>43901</v>
      </c>
      <c r="D1768" s="118">
        <v>43963</v>
      </c>
      <c r="F1768" s="88" t="s">
        <v>5890</v>
      </c>
      <c r="G1768" s="88" t="s">
        <v>162</v>
      </c>
      <c r="H1768" s="98" t="s">
        <v>220</v>
      </c>
      <c r="J1768" s="75">
        <f t="shared" si="156"/>
        <v>1</v>
      </c>
      <c r="K1768" s="76" t="s">
        <v>221</v>
      </c>
      <c r="Q1768" s="78" t="s">
        <v>2130</v>
      </c>
      <c r="R1768" s="75">
        <f t="shared" si="157"/>
        <v>1</v>
      </c>
      <c r="S1768" s="263" t="s">
        <v>1991</v>
      </c>
      <c r="T1768" s="263"/>
      <c r="AA1768" s="576">
        <f t="shared" si="158"/>
        <v>0</v>
      </c>
      <c r="AB1768" s="722"/>
    </row>
    <row r="1769" spans="1:28" x14ac:dyDescent="0.35">
      <c r="A1769" s="81" t="s">
        <v>5741</v>
      </c>
      <c r="C1769" s="118">
        <v>43901</v>
      </c>
      <c r="D1769" s="318">
        <v>43963</v>
      </c>
      <c r="E1769" s="83">
        <v>43930</v>
      </c>
      <c r="F1769" s="88" t="s">
        <v>5891</v>
      </c>
      <c r="G1769" s="88" t="s">
        <v>154</v>
      </c>
      <c r="H1769" s="98" t="s">
        <v>220</v>
      </c>
      <c r="I1769" s="98" t="s">
        <v>656</v>
      </c>
      <c r="J1769" s="75">
        <f t="shared" si="156"/>
        <v>1</v>
      </c>
      <c r="K1769" s="76" t="s">
        <v>211</v>
      </c>
      <c r="N1769" s="78" t="s">
        <v>18</v>
      </c>
      <c r="Q1769" s="78" t="s">
        <v>2097</v>
      </c>
      <c r="R1769" s="75">
        <f t="shared" si="157"/>
        <v>1</v>
      </c>
      <c r="S1769" s="263" t="s">
        <v>1991</v>
      </c>
      <c r="T1769" s="263" t="s">
        <v>932</v>
      </c>
      <c r="Y1769" s="576">
        <v>0.59399305555555559</v>
      </c>
      <c r="Z1769" s="576">
        <v>0.60031250000000003</v>
      </c>
      <c r="AA1769" s="576">
        <f t="shared" si="158"/>
        <v>6.3194444444444331E-3</v>
      </c>
      <c r="AB1769" s="722"/>
    </row>
    <row r="1770" spans="1:28" x14ac:dyDescent="0.35">
      <c r="A1770" s="81" t="s">
        <v>5742</v>
      </c>
      <c r="C1770" s="118">
        <v>43901</v>
      </c>
      <c r="D1770" s="118">
        <v>43963</v>
      </c>
      <c r="F1770" s="88" t="s">
        <v>5892</v>
      </c>
      <c r="G1770" s="88" t="s">
        <v>154</v>
      </c>
      <c r="H1770" s="98" t="s">
        <v>220</v>
      </c>
      <c r="J1770" s="75">
        <f t="shared" si="156"/>
        <v>1</v>
      </c>
      <c r="K1770" s="76" t="s">
        <v>221</v>
      </c>
      <c r="Q1770" s="78" t="s">
        <v>2097</v>
      </c>
      <c r="R1770" s="75">
        <f t="shared" si="157"/>
        <v>1</v>
      </c>
      <c r="S1770" s="263" t="s">
        <v>1991</v>
      </c>
      <c r="T1770" s="263"/>
      <c r="AA1770" s="576">
        <f t="shared" si="158"/>
        <v>0</v>
      </c>
      <c r="AB1770" s="722"/>
    </row>
    <row r="1771" spans="1:28" x14ac:dyDescent="0.35">
      <c r="A1771" s="81" t="s">
        <v>5745</v>
      </c>
      <c r="C1771" s="118">
        <v>43902</v>
      </c>
      <c r="D1771" s="118">
        <v>43964</v>
      </c>
      <c r="F1771" s="88" t="s">
        <v>5895</v>
      </c>
      <c r="G1771" s="88" t="s">
        <v>149</v>
      </c>
      <c r="H1771" s="98" t="s">
        <v>220</v>
      </c>
      <c r="J1771" s="75">
        <f t="shared" si="156"/>
        <v>1</v>
      </c>
      <c r="K1771" s="76" t="s">
        <v>221</v>
      </c>
      <c r="Q1771" s="78" t="s">
        <v>2097</v>
      </c>
      <c r="R1771" s="75">
        <f t="shared" si="157"/>
        <v>1</v>
      </c>
      <c r="S1771" s="263" t="s">
        <v>1991</v>
      </c>
      <c r="T1771" s="263"/>
      <c r="AA1771" s="576">
        <f t="shared" si="158"/>
        <v>0</v>
      </c>
      <c r="AB1771" s="722"/>
    </row>
    <row r="1772" spans="1:28" x14ac:dyDescent="0.35">
      <c r="A1772" s="81" t="s">
        <v>5749</v>
      </c>
      <c r="C1772" s="118">
        <v>43902</v>
      </c>
      <c r="D1772" s="318">
        <v>43963</v>
      </c>
      <c r="E1772" s="83">
        <v>43927</v>
      </c>
      <c r="F1772" s="88" t="s">
        <v>5899</v>
      </c>
      <c r="G1772" s="88" t="s">
        <v>417</v>
      </c>
      <c r="H1772" s="98" t="s">
        <v>220</v>
      </c>
      <c r="I1772" s="98" t="s">
        <v>1122</v>
      </c>
      <c r="J1772" s="75">
        <f t="shared" si="156"/>
        <v>1</v>
      </c>
      <c r="K1772" s="76" t="s">
        <v>211</v>
      </c>
      <c r="N1772" s="78" t="s">
        <v>18</v>
      </c>
      <c r="Q1772" s="78" t="s">
        <v>2447</v>
      </c>
      <c r="R1772" s="75">
        <f t="shared" si="157"/>
        <v>1</v>
      </c>
      <c r="S1772" s="263" t="s">
        <v>1991</v>
      </c>
      <c r="T1772" s="263" t="s">
        <v>934</v>
      </c>
      <c r="Y1772" s="580">
        <v>0.63888888888888895</v>
      </c>
      <c r="Z1772" s="576">
        <v>0.6479166666666667</v>
      </c>
      <c r="AA1772" s="576">
        <f t="shared" si="158"/>
        <v>9.0277777777777457E-3</v>
      </c>
      <c r="AB1772" s="722"/>
    </row>
    <row r="1773" spans="1:28" x14ac:dyDescent="0.35">
      <c r="A1773" s="81" t="s">
        <v>5750</v>
      </c>
      <c r="C1773" s="118">
        <v>43902</v>
      </c>
      <c r="D1773" s="118">
        <v>43964</v>
      </c>
      <c r="F1773" s="88" t="s">
        <v>5900</v>
      </c>
      <c r="G1773" s="88" t="s">
        <v>154</v>
      </c>
      <c r="H1773" s="98" t="s">
        <v>220</v>
      </c>
      <c r="J1773" s="75">
        <f t="shared" si="156"/>
        <v>1</v>
      </c>
      <c r="K1773" s="76" t="s">
        <v>221</v>
      </c>
      <c r="Q1773" s="78" t="s">
        <v>2097</v>
      </c>
      <c r="R1773" s="75">
        <f t="shared" si="157"/>
        <v>1</v>
      </c>
      <c r="S1773" s="263" t="s">
        <v>1991</v>
      </c>
      <c r="T1773" s="263"/>
      <c r="AA1773" s="576">
        <f t="shared" si="158"/>
        <v>0</v>
      </c>
      <c r="AB1773" s="722"/>
    </row>
    <row r="1774" spans="1:28" x14ac:dyDescent="0.35">
      <c r="A1774" s="81" t="s">
        <v>5751</v>
      </c>
      <c r="C1774" s="118">
        <v>43902</v>
      </c>
      <c r="D1774" s="318">
        <v>43964</v>
      </c>
      <c r="E1774" s="83">
        <v>43927</v>
      </c>
      <c r="F1774" s="88" t="s">
        <v>5901</v>
      </c>
      <c r="G1774" s="88" t="s">
        <v>152</v>
      </c>
      <c r="H1774" s="98" t="s">
        <v>220</v>
      </c>
      <c r="I1774" s="98" t="s">
        <v>698</v>
      </c>
      <c r="J1774" s="75">
        <f t="shared" si="156"/>
        <v>1</v>
      </c>
      <c r="K1774" s="76" t="s">
        <v>211</v>
      </c>
      <c r="N1774" s="78" t="s">
        <v>19</v>
      </c>
      <c r="Q1774" s="78" t="s">
        <v>2163</v>
      </c>
      <c r="R1774" s="75">
        <f t="shared" si="157"/>
        <v>1</v>
      </c>
      <c r="S1774" s="263" t="s">
        <v>1991</v>
      </c>
      <c r="T1774" s="263" t="s">
        <v>932</v>
      </c>
      <c r="Y1774" s="576">
        <v>0.80763888888888891</v>
      </c>
      <c r="Z1774" s="576">
        <v>0.82500000000000007</v>
      </c>
      <c r="AA1774" s="576">
        <f t="shared" si="158"/>
        <v>1.736111111111116E-2</v>
      </c>
      <c r="AB1774" s="722"/>
    </row>
    <row r="1775" spans="1:28" x14ac:dyDescent="0.35">
      <c r="A1775" s="81" t="s">
        <v>5752</v>
      </c>
      <c r="C1775" s="118">
        <v>43902</v>
      </c>
      <c r="D1775" s="118">
        <v>43964</v>
      </c>
      <c r="F1775" s="88" t="s">
        <v>5902</v>
      </c>
      <c r="G1775" s="88" t="s">
        <v>149</v>
      </c>
      <c r="H1775" s="98" t="s">
        <v>220</v>
      </c>
      <c r="J1775" s="75">
        <f t="shared" si="156"/>
        <v>1</v>
      </c>
      <c r="K1775" s="76" t="s">
        <v>221</v>
      </c>
      <c r="Q1775" s="78" t="s">
        <v>2447</v>
      </c>
      <c r="R1775" s="75">
        <f t="shared" si="157"/>
        <v>1</v>
      </c>
      <c r="S1775" s="263" t="s">
        <v>1991</v>
      </c>
      <c r="T1775" s="263"/>
      <c r="AA1775" s="576">
        <f t="shared" si="158"/>
        <v>0</v>
      </c>
      <c r="AB1775" s="722"/>
    </row>
    <row r="1776" spans="1:28" x14ac:dyDescent="0.35">
      <c r="A1776" s="81" t="s">
        <v>5753</v>
      </c>
      <c r="C1776" s="118">
        <v>43902</v>
      </c>
      <c r="D1776" s="318">
        <v>43964</v>
      </c>
      <c r="E1776" s="83">
        <v>43944</v>
      </c>
      <c r="F1776" s="88" t="s">
        <v>5903</v>
      </c>
      <c r="G1776" s="88" t="s">
        <v>154</v>
      </c>
      <c r="H1776" s="98" t="s">
        <v>220</v>
      </c>
      <c r="I1776" s="98" t="s">
        <v>6813</v>
      </c>
      <c r="J1776" s="75">
        <f t="shared" si="156"/>
        <v>1</v>
      </c>
      <c r="K1776" s="76" t="s">
        <v>211</v>
      </c>
      <c r="L1776" s="99" t="s">
        <v>6814</v>
      </c>
      <c r="N1776" s="78" t="s">
        <v>17</v>
      </c>
      <c r="Q1776" s="78" t="s">
        <v>2163</v>
      </c>
      <c r="R1776" s="75">
        <f t="shared" si="157"/>
        <v>1</v>
      </c>
      <c r="S1776" s="263" t="s">
        <v>1991</v>
      </c>
      <c r="T1776" s="263" t="s">
        <v>932</v>
      </c>
      <c r="U1776" s="304" t="s">
        <v>5592</v>
      </c>
      <c r="V1776" s="304" t="s">
        <v>6812</v>
      </c>
      <c r="Y1776" s="576">
        <v>0.69236111111111109</v>
      </c>
      <c r="Z1776" s="576">
        <v>0.72511574074074081</v>
      </c>
      <c r="AA1776" s="576">
        <f t="shared" si="158"/>
        <v>3.2754629629629717E-2</v>
      </c>
      <c r="AB1776" s="722"/>
    </row>
    <row r="1777" spans="1:28" x14ac:dyDescent="0.35">
      <c r="A1777" s="81" t="s">
        <v>5754</v>
      </c>
      <c r="C1777" s="118">
        <v>43902</v>
      </c>
      <c r="D1777" s="318">
        <v>43963</v>
      </c>
      <c r="E1777" s="83">
        <v>43931</v>
      </c>
      <c r="F1777" s="88" t="s">
        <v>5904</v>
      </c>
      <c r="G1777" s="88" t="s">
        <v>181</v>
      </c>
      <c r="H1777" s="98" t="s">
        <v>220</v>
      </c>
      <c r="I1777" s="98" t="s">
        <v>665</v>
      </c>
      <c r="J1777" s="75">
        <f t="shared" si="156"/>
        <v>1</v>
      </c>
      <c r="K1777" s="76" t="s">
        <v>211</v>
      </c>
      <c r="N1777" s="78" t="s">
        <v>18</v>
      </c>
      <c r="Q1777" s="78" t="s">
        <v>2447</v>
      </c>
      <c r="R1777" s="75">
        <f t="shared" si="157"/>
        <v>1</v>
      </c>
      <c r="S1777" s="263" t="s">
        <v>1991</v>
      </c>
      <c r="T1777" s="263" t="s">
        <v>934</v>
      </c>
      <c r="Y1777" s="576">
        <v>0.41082175925925929</v>
      </c>
      <c r="Z1777" s="576">
        <v>0.42774305555555553</v>
      </c>
      <c r="AA1777" s="576">
        <f t="shared" si="158"/>
        <v>1.692129629629624E-2</v>
      </c>
      <c r="AB1777" s="722"/>
    </row>
    <row r="1778" spans="1:28" x14ac:dyDescent="0.35">
      <c r="A1778" s="81" t="s">
        <v>5757</v>
      </c>
      <c r="C1778" s="118">
        <v>43902</v>
      </c>
      <c r="D1778" s="118">
        <v>43964</v>
      </c>
      <c r="F1778" s="88" t="s">
        <v>5907</v>
      </c>
      <c r="G1778" s="88" t="s">
        <v>158</v>
      </c>
      <c r="H1778" s="98" t="s">
        <v>220</v>
      </c>
      <c r="J1778" s="75">
        <f t="shared" si="156"/>
        <v>1</v>
      </c>
      <c r="K1778" s="76" t="s">
        <v>221</v>
      </c>
      <c r="Q1778" s="78" t="s">
        <v>2447</v>
      </c>
      <c r="R1778" s="75">
        <f t="shared" si="157"/>
        <v>1</v>
      </c>
      <c r="S1778" s="263" t="s">
        <v>1991</v>
      </c>
      <c r="T1778" s="263"/>
      <c r="AA1778" s="576">
        <f t="shared" si="158"/>
        <v>0</v>
      </c>
      <c r="AB1778" s="722"/>
    </row>
    <row r="1779" spans="1:28" x14ac:dyDescent="0.35">
      <c r="A1779" s="81" t="s">
        <v>5758</v>
      </c>
      <c r="C1779" s="118">
        <v>43902</v>
      </c>
      <c r="D1779" s="318">
        <v>43964</v>
      </c>
      <c r="E1779" s="83">
        <v>43928</v>
      </c>
      <c r="F1779" s="88" t="s">
        <v>5908</v>
      </c>
      <c r="G1779" s="88" t="s">
        <v>154</v>
      </c>
      <c r="H1779" s="98" t="s">
        <v>220</v>
      </c>
      <c r="I1779" s="98" t="s">
        <v>3260</v>
      </c>
      <c r="J1779" s="75">
        <f t="shared" si="156"/>
        <v>1</v>
      </c>
      <c r="K1779" s="76" t="s">
        <v>211</v>
      </c>
      <c r="N1779" s="78" t="s">
        <v>19</v>
      </c>
      <c r="Q1779" s="78" t="s">
        <v>2056</v>
      </c>
      <c r="R1779" s="75">
        <f t="shared" si="157"/>
        <v>1</v>
      </c>
      <c r="S1779" s="263" t="s">
        <v>1991</v>
      </c>
      <c r="T1779" s="263" t="s">
        <v>934</v>
      </c>
      <c r="Y1779" s="576">
        <v>0.8881944444444444</v>
      </c>
      <c r="Z1779" s="576">
        <v>0.8965277777777777</v>
      </c>
      <c r="AA1779" s="576">
        <f t="shared" si="158"/>
        <v>8.3333333333333037E-3</v>
      </c>
      <c r="AB1779" s="722"/>
    </row>
    <row r="1780" spans="1:28" x14ac:dyDescent="0.35">
      <c r="A1780" s="81" t="s">
        <v>5760</v>
      </c>
      <c r="C1780" s="118">
        <v>43902</v>
      </c>
      <c r="D1780" s="318">
        <v>43964</v>
      </c>
      <c r="E1780" s="83">
        <v>43928</v>
      </c>
      <c r="F1780" s="88" t="s">
        <v>5910</v>
      </c>
      <c r="G1780" s="88" t="s">
        <v>149</v>
      </c>
      <c r="H1780" s="98" t="s">
        <v>220</v>
      </c>
      <c r="I1780" s="98" t="s">
        <v>2516</v>
      </c>
      <c r="J1780" s="75">
        <f t="shared" si="156"/>
        <v>1</v>
      </c>
      <c r="K1780" s="76" t="s">
        <v>211</v>
      </c>
      <c r="N1780" s="78" t="s">
        <v>17</v>
      </c>
      <c r="Q1780" s="78" t="s">
        <v>2130</v>
      </c>
      <c r="R1780" s="75">
        <f t="shared" si="157"/>
        <v>1</v>
      </c>
      <c r="S1780" s="263" t="s">
        <v>1991</v>
      </c>
      <c r="T1780" s="263" t="s">
        <v>932</v>
      </c>
      <c r="U1780" s="304" t="s">
        <v>5592</v>
      </c>
      <c r="V1780" s="304" t="s">
        <v>6236</v>
      </c>
      <c r="Y1780" s="576">
        <v>0.70000000000000007</v>
      </c>
      <c r="Z1780" s="576">
        <v>0.72083333333333333</v>
      </c>
      <c r="AA1780" s="576">
        <f t="shared" si="158"/>
        <v>2.0833333333333259E-2</v>
      </c>
      <c r="AB1780" s="722"/>
    </row>
    <row r="1781" spans="1:28" x14ac:dyDescent="0.35">
      <c r="A1781" s="81" t="s">
        <v>5761</v>
      </c>
      <c r="C1781" s="118">
        <v>43902</v>
      </c>
      <c r="D1781" s="318">
        <v>43964</v>
      </c>
      <c r="E1781" s="83">
        <v>43928</v>
      </c>
      <c r="F1781" s="88" t="s">
        <v>5911</v>
      </c>
      <c r="G1781" s="88" t="s">
        <v>162</v>
      </c>
      <c r="H1781" s="98" t="s">
        <v>220</v>
      </c>
      <c r="I1781" s="98" t="s">
        <v>6237</v>
      </c>
      <c r="J1781" s="75">
        <f t="shared" si="156"/>
        <v>1</v>
      </c>
      <c r="K1781" s="76" t="s">
        <v>211</v>
      </c>
      <c r="L1781" s="99" t="s">
        <v>6386</v>
      </c>
      <c r="N1781" s="78" t="s">
        <v>18</v>
      </c>
      <c r="Q1781" s="78" t="s">
        <v>2056</v>
      </c>
      <c r="R1781" s="75">
        <f t="shared" si="157"/>
        <v>1</v>
      </c>
      <c r="S1781" s="263" t="s">
        <v>1991</v>
      </c>
      <c r="T1781" s="263" t="s">
        <v>934</v>
      </c>
      <c r="U1781" s="304" t="s">
        <v>5592</v>
      </c>
      <c r="V1781" s="304" t="s">
        <v>6238</v>
      </c>
      <c r="Y1781" s="576">
        <v>0.78194444444444444</v>
      </c>
      <c r="Z1781" s="576">
        <v>0.8125</v>
      </c>
      <c r="AA1781" s="576">
        <f t="shared" si="158"/>
        <v>3.0555555555555558E-2</v>
      </c>
      <c r="AB1781" s="722"/>
    </row>
    <row r="1782" spans="1:28" x14ac:dyDescent="0.35">
      <c r="A1782" s="81" t="s">
        <v>5763</v>
      </c>
      <c r="C1782" s="118">
        <v>43902</v>
      </c>
      <c r="D1782" s="118">
        <v>43964</v>
      </c>
      <c r="E1782" s="83">
        <v>43930</v>
      </c>
      <c r="F1782" s="88" t="s">
        <v>5913</v>
      </c>
      <c r="G1782" s="88" t="s">
        <v>160</v>
      </c>
      <c r="H1782" s="98" t="s">
        <v>220</v>
      </c>
      <c r="I1782" s="98" t="s">
        <v>1004</v>
      </c>
      <c r="J1782" s="75">
        <f t="shared" si="156"/>
        <v>1</v>
      </c>
      <c r="K1782" s="76" t="s">
        <v>211</v>
      </c>
      <c r="N1782" s="78" t="s">
        <v>19</v>
      </c>
      <c r="Q1782" s="78" t="s">
        <v>2447</v>
      </c>
      <c r="R1782" s="75">
        <f t="shared" si="157"/>
        <v>1</v>
      </c>
      <c r="S1782" s="263" t="s">
        <v>1991</v>
      </c>
      <c r="T1782" s="263" t="s">
        <v>932</v>
      </c>
      <c r="Y1782" s="576">
        <v>0.48958333333333331</v>
      </c>
      <c r="Z1782" s="576">
        <v>0.50347222222222221</v>
      </c>
      <c r="AA1782" s="576">
        <f t="shared" si="158"/>
        <v>1.3888888888888895E-2</v>
      </c>
      <c r="AB1782" s="722"/>
    </row>
    <row r="1783" spans="1:28" x14ac:dyDescent="0.35">
      <c r="A1783" s="81" t="s">
        <v>5765</v>
      </c>
      <c r="C1783" s="118">
        <v>43902</v>
      </c>
      <c r="D1783" s="118">
        <v>43964</v>
      </c>
      <c r="F1783" s="88" t="s">
        <v>5915</v>
      </c>
      <c r="G1783" s="88" t="s">
        <v>162</v>
      </c>
      <c r="H1783" s="98" t="s">
        <v>220</v>
      </c>
      <c r="J1783" s="75">
        <f t="shared" si="156"/>
        <v>1</v>
      </c>
      <c r="K1783" s="76" t="s">
        <v>221</v>
      </c>
      <c r="Q1783" s="78" t="s">
        <v>2447</v>
      </c>
      <c r="R1783" s="75">
        <f t="shared" si="157"/>
        <v>1</v>
      </c>
      <c r="S1783" s="263" t="s">
        <v>1991</v>
      </c>
      <c r="T1783" s="263"/>
      <c r="AA1783" s="576">
        <f t="shared" si="158"/>
        <v>0</v>
      </c>
      <c r="AB1783" s="722"/>
    </row>
    <row r="1784" spans="1:28" x14ac:dyDescent="0.35">
      <c r="A1784" s="81" t="s">
        <v>5768</v>
      </c>
      <c r="C1784" s="118">
        <v>43902</v>
      </c>
      <c r="D1784" s="318">
        <v>43964</v>
      </c>
      <c r="E1784" s="83">
        <v>43928</v>
      </c>
      <c r="F1784" s="88" t="s">
        <v>5918</v>
      </c>
      <c r="G1784" s="88" t="s">
        <v>154</v>
      </c>
      <c r="H1784" s="98" t="s">
        <v>220</v>
      </c>
      <c r="I1784" s="98" t="s">
        <v>3221</v>
      </c>
      <c r="J1784" s="75">
        <f t="shared" si="156"/>
        <v>1</v>
      </c>
      <c r="K1784" s="76" t="s">
        <v>211</v>
      </c>
      <c r="N1784" s="78" t="s">
        <v>17</v>
      </c>
      <c r="Q1784" s="78" t="s">
        <v>2056</v>
      </c>
      <c r="R1784" s="75">
        <f t="shared" si="157"/>
        <v>1</v>
      </c>
      <c r="S1784" s="263" t="s">
        <v>1991</v>
      </c>
      <c r="T1784" s="263" t="s">
        <v>932</v>
      </c>
      <c r="Y1784" s="576">
        <v>0.64652777777777781</v>
      </c>
      <c r="Z1784" s="576">
        <v>0.66180555555555554</v>
      </c>
      <c r="AA1784" s="576">
        <f t="shared" si="158"/>
        <v>1.5277777777777724E-2</v>
      </c>
      <c r="AB1784" s="722"/>
    </row>
    <row r="1785" spans="1:28" x14ac:dyDescent="0.35">
      <c r="A1785" s="98" t="s">
        <v>5772</v>
      </c>
      <c r="C1785" s="118">
        <v>43902</v>
      </c>
      <c r="D1785" s="318">
        <v>43964</v>
      </c>
      <c r="E1785" s="83">
        <v>43930</v>
      </c>
      <c r="F1785" s="88" t="s">
        <v>5922</v>
      </c>
      <c r="G1785" s="88" t="s">
        <v>154</v>
      </c>
      <c r="H1785" s="98" t="s">
        <v>220</v>
      </c>
      <c r="I1785" s="98" t="s">
        <v>730</v>
      </c>
      <c r="J1785" s="75">
        <f t="shared" si="156"/>
        <v>1</v>
      </c>
      <c r="K1785" s="76" t="s">
        <v>211</v>
      </c>
      <c r="L1785" s="99" t="s">
        <v>6382</v>
      </c>
      <c r="N1785" s="78" t="s">
        <v>18</v>
      </c>
      <c r="Q1785" s="78" t="s">
        <v>2447</v>
      </c>
      <c r="R1785" s="75">
        <f t="shared" si="157"/>
        <v>1</v>
      </c>
      <c r="S1785" s="263" t="s">
        <v>1991</v>
      </c>
      <c r="T1785" s="263" t="s">
        <v>934</v>
      </c>
      <c r="Y1785" s="576">
        <v>0.42432870370370374</v>
      </c>
      <c r="Z1785" s="576">
        <v>0.43193287037037037</v>
      </c>
      <c r="AA1785" s="576">
        <f t="shared" si="158"/>
        <v>7.6041666666666341E-3</v>
      </c>
      <c r="AB1785" s="722"/>
    </row>
    <row r="1786" spans="1:28" x14ac:dyDescent="0.35">
      <c r="A1786" s="81" t="s">
        <v>5773</v>
      </c>
      <c r="C1786" s="118">
        <v>43903</v>
      </c>
      <c r="D1786" s="318">
        <v>43964</v>
      </c>
      <c r="E1786" s="83">
        <v>43928</v>
      </c>
      <c r="F1786" s="88" t="s">
        <v>5923</v>
      </c>
      <c r="G1786" s="88" t="s">
        <v>176</v>
      </c>
      <c r="H1786" s="98" t="s">
        <v>220</v>
      </c>
      <c r="I1786" s="98" t="s">
        <v>1122</v>
      </c>
      <c r="J1786" s="75">
        <f t="shared" si="156"/>
        <v>1</v>
      </c>
      <c r="K1786" s="76" t="s">
        <v>211</v>
      </c>
      <c r="N1786" s="78" t="s">
        <v>18</v>
      </c>
      <c r="Q1786" s="78" t="s">
        <v>2056</v>
      </c>
      <c r="R1786" s="75">
        <f t="shared" si="157"/>
        <v>1</v>
      </c>
      <c r="S1786" s="263" t="s">
        <v>1991</v>
      </c>
      <c r="T1786" s="263" t="s">
        <v>932</v>
      </c>
      <c r="U1786" s="304" t="s">
        <v>5592</v>
      </c>
      <c r="V1786" s="304" t="s">
        <v>6234</v>
      </c>
      <c r="Y1786" s="580">
        <v>0.56388888888888888</v>
      </c>
      <c r="Z1786" s="576">
        <v>0.57638888888888895</v>
      </c>
      <c r="AA1786" s="576">
        <f t="shared" si="158"/>
        <v>1.2500000000000067E-2</v>
      </c>
      <c r="AB1786" s="722"/>
    </row>
    <row r="1787" spans="1:28" x14ac:dyDescent="0.35">
      <c r="A1787" s="81" t="s">
        <v>6111</v>
      </c>
      <c r="C1787" s="118">
        <v>43903</v>
      </c>
      <c r="D1787" s="118">
        <v>43965</v>
      </c>
      <c r="F1787" s="88" t="s">
        <v>6165</v>
      </c>
      <c r="G1787" s="88" t="s">
        <v>156</v>
      </c>
      <c r="H1787" s="98" t="s">
        <v>220</v>
      </c>
      <c r="J1787" s="75">
        <f t="shared" si="156"/>
        <v>1</v>
      </c>
      <c r="K1787" s="76" t="s">
        <v>221</v>
      </c>
      <c r="Q1787" s="78" t="s">
        <v>2163</v>
      </c>
      <c r="R1787" s="75">
        <f t="shared" si="157"/>
        <v>1</v>
      </c>
      <c r="S1787" s="263" t="s">
        <v>1991</v>
      </c>
      <c r="T1787" s="263"/>
      <c r="AA1787" s="576">
        <f t="shared" si="158"/>
        <v>0</v>
      </c>
      <c r="AB1787" s="722"/>
    </row>
    <row r="1788" spans="1:28" x14ac:dyDescent="0.35">
      <c r="A1788" s="81" t="s">
        <v>5775</v>
      </c>
      <c r="C1788" s="118">
        <v>43903</v>
      </c>
      <c r="D1788" s="318">
        <v>43964</v>
      </c>
      <c r="E1788" s="83">
        <v>43928</v>
      </c>
      <c r="F1788" s="88" t="s">
        <v>5925</v>
      </c>
      <c r="G1788" s="88" t="s">
        <v>152</v>
      </c>
      <c r="H1788" s="98" t="s">
        <v>220</v>
      </c>
      <c r="I1788" s="98" t="s">
        <v>1122</v>
      </c>
      <c r="J1788" s="75">
        <f t="shared" si="156"/>
        <v>1</v>
      </c>
      <c r="K1788" s="76" t="s">
        <v>211</v>
      </c>
      <c r="N1788" s="78" t="s">
        <v>18</v>
      </c>
      <c r="Q1788" s="78" t="s">
        <v>2130</v>
      </c>
      <c r="R1788" s="75">
        <f t="shared" si="157"/>
        <v>1</v>
      </c>
      <c r="S1788" s="263" t="s">
        <v>1991</v>
      </c>
      <c r="T1788" s="263" t="s">
        <v>933</v>
      </c>
      <c r="Y1788" s="576">
        <v>0.66736111111111107</v>
      </c>
      <c r="Z1788" s="576">
        <v>0.67152777777777783</v>
      </c>
      <c r="AA1788" s="576">
        <f t="shared" si="158"/>
        <v>4.1666666666667629E-3</v>
      </c>
      <c r="AB1788" s="722"/>
    </row>
    <row r="1789" spans="1:28" x14ac:dyDescent="0.35">
      <c r="A1789" s="81" t="s">
        <v>5776</v>
      </c>
      <c r="C1789" s="118">
        <v>43903</v>
      </c>
      <c r="D1789" s="318">
        <v>43964</v>
      </c>
      <c r="E1789" s="83">
        <v>43928</v>
      </c>
      <c r="F1789" s="88" t="s">
        <v>5926</v>
      </c>
      <c r="G1789" s="88" t="s">
        <v>152</v>
      </c>
      <c r="H1789" s="98" t="s">
        <v>220</v>
      </c>
      <c r="I1789" s="98" t="s">
        <v>6235</v>
      </c>
      <c r="J1789" s="75">
        <f t="shared" si="156"/>
        <v>1</v>
      </c>
      <c r="K1789" s="76" t="s">
        <v>211</v>
      </c>
      <c r="N1789" s="78" t="s">
        <v>18</v>
      </c>
      <c r="Q1789" s="78" t="s">
        <v>2130</v>
      </c>
      <c r="R1789" s="75">
        <f t="shared" si="157"/>
        <v>1</v>
      </c>
      <c r="S1789" s="263" t="s">
        <v>1991</v>
      </c>
      <c r="T1789" s="263" t="s">
        <v>932</v>
      </c>
      <c r="Y1789" s="576">
        <v>0.67222222222222217</v>
      </c>
      <c r="Z1789" s="576">
        <v>0.68125000000000002</v>
      </c>
      <c r="AA1789" s="576">
        <f t="shared" si="158"/>
        <v>9.0277777777778567E-3</v>
      </c>
      <c r="AB1789" s="722"/>
    </row>
    <row r="1790" spans="1:28" x14ac:dyDescent="0.35">
      <c r="A1790" s="81" t="s">
        <v>5777</v>
      </c>
      <c r="C1790" s="118">
        <v>43903</v>
      </c>
      <c r="D1790" s="318">
        <v>43964</v>
      </c>
      <c r="E1790" s="83">
        <v>43928</v>
      </c>
      <c r="F1790" s="88" t="s">
        <v>5927</v>
      </c>
      <c r="G1790" s="88" t="s">
        <v>156</v>
      </c>
      <c r="H1790" s="98" t="s">
        <v>220</v>
      </c>
      <c r="I1790" s="98" t="s">
        <v>981</v>
      </c>
      <c r="J1790" s="75">
        <f t="shared" si="156"/>
        <v>1</v>
      </c>
      <c r="K1790" s="76" t="s">
        <v>211</v>
      </c>
      <c r="N1790" s="78" t="s">
        <v>17</v>
      </c>
      <c r="Q1790" s="78" t="s">
        <v>2163</v>
      </c>
      <c r="R1790" s="75">
        <f t="shared" si="157"/>
        <v>1</v>
      </c>
      <c r="S1790" s="263" t="s">
        <v>1991</v>
      </c>
      <c r="T1790" s="263" t="s">
        <v>933</v>
      </c>
      <c r="Y1790" s="576">
        <v>0.42291666666666666</v>
      </c>
      <c r="Z1790" s="576">
        <v>0.43333333333333335</v>
      </c>
      <c r="AA1790" s="576">
        <f t="shared" si="158"/>
        <v>1.0416666666666685E-2</v>
      </c>
      <c r="AB1790" s="722"/>
    </row>
    <row r="1791" spans="1:28" x14ac:dyDescent="0.35">
      <c r="A1791" s="81" t="s">
        <v>6112</v>
      </c>
      <c r="C1791" s="118">
        <v>43903</v>
      </c>
      <c r="D1791" s="118">
        <v>43965</v>
      </c>
      <c r="F1791" s="88" t="s">
        <v>6166</v>
      </c>
      <c r="G1791" s="88" t="s">
        <v>154</v>
      </c>
      <c r="H1791" s="98" t="s">
        <v>220</v>
      </c>
      <c r="J1791" s="75">
        <f t="shared" si="156"/>
        <v>1</v>
      </c>
      <c r="K1791" s="76" t="s">
        <v>221</v>
      </c>
      <c r="Q1791" s="78" t="s">
        <v>2447</v>
      </c>
      <c r="R1791" s="75">
        <f t="shared" si="157"/>
        <v>1</v>
      </c>
      <c r="S1791" s="263" t="s">
        <v>1991</v>
      </c>
      <c r="T1791" s="263"/>
      <c r="AA1791" s="576">
        <f t="shared" si="158"/>
        <v>0</v>
      </c>
      <c r="AB1791" s="722"/>
    </row>
    <row r="1792" spans="1:28" x14ac:dyDescent="0.35">
      <c r="A1792" s="81" t="s">
        <v>5778</v>
      </c>
      <c r="C1792" s="118">
        <v>43903</v>
      </c>
      <c r="D1792" s="118">
        <v>43964</v>
      </c>
      <c r="F1792" s="88" t="s">
        <v>5928</v>
      </c>
      <c r="G1792" s="88" t="s">
        <v>158</v>
      </c>
      <c r="H1792" s="98" t="s">
        <v>220</v>
      </c>
      <c r="J1792" s="75">
        <f t="shared" si="156"/>
        <v>1</v>
      </c>
      <c r="K1792" s="76" t="s">
        <v>221</v>
      </c>
      <c r="Q1792" s="78" t="s">
        <v>2097</v>
      </c>
      <c r="R1792" s="75">
        <f t="shared" si="157"/>
        <v>1</v>
      </c>
      <c r="S1792" s="263" t="s">
        <v>1991</v>
      </c>
      <c r="T1792" s="263"/>
      <c r="AA1792" s="576">
        <f t="shared" si="158"/>
        <v>0</v>
      </c>
      <c r="AB1792" s="722"/>
    </row>
    <row r="1793" spans="1:28" x14ac:dyDescent="0.35">
      <c r="A1793" s="81" t="s">
        <v>6113</v>
      </c>
      <c r="C1793" s="118">
        <v>43903</v>
      </c>
      <c r="D1793" s="118">
        <v>43965</v>
      </c>
      <c r="F1793" s="88" t="s">
        <v>6167</v>
      </c>
      <c r="G1793" s="88" t="s">
        <v>154</v>
      </c>
      <c r="H1793" s="98" t="s">
        <v>220</v>
      </c>
      <c r="J1793" s="75">
        <f t="shared" si="156"/>
        <v>1</v>
      </c>
      <c r="K1793" s="76" t="s">
        <v>221</v>
      </c>
      <c r="Q1793" s="78" t="s">
        <v>2163</v>
      </c>
      <c r="R1793" s="75">
        <f t="shared" si="157"/>
        <v>1</v>
      </c>
      <c r="S1793" s="263" t="s">
        <v>1991</v>
      </c>
      <c r="T1793" s="263"/>
      <c r="AA1793" s="576">
        <f t="shared" si="158"/>
        <v>0</v>
      </c>
      <c r="AB1793" s="722"/>
    </row>
    <row r="1794" spans="1:28" x14ac:dyDescent="0.35">
      <c r="A1794" s="98" t="s">
        <v>6114</v>
      </c>
      <c r="C1794" s="118">
        <v>43903</v>
      </c>
      <c r="D1794" s="318">
        <v>43965</v>
      </c>
      <c r="E1794" s="83">
        <v>43931</v>
      </c>
      <c r="F1794" s="88" t="s">
        <v>6168</v>
      </c>
      <c r="G1794" s="88" t="s">
        <v>156</v>
      </c>
      <c r="H1794" s="98" t="s">
        <v>220</v>
      </c>
      <c r="I1794" s="98" t="s">
        <v>981</v>
      </c>
      <c r="J1794" s="75">
        <f t="shared" si="156"/>
        <v>1</v>
      </c>
      <c r="K1794" s="76" t="s">
        <v>211</v>
      </c>
      <c r="N1794" s="78" t="s">
        <v>17</v>
      </c>
      <c r="Q1794" s="78" t="s">
        <v>2097</v>
      </c>
      <c r="R1794" s="75">
        <f t="shared" si="157"/>
        <v>1</v>
      </c>
      <c r="S1794" s="263" t="s">
        <v>1991</v>
      </c>
      <c r="T1794" s="263" t="s">
        <v>934</v>
      </c>
      <c r="Y1794" s="576">
        <v>0.51446759259259256</v>
      </c>
      <c r="Z1794" s="576">
        <v>0.55033564814814817</v>
      </c>
      <c r="AA1794" s="576">
        <f t="shared" si="158"/>
        <v>3.5868055555555611E-2</v>
      </c>
      <c r="AB1794" s="722"/>
    </row>
    <row r="1795" spans="1:28" x14ac:dyDescent="0.35">
      <c r="A1795" s="81" t="s">
        <v>6116</v>
      </c>
      <c r="C1795" s="118">
        <v>43903</v>
      </c>
      <c r="D1795" s="318">
        <v>43964</v>
      </c>
      <c r="E1795" s="83">
        <v>43929</v>
      </c>
      <c r="F1795" s="88" t="s">
        <v>6170</v>
      </c>
      <c r="G1795" s="88" t="s">
        <v>152</v>
      </c>
      <c r="H1795" s="98" t="s">
        <v>220</v>
      </c>
      <c r="I1795" s="98" t="s">
        <v>3554</v>
      </c>
      <c r="J1795" s="75">
        <f t="shared" si="156"/>
        <v>1</v>
      </c>
      <c r="K1795" s="76" t="s">
        <v>211</v>
      </c>
      <c r="N1795" s="78" t="s">
        <v>18</v>
      </c>
      <c r="Q1795" s="78" t="s">
        <v>2447</v>
      </c>
      <c r="R1795" s="75">
        <f t="shared" si="157"/>
        <v>1</v>
      </c>
      <c r="S1795" s="263" t="s">
        <v>1991</v>
      </c>
      <c r="T1795" s="263" t="s">
        <v>932</v>
      </c>
      <c r="Y1795" s="576">
        <v>0.72083333333333333</v>
      </c>
      <c r="Z1795" s="576">
        <v>0.72916666666666663</v>
      </c>
      <c r="AA1795" s="576">
        <f t="shared" si="158"/>
        <v>8.3333333333333037E-3</v>
      </c>
      <c r="AB1795" s="722"/>
    </row>
    <row r="1796" spans="1:28" x14ac:dyDescent="0.35">
      <c r="A1796" s="98" t="s">
        <v>6118</v>
      </c>
      <c r="C1796" s="118">
        <v>43906</v>
      </c>
      <c r="D1796" s="318">
        <v>43965</v>
      </c>
      <c r="E1796" s="83">
        <v>43929</v>
      </c>
      <c r="F1796" s="88" t="s">
        <v>6172</v>
      </c>
      <c r="G1796" s="88" t="s">
        <v>154</v>
      </c>
      <c r="H1796" s="98" t="s">
        <v>220</v>
      </c>
      <c r="I1796" s="98" t="s">
        <v>1122</v>
      </c>
      <c r="J1796" s="75">
        <f t="shared" si="156"/>
        <v>1</v>
      </c>
      <c r="K1796" s="76" t="s">
        <v>211</v>
      </c>
      <c r="N1796" s="78" t="s">
        <v>18</v>
      </c>
      <c r="Q1796" s="78" t="s">
        <v>2056</v>
      </c>
      <c r="R1796" s="75">
        <f t="shared" si="157"/>
        <v>1</v>
      </c>
      <c r="S1796" s="263" t="s">
        <v>1991</v>
      </c>
      <c r="T1796" s="263" t="s">
        <v>934</v>
      </c>
      <c r="Y1796" s="576">
        <v>0.54722222222222217</v>
      </c>
      <c r="Z1796" s="576">
        <v>0.55277777777777781</v>
      </c>
      <c r="AA1796" s="576">
        <f t="shared" si="158"/>
        <v>5.5555555555556468E-3</v>
      </c>
      <c r="AB1796" s="722"/>
    </row>
    <row r="1797" spans="1:28" x14ac:dyDescent="0.35">
      <c r="A1797" s="81" t="s">
        <v>6119</v>
      </c>
      <c r="C1797" s="118">
        <v>43906</v>
      </c>
      <c r="D1797" s="118">
        <v>43965</v>
      </c>
      <c r="F1797" s="88" t="s">
        <v>6173</v>
      </c>
      <c r="G1797" s="88" t="s">
        <v>162</v>
      </c>
      <c r="H1797" s="98" t="s">
        <v>220</v>
      </c>
      <c r="J1797" s="75">
        <f t="shared" si="156"/>
        <v>1</v>
      </c>
      <c r="K1797" s="76" t="s">
        <v>221</v>
      </c>
      <c r="Q1797" s="78" t="s">
        <v>2056</v>
      </c>
      <c r="R1797" s="75">
        <f t="shared" si="157"/>
        <v>1</v>
      </c>
      <c r="S1797" s="263" t="s">
        <v>1991</v>
      </c>
      <c r="T1797" s="263"/>
      <c r="AA1797" s="576">
        <f t="shared" si="158"/>
        <v>0</v>
      </c>
      <c r="AB1797" s="722"/>
    </row>
    <row r="1798" spans="1:28" x14ac:dyDescent="0.35">
      <c r="A1798" s="81" t="s">
        <v>6120</v>
      </c>
      <c r="C1798" s="118">
        <v>43906</v>
      </c>
      <c r="D1798" s="118">
        <v>43965</v>
      </c>
      <c r="F1798" s="88" t="s">
        <v>6174</v>
      </c>
      <c r="G1798" s="88" t="s">
        <v>195</v>
      </c>
      <c r="H1798" s="98" t="s">
        <v>220</v>
      </c>
      <c r="J1798" s="75">
        <f t="shared" ref="J1798:J1832" si="159">IF(OR(K1798="Документы готовы",K1798="Запрос в ФО",K1798="ЭЗ",K1798="РЕШ",K1798="РЕШ шаблон"),0.1,IF(OR(K1798="ЭЗ согласование",K1798="РЕШ согласование"),0.3,IF(OR(K1798="ЭЗ согласовано",K1798="РЕШ согласовано",K1798="РЕШ подписано"),0.6,IF(OR(K1798="ЭЗ ПР согласование",K1798="РЕШ УВ согласование"),0.9,IF(OR(K1798="ЭЗ ПР DONE",K1798="РЕШ УВ DONE"),1,0)))))</f>
        <v>1</v>
      </c>
      <c r="K1798" s="76" t="s">
        <v>221</v>
      </c>
      <c r="Q1798" s="78" t="s">
        <v>2130</v>
      </c>
      <c r="R1798" s="75">
        <f t="shared" ref="R1798:R1832" si="160">IF(S1798="В работе",0.3,IF(S1798="Отписано",0.6,IF(S1798="На доработку",0.9,IF(S1798="Согласовано",1,0))))</f>
        <v>1</v>
      </c>
      <c r="S1798" s="263" t="s">
        <v>1991</v>
      </c>
      <c r="T1798" s="263"/>
      <c r="AA1798" s="576">
        <f t="shared" si="158"/>
        <v>0</v>
      </c>
      <c r="AB1798" s="722"/>
    </row>
    <row r="1799" spans="1:28" x14ac:dyDescent="0.35">
      <c r="A1799" s="81" t="s">
        <v>6121</v>
      </c>
      <c r="C1799" s="118">
        <v>43906</v>
      </c>
      <c r="D1799" s="118">
        <v>43965</v>
      </c>
      <c r="F1799" s="88" t="s">
        <v>6175</v>
      </c>
      <c r="G1799" s="88" t="s">
        <v>177</v>
      </c>
      <c r="H1799" s="98" t="s">
        <v>220</v>
      </c>
      <c r="J1799" s="75">
        <f t="shared" si="159"/>
        <v>1</v>
      </c>
      <c r="K1799" s="76" t="s">
        <v>221</v>
      </c>
      <c r="L1799" s="99" t="s">
        <v>1755</v>
      </c>
      <c r="Q1799" s="78" t="s">
        <v>2056</v>
      </c>
      <c r="R1799" s="75">
        <f t="shared" si="160"/>
        <v>1</v>
      </c>
      <c r="S1799" s="263" t="s">
        <v>1991</v>
      </c>
      <c r="T1799" s="263"/>
      <c r="AA1799" s="576">
        <f t="shared" si="158"/>
        <v>0</v>
      </c>
      <c r="AB1799" s="722"/>
    </row>
    <row r="1800" spans="1:28" x14ac:dyDescent="0.35">
      <c r="A1800" s="81" t="s">
        <v>6122</v>
      </c>
      <c r="C1800" s="118">
        <v>43906</v>
      </c>
      <c r="D1800" s="118">
        <v>43965</v>
      </c>
      <c r="F1800" s="88" t="s">
        <v>6176</v>
      </c>
      <c r="G1800" s="88" t="s">
        <v>154</v>
      </c>
      <c r="H1800" s="98" t="s">
        <v>220</v>
      </c>
      <c r="J1800" s="75">
        <f t="shared" si="159"/>
        <v>1</v>
      </c>
      <c r="K1800" s="76" t="s">
        <v>221</v>
      </c>
      <c r="Q1800" s="78" t="s">
        <v>2056</v>
      </c>
      <c r="R1800" s="75">
        <f t="shared" si="160"/>
        <v>1</v>
      </c>
      <c r="S1800" s="263" t="s">
        <v>1991</v>
      </c>
      <c r="T1800" s="263"/>
      <c r="AA1800" s="576">
        <f t="shared" si="158"/>
        <v>0</v>
      </c>
      <c r="AB1800" s="722"/>
    </row>
    <row r="1801" spans="1:28" x14ac:dyDescent="0.35">
      <c r="A1801" s="81" t="s">
        <v>6123</v>
      </c>
      <c r="C1801" s="118">
        <v>43903</v>
      </c>
      <c r="D1801" s="318">
        <v>43965</v>
      </c>
      <c r="E1801" s="83">
        <v>43929</v>
      </c>
      <c r="F1801" s="88" t="s">
        <v>6177</v>
      </c>
      <c r="G1801" s="88" t="s">
        <v>545</v>
      </c>
      <c r="H1801" s="81" t="s">
        <v>275</v>
      </c>
      <c r="I1801" s="98" t="s">
        <v>6244</v>
      </c>
      <c r="J1801" s="75">
        <f t="shared" si="159"/>
        <v>1</v>
      </c>
      <c r="K1801" s="76" t="s">
        <v>211</v>
      </c>
      <c r="N1801" s="78" t="s">
        <v>18</v>
      </c>
      <c r="Q1801" s="78" t="s">
        <v>2163</v>
      </c>
      <c r="R1801" s="75">
        <f t="shared" si="160"/>
        <v>1</v>
      </c>
      <c r="S1801" s="263" t="s">
        <v>1991</v>
      </c>
      <c r="T1801" s="263" t="s">
        <v>934</v>
      </c>
      <c r="Y1801" s="576">
        <v>0.48472222222222222</v>
      </c>
      <c r="Z1801" s="576">
        <v>0.49652777777777773</v>
      </c>
      <c r="AA1801" s="576">
        <f t="shared" ref="AA1801:AA1829" si="161">Z1801-Y1801</f>
        <v>1.1805555555555514E-2</v>
      </c>
      <c r="AB1801" s="722"/>
    </row>
    <row r="1802" spans="1:28" x14ac:dyDescent="0.35">
      <c r="A1802" s="81" t="s">
        <v>6124</v>
      </c>
      <c r="C1802" s="118">
        <v>43906</v>
      </c>
      <c r="D1802" s="118">
        <v>43966</v>
      </c>
      <c r="F1802" s="88" t="s">
        <v>6178</v>
      </c>
      <c r="G1802" s="88" t="s">
        <v>162</v>
      </c>
      <c r="H1802" s="98" t="s">
        <v>220</v>
      </c>
      <c r="J1802" s="75">
        <f t="shared" si="159"/>
        <v>1</v>
      </c>
      <c r="K1802" s="76" t="s">
        <v>221</v>
      </c>
      <c r="Q1802" s="78" t="s">
        <v>2056</v>
      </c>
      <c r="R1802" s="75">
        <f t="shared" si="160"/>
        <v>1</v>
      </c>
      <c r="S1802" s="263" t="s">
        <v>1991</v>
      </c>
      <c r="T1802" s="263"/>
      <c r="AA1802" s="576">
        <f t="shared" si="161"/>
        <v>0</v>
      </c>
      <c r="AB1802" s="722"/>
    </row>
    <row r="1803" spans="1:28" x14ac:dyDescent="0.35">
      <c r="A1803" s="81" t="s">
        <v>6125</v>
      </c>
      <c r="C1803" s="118">
        <v>43906</v>
      </c>
      <c r="D1803" s="118">
        <v>43966</v>
      </c>
      <c r="F1803" s="88" t="s">
        <v>6179</v>
      </c>
      <c r="G1803" s="88" t="s">
        <v>417</v>
      </c>
      <c r="H1803" s="98" t="s">
        <v>220</v>
      </c>
      <c r="J1803" s="75">
        <f t="shared" si="159"/>
        <v>1</v>
      </c>
      <c r="K1803" s="76" t="s">
        <v>221</v>
      </c>
      <c r="Q1803" s="78" t="s">
        <v>2163</v>
      </c>
      <c r="R1803" s="75">
        <f t="shared" si="160"/>
        <v>1</v>
      </c>
      <c r="S1803" s="263" t="s">
        <v>1991</v>
      </c>
      <c r="T1803" s="263"/>
      <c r="AA1803" s="576">
        <f t="shared" si="161"/>
        <v>0</v>
      </c>
      <c r="AB1803" s="722"/>
    </row>
    <row r="1804" spans="1:28" x14ac:dyDescent="0.35">
      <c r="A1804" s="81" t="s">
        <v>6127</v>
      </c>
      <c r="C1804" s="118">
        <v>43906</v>
      </c>
      <c r="D1804" s="118">
        <v>43966</v>
      </c>
      <c r="F1804" s="88" t="s">
        <v>6181</v>
      </c>
      <c r="G1804" s="88" t="s">
        <v>156</v>
      </c>
      <c r="H1804" s="98" t="s">
        <v>220</v>
      </c>
      <c r="J1804" s="75">
        <f t="shared" si="159"/>
        <v>1</v>
      </c>
      <c r="K1804" s="76" t="s">
        <v>221</v>
      </c>
      <c r="Q1804" s="78" t="s">
        <v>2447</v>
      </c>
      <c r="R1804" s="75">
        <f t="shared" si="160"/>
        <v>1</v>
      </c>
      <c r="S1804" s="263" t="s">
        <v>1991</v>
      </c>
      <c r="T1804" s="263"/>
      <c r="AA1804" s="576">
        <f t="shared" si="161"/>
        <v>0</v>
      </c>
      <c r="AB1804" s="722"/>
    </row>
    <row r="1805" spans="1:28" x14ac:dyDescent="0.35">
      <c r="A1805" s="81" t="s">
        <v>6128</v>
      </c>
      <c r="C1805" s="118">
        <v>43906</v>
      </c>
      <c r="D1805" s="118">
        <v>43966</v>
      </c>
      <c r="F1805" s="88" t="s">
        <v>6182</v>
      </c>
      <c r="G1805" s="88" t="s">
        <v>176</v>
      </c>
      <c r="H1805" s="98" t="s">
        <v>220</v>
      </c>
      <c r="J1805" s="75">
        <f t="shared" si="159"/>
        <v>1</v>
      </c>
      <c r="K1805" s="76" t="s">
        <v>221</v>
      </c>
      <c r="Q1805" s="78" t="s">
        <v>2130</v>
      </c>
      <c r="R1805" s="75">
        <f t="shared" si="160"/>
        <v>1</v>
      </c>
      <c r="S1805" s="263" t="s">
        <v>1991</v>
      </c>
      <c r="T1805" s="263"/>
      <c r="AA1805" s="576">
        <f t="shared" si="161"/>
        <v>0</v>
      </c>
      <c r="AB1805" s="722"/>
    </row>
    <row r="1806" spans="1:28" x14ac:dyDescent="0.35">
      <c r="A1806" s="81" t="s">
        <v>6129</v>
      </c>
      <c r="C1806" s="118">
        <v>43906</v>
      </c>
      <c r="D1806" s="118">
        <v>43966</v>
      </c>
      <c r="F1806" s="88" t="s">
        <v>6183</v>
      </c>
      <c r="G1806" s="88" t="s">
        <v>149</v>
      </c>
      <c r="H1806" s="98" t="s">
        <v>220</v>
      </c>
      <c r="J1806" s="75">
        <f t="shared" si="159"/>
        <v>1</v>
      </c>
      <c r="K1806" s="76" t="s">
        <v>221</v>
      </c>
      <c r="Q1806" s="78" t="s">
        <v>2447</v>
      </c>
      <c r="R1806" s="75">
        <f t="shared" si="160"/>
        <v>1</v>
      </c>
      <c r="S1806" s="263" t="s">
        <v>1991</v>
      </c>
      <c r="T1806" s="263"/>
      <c r="AA1806" s="576">
        <f t="shared" si="161"/>
        <v>0</v>
      </c>
      <c r="AB1806" s="722"/>
    </row>
    <row r="1807" spans="1:28" x14ac:dyDescent="0.35">
      <c r="A1807" s="81" t="s">
        <v>6131</v>
      </c>
      <c r="C1807" s="118">
        <v>43906</v>
      </c>
      <c r="D1807" s="318">
        <v>43965</v>
      </c>
      <c r="E1807" s="83">
        <v>43929</v>
      </c>
      <c r="F1807" s="88" t="s">
        <v>6185</v>
      </c>
      <c r="G1807" s="88" t="s">
        <v>186</v>
      </c>
      <c r="H1807" s="98" t="s">
        <v>220</v>
      </c>
      <c r="I1807" s="98" t="s">
        <v>6243</v>
      </c>
      <c r="J1807" s="75">
        <f t="shared" si="159"/>
        <v>1</v>
      </c>
      <c r="K1807" s="76" t="s">
        <v>211</v>
      </c>
      <c r="N1807" s="78" t="s">
        <v>18</v>
      </c>
      <c r="Q1807" s="78" t="s">
        <v>2163</v>
      </c>
      <c r="R1807" s="75">
        <f t="shared" si="160"/>
        <v>1</v>
      </c>
      <c r="S1807" s="263" t="s">
        <v>1991</v>
      </c>
      <c r="T1807" s="263" t="s">
        <v>932</v>
      </c>
      <c r="Y1807" s="576">
        <v>0.46249999999999997</v>
      </c>
      <c r="Z1807" s="576">
        <v>0.47013888888888888</v>
      </c>
      <c r="AA1807" s="576">
        <f t="shared" si="161"/>
        <v>7.6388888888889173E-3</v>
      </c>
      <c r="AB1807" s="722"/>
    </row>
    <row r="1808" spans="1:28" x14ac:dyDescent="0.35">
      <c r="A1808" s="81" t="s">
        <v>6133</v>
      </c>
      <c r="C1808" s="118">
        <v>43906</v>
      </c>
      <c r="D1808" s="318">
        <v>43966</v>
      </c>
      <c r="E1808" s="83">
        <v>43932</v>
      </c>
      <c r="F1808" s="88" t="s">
        <v>6187</v>
      </c>
      <c r="G1808" s="88" t="s">
        <v>149</v>
      </c>
      <c r="H1808" s="98" t="s">
        <v>220</v>
      </c>
      <c r="I1808" s="98" t="s">
        <v>2516</v>
      </c>
      <c r="J1808" s="75">
        <f t="shared" si="159"/>
        <v>1</v>
      </c>
      <c r="K1808" s="76" t="s">
        <v>211</v>
      </c>
      <c r="N1808" s="78" t="s">
        <v>17</v>
      </c>
      <c r="Q1808" s="78" t="s">
        <v>2097</v>
      </c>
      <c r="R1808" s="75">
        <f t="shared" si="160"/>
        <v>1</v>
      </c>
      <c r="S1808" s="263" t="s">
        <v>1991</v>
      </c>
      <c r="T1808" s="263" t="s">
        <v>933</v>
      </c>
      <c r="Y1808" s="576">
        <v>0.59201388888888895</v>
      </c>
      <c r="Z1808" s="576">
        <v>0.63343749999999999</v>
      </c>
      <c r="AA1808" s="576">
        <f t="shared" si="161"/>
        <v>4.1423611111111036E-2</v>
      </c>
      <c r="AB1808" s="722"/>
    </row>
    <row r="1809" spans="1:28" x14ac:dyDescent="0.35">
      <c r="A1809" s="81" t="s">
        <v>6135</v>
      </c>
      <c r="C1809" s="118">
        <v>43906</v>
      </c>
      <c r="D1809" s="318">
        <v>43971</v>
      </c>
      <c r="E1809" s="83">
        <v>43959</v>
      </c>
      <c r="F1809" s="88" t="s">
        <v>6189</v>
      </c>
      <c r="G1809" s="88" t="s">
        <v>149</v>
      </c>
      <c r="H1809" s="98" t="s">
        <v>220</v>
      </c>
      <c r="I1809" s="98" t="s">
        <v>763</v>
      </c>
      <c r="J1809" s="75">
        <f t="shared" si="159"/>
        <v>1</v>
      </c>
      <c r="K1809" s="263" t="s">
        <v>211</v>
      </c>
      <c r="L1809" s="99" t="s">
        <v>6833</v>
      </c>
      <c r="N1809" s="78" t="s">
        <v>18</v>
      </c>
      <c r="Q1809" s="78" t="s">
        <v>2130</v>
      </c>
      <c r="R1809" s="75">
        <f t="shared" si="160"/>
        <v>1</v>
      </c>
      <c r="S1809" s="263" t="s">
        <v>1991</v>
      </c>
      <c r="T1809" s="263" t="s">
        <v>932</v>
      </c>
      <c r="U1809" s="304" t="s">
        <v>5592</v>
      </c>
      <c r="V1809" s="304" t="s">
        <v>7171</v>
      </c>
      <c r="Y1809" s="576">
        <v>0.67921296296296296</v>
      </c>
      <c r="Z1809" s="576">
        <v>0.69775462962962964</v>
      </c>
      <c r="AA1809" s="576">
        <f t="shared" si="161"/>
        <v>1.8541666666666679E-2</v>
      </c>
      <c r="AB1809" s="722"/>
    </row>
    <row r="1810" spans="1:28" x14ac:dyDescent="0.35">
      <c r="A1810" s="81" t="s">
        <v>6136</v>
      </c>
      <c r="C1810" s="118">
        <v>43906</v>
      </c>
      <c r="D1810" s="318">
        <v>43966</v>
      </c>
      <c r="E1810" s="83">
        <v>43931</v>
      </c>
      <c r="F1810" s="88" t="s">
        <v>6190</v>
      </c>
      <c r="G1810" s="88" t="s">
        <v>154</v>
      </c>
      <c r="H1810" s="98" t="s">
        <v>220</v>
      </c>
      <c r="I1810" s="98" t="s">
        <v>1293</v>
      </c>
      <c r="J1810" s="75">
        <f t="shared" si="159"/>
        <v>1</v>
      </c>
      <c r="K1810" s="76" t="s">
        <v>211</v>
      </c>
      <c r="N1810" s="78" t="s">
        <v>19</v>
      </c>
      <c r="Q1810" s="78" t="s">
        <v>2130</v>
      </c>
      <c r="R1810" s="75">
        <f t="shared" si="160"/>
        <v>1</v>
      </c>
      <c r="S1810" s="263" t="s">
        <v>1991</v>
      </c>
      <c r="T1810" s="263" t="s">
        <v>934</v>
      </c>
      <c r="Y1810" s="576">
        <v>0.66501157407407407</v>
      </c>
      <c r="Z1810" s="576">
        <v>0.67797453703703703</v>
      </c>
      <c r="AA1810" s="576">
        <f t="shared" si="161"/>
        <v>1.2962962962962954E-2</v>
      </c>
      <c r="AB1810" s="722"/>
    </row>
    <row r="1811" spans="1:28" x14ac:dyDescent="0.35">
      <c r="A1811" s="81" t="s">
        <v>6137</v>
      </c>
      <c r="C1811" s="118">
        <v>43906</v>
      </c>
      <c r="D1811" s="118">
        <v>43965</v>
      </c>
      <c r="F1811" s="88" t="s">
        <v>6191</v>
      </c>
      <c r="G1811" s="88" t="s">
        <v>152</v>
      </c>
      <c r="H1811" s="98" t="s">
        <v>220</v>
      </c>
      <c r="J1811" s="75">
        <f t="shared" si="159"/>
        <v>1</v>
      </c>
      <c r="K1811" s="76" t="s">
        <v>221</v>
      </c>
      <c r="Q1811" s="78" t="s">
        <v>2447</v>
      </c>
      <c r="R1811" s="75">
        <f t="shared" si="160"/>
        <v>1</v>
      </c>
      <c r="S1811" s="263" t="s">
        <v>1991</v>
      </c>
      <c r="T1811" s="263"/>
      <c r="AA1811" s="576">
        <f t="shared" si="161"/>
        <v>0</v>
      </c>
      <c r="AB1811" s="722"/>
    </row>
    <row r="1812" spans="1:28" x14ac:dyDescent="0.35">
      <c r="A1812" s="98" t="s">
        <v>6138</v>
      </c>
      <c r="C1812" s="118">
        <v>43906</v>
      </c>
      <c r="D1812" s="318">
        <v>43966</v>
      </c>
      <c r="E1812" s="83">
        <v>43929</v>
      </c>
      <c r="F1812" s="88" t="s">
        <v>6192</v>
      </c>
      <c r="G1812" s="88" t="s">
        <v>162</v>
      </c>
      <c r="H1812" s="98" t="s">
        <v>220</v>
      </c>
      <c r="I1812" s="98" t="s">
        <v>656</v>
      </c>
      <c r="J1812" s="75">
        <f t="shared" si="159"/>
        <v>1</v>
      </c>
      <c r="K1812" s="76" t="s">
        <v>211</v>
      </c>
      <c r="N1812" s="78" t="s">
        <v>17</v>
      </c>
      <c r="Q1812" s="78" t="s">
        <v>2056</v>
      </c>
      <c r="R1812" s="75">
        <f t="shared" si="160"/>
        <v>1</v>
      </c>
      <c r="S1812" s="263" t="s">
        <v>1991</v>
      </c>
      <c r="T1812" s="263" t="s">
        <v>934</v>
      </c>
      <c r="U1812" s="304" t="s">
        <v>5592</v>
      </c>
      <c r="V1812" s="304" t="s">
        <v>6246</v>
      </c>
      <c r="Y1812" s="576">
        <v>0.61944444444444446</v>
      </c>
      <c r="Z1812" s="576">
        <v>0.63055555555555554</v>
      </c>
      <c r="AA1812" s="576">
        <f t="shared" si="161"/>
        <v>1.1111111111111072E-2</v>
      </c>
      <c r="AB1812" s="722"/>
    </row>
    <row r="1813" spans="1:28" x14ac:dyDescent="0.35">
      <c r="A1813" s="81" t="s">
        <v>6139</v>
      </c>
      <c r="C1813" s="118">
        <v>43906</v>
      </c>
      <c r="D1813" s="118">
        <v>43965</v>
      </c>
      <c r="E1813" s="83">
        <v>43930</v>
      </c>
      <c r="F1813" s="88" t="s">
        <v>6193</v>
      </c>
      <c r="G1813" s="88" t="s">
        <v>152</v>
      </c>
      <c r="H1813" s="98" t="s">
        <v>220</v>
      </c>
      <c r="I1813" s="98" t="s">
        <v>3557</v>
      </c>
      <c r="J1813" s="75">
        <f t="shared" si="159"/>
        <v>1</v>
      </c>
      <c r="K1813" s="76" t="s">
        <v>211</v>
      </c>
      <c r="N1813" s="78" t="s">
        <v>18</v>
      </c>
      <c r="Q1813" s="78" t="s">
        <v>2130</v>
      </c>
      <c r="R1813" s="75">
        <f t="shared" si="160"/>
        <v>1</v>
      </c>
      <c r="S1813" s="263" t="s">
        <v>1991</v>
      </c>
      <c r="T1813" s="263" t="s">
        <v>934</v>
      </c>
      <c r="Y1813" s="576">
        <v>0.55208333333333337</v>
      </c>
      <c r="Z1813" s="576">
        <v>0.55694444444444446</v>
      </c>
      <c r="AA1813" s="576">
        <f t="shared" si="161"/>
        <v>4.8611111111110938E-3</v>
      </c>
      <c r="AB1813" s="722"/>
    </row>
    <row r="1814" spans="1:28" x14ac:dyDescent="0.35">
      <c r="A1814" s="81" t="s">
        <v>6140</v>
      </c>
      <c r="C1814" s="118">
        <v>43906</v>
      </c>
      <c r="D1814" s="118">
        <v>43966</v>
      </c>
      <c r="F1814" s="88" t="s">
        <v>6194</v>
      </c>
      <c r="G1814" s="88" t="s">
        <v>162</v>
      </c>
      <c r="H1814" s="98" t="s">
        <v>220</v>
      </c>
      <c r="J1814" s="75">
        <f t="shared" si="159"/>
        <v>1</v>
      </c>
      <c r="K1814" s="76" t="s">
        <v>221</v>
      </c>
      <c r="Q1814" s="78" t="s">
        <v>2447</v>
      </c>
      <c r="R1814" s="75">
        <f t="shared" si="160"/>
        <v>1</v>
      </c>
      <c r="S1814" s="263" t="s">
        <v>1991</v>
      </c>
      <c r="T1814" s="263"/>
      <c r="AA1814" s="576">
        <f t="shared" si="161"/>
        <v>0</v>
      </c>
      <c r="AB1814" s="722"/>
    </row>
    <row r="1815" spans="1:28" x14ac:dyDescent="0.35">
      <c r="A1815" s="81" t="s">
        <v>6141</v>
      </c>
      <c r="C1815" s="118">
        <v>43906</v>
      </c>
      <c r="D1815" s="318">
        <v>43966</v>
      </c>
      <c r="E1815" s="83">
        <v>43930</v>
      </c>
      <c r="F1815" s="88" t="s">
        <v>6195</v>
      </c>
      <c r="G1815" s="88" t="s">
        <v>156</v>
      </c>
      <c r="H1815" s="98" t="s">
        <v>220</v>
      </c>
      <c r="I1815" s="98" t="s">
        <v>2516</v>
      </c>
      <c r="J1815" s="75">
        <f t="shared" si="159"/>
        <v>1</v>
      </c>
      <c r="K1815" s="76" t="s">
        <v>211</v>
      </c>
      <c r="L1815" s="99" t="s">
        <v>6383</v>
      </c>
      <c r="N1815" s="78" t="s">
        <v>18</v>
      </c>
      <c r="Q1815" s="78" t="s">
        <v>2163</v>
      </c>
      <c r="R1815" s="75">
        <f t="shared" si="160"/>
        <v>1</v>
      </c>
      <c r="S1815" s="263" t="s">
        <v>1991</v>
      </c>
      <c r="T1815" s="263" t="s">
        <v>934</v>
      </c>
      <c r="U1815" s="304" t="s">
        <v>5592</v>
      </c>
      <c r="V1815" s="304" t="s">
        <v>6384</v>
      </c>
      <c r="Y1815" s="576">
        <v>0.43250000000000005</v>
      </c>
      <c r="Z1815" s="576">
        <v>0.47290509259259261</v>
      </c>
      <c r="AA1815" s="576">
        <f t="shared" si="161"/>
        <v>4.0405092592592562E-2</v>
      </c>
      <c r="AB1815" s="722"/>
    </row>
    <row r="1816" spans="1:28" x14ac:dyDescent="0.35">
      <c r="A1816" s="81" t="s">
        <v>6142</v>
      </c>
      <c r="C1816" s="118">
        <v>43906</v>
      </c>
      <c r="D1816" s="318">
        <v>43965</v>
      </c>
      <c r="E1816" s="83">
        <v>43929</v>
      </c>
      <c r="F1816" s="88" t="s">
        <v>6196</v>
      </c>
      <c r="G1816" s="88" t="s">
        <v>176</v>
      </c>
      <c r="H1816" s="98" t="s">
        <v>220</v>
      </c>
      <c r="I1816" s="98" t="s">
        <v>2516</v>
      </c>
      <c r="J1816" s="75">
        <f t="shared" si="159"/>
        <v>1</v>
      </c>
      <c r="K1816" s="76" t="s">
        <v>211</v>
      </c>
      <c r="N1816" s="78" t="s">
        <v>17</v>
      </c>
      <c r="Q1816" s="78" t="s">
        <v>2130</v>
      </c>
      <c r="R1816" s="75">
        <f t="shared" si="160"/>
        <v>1</v>
      </c>
      <c r="S1816" s="263" t="s">
        <v>1991</v>
      </c>
      <c r="T1816" s="263" t="s">
        <v>933</v>
      </c>
      <c r="Y1816" s="576">
        <v>0.70000000000000007</v>
      </c>
      <c r="Z1816" s="576">
        <v>0.71180555555555547</v>
      </c>
      <c r="AA1816" s="576">
        <f t="shared" si="161"/>
        <v>1.1805555555555403E-2</v>
      </c>
      <c r="AB1816" s="722"/>
    </row>
    <row r="1817" spans="1:28" x14ac:dyDescent="0.35">
      <c r="A1817" s="81" t="s">
        <v>6143</v>
      </c>
      <c r="C1817" s="118">
        <v>43906</v>
      </c>
      <c r="D1817" s="118">
        <v>43965</v>
      </c>
      <c r="F1817" s="88" t="s">
        <v>6197</v>
      </c>
      <c r="G1817" s="88" t="s">
        <v>149</v>
      </c>
      <c r="H1817" s="98" t="s">
        <v>220</v>
      </c>
      <c r="J1817" s="75">
        <f t="shared" si="159"/>
        <v>1</v>
      </c>
      <c r="K1817" s="76" t="s">
        <v>221</v>
      </c>
      <c r="Q1817" s="78" t="s">
        <v>2130</v>
      </c>
      <c r="R1817" s="75">
        <f t="shared" si="160"/>
        <v>1</v>
      </c>
      <c r="S1817" s="263" t="s">
        <v>1991</v>
      </c>
      <c r="T1817" s="263"/>
      <c r="AA1817" s="576">
        <f t="shared" si="161"/>
        <v>0</v>
      </c>
      <c r="AB1817" s="722"/>
    </row>
    <row r="1818" spans="1:28" x14ac:dyDescent="0.35">
      <c r="A1818" s="81" t="s">
        <v>6144</v>
      </c>
      <c r="C1818" s="118">
        <v>43906</v>
      </c>
      <c r="D1818" s="118">
        <v>43965</v>
      </c>
      <c r="F1818" s="88" t="s">
        <v>6198</v>
      </c>
      <c r="G1818" s="88" t="s">
        <v>179</v>
      </c>
      <c r="H1818" s="98" t="s">
        <v>220</v>
      </c>
      <c r="J1818" s="75">
        <f t="shared" si="159"/>
        <v>1</v>
      </c>
      <c r="K1818" s="76" t="s">
        <v>221</v>
      </c>
      <c r="Q1818" s="78" t="s">
        <v>2447</v>
      </c>
      <c r="R1818" s="75">
        <f t="shared" si="160"/>
        <v>1</v>
      </c>
      <c r="S1818" s="263" t="s">
        <v>1991</v>
      </c>
      <c r="T1818" s="263"/>
      <c r="AA1818" s="576">
        <f t="shared" si="161"/>
        <v>0</v>
      </c>
      <c r="AB1818" s="722"/>
    </row>
    <row r="1819" spans="1:28" x14ac:dyDescent="0.35">
      <c r="A1819" s="81" t="s">
        <v>6145</v>
      </c>
      <c r="C1819" s="118">
        <v>43906</v>
      </c>
      <c r="D1819" s="318">
        <v>43966</v>
      </c>
      <c r="E1819" s="83">
        <v>43931</v>
      </c>
      <c r="F1819" s="88" t="s">
        <v>6199</v>
      </c>
      <c r="G1819" s="88" t="s">
        <v>149</v>
      </c>
      <c r="H1819" s="98" t="s">
        <v>220</v>
      </c>
      <c r="I1819" s="98" t="s">
        <v>1645</v>
      </c>
      <c r="J1819" s="75">
        <f t="shared" si="159"/>
        <v>1</v>
      </c>
      <c r="K1819" s="76" t="s">
        <v>211</v>
      </c>
      <c r="N1819" s="78" t="s">
        <v>18</v>
      </c>
      <c r="Q1819" s="78" t="s">
        <v>2447</v>
      </c>
      <c r="R1819" s="75">
        <f t="shared" si="160"/>
        <v>1</v>
      </c>
      <c r="S1819" s="263" t="s">
        <v>1991</v>
      </c>
      <c r="T1819" s="263" t="s">
        <v>934</v>
      </c>
      <c r="Y1819" s="576">
        <v>0.64714120370370376</v>
      </c>
      <c r="Z1819" s="576">
        <v>0.65474537037037039</v>
      </c>
      <c r="AA1819" s="576">
        <f t="shared" si="161"/>
        <v>7.6041666666666341E-3</v>
      </c>
      <c r="AB1819" s="722"/>
    </row>
    <row r="1820" spans="1:28" x14ac:dyDescent="0.35">
      <c r="A1820" s="81" t="s">
        <v>6146</v>
      </c>
      <c r="C1820" s="118">
        <v>43906</v>
      </c>
      <c r="D1820" s="318">
        <v>43966</v>
      </c>
      <c r="E1820" s="83">
        <v>43932</v>
      </c>
      <c r="F1820" s="88" t="s">
        <v>6200</v>
      </c>
      <c r="G1820" s="88" t="s">
        <v>158</v>
      </c>
      <c r="H1820" s="98" t="s">
        <v>220</v>
      </c>
      <c r="I1820" s="98" t="s">
        <v>3893</v>
      </c>
      <c r="J1820" s="75">
        <f t="shared" si="159"/>
        <v>1</v>
      </c>
      <c r="K1820" s="76" t="s">
        <v>211</v>
      </c>
      <c r="N1820" s="78" t="s">
        <v>18</v>
      </c>
      <c r="Q1820" s="78" t="s">
        <v>2097</v>
      </c>
      <c r="R1820" s="75">
        <f t="shared" si="160"/>
        <v>1</v>
      </c>
      <c r="S1820" s="263" t="s">
        <v>1991</v>
      </c>
      <c r="T1820" s="263" t="s">
        <v>932</v>
      </c>
      <c r="Y1820" s="576">
        <v>0.66666666666666663</v>
      </c>
      <c r="Z1820" s="576">
        <v>0.67222222222222217</v>
      </c>
      <c r="AA1820" s="576">
        <f t="shared" si="161"/>
        <v>5.5555555555555358E-3</v>
      </c>
      <c r="AB1820" s="722"/>
    </row>
    <row r="1821" spans="1:28" x14ac:dyDescent="0.35">
      <c r="A1821" s="81" t="s">
        <v>6147</v>
      </c>
      <c r="C1821" s="118">
        <v>43906</v>
      </c>
      <c r="D1821" s="118">
        <v>43965</v>
      </c>
      <c r="F1821" s="88" t="s">
        <v>6201</v>
      </c>
      <c r="G1821" s="88" t="s">
        <v>176</v>
      </c>
      <c r="H1821" s="98" t="s">
        <v>220</v>
      </c>
      <c r="J1821" s="75">
        <f t="shared" si="159"/>
        <v>1</v>
      </c>
      <c r="K1821" s="76" t="s">
        <v>221</v>
      </c>
      <c r="Q1821" s="78" t="s">
        <v>2447</v>
      </c>
      <c r="R1821" s="75">
        <f t="shared" si="160"/>
        <v>1</v>
      </c>
      <c r="S1821" s="263" t="s">
        <v>1991</v>
      </c>
      <c r="T1821" s="263"/>
      <c r="AA1821" s="576">
        <f t="shared" si="161"/>
        <v>0</v>
      </c>
      <c r="AB1821" s="722"/>
    </row>
    <row r="1822" spans="1:28" x14ac:dyDescent="0.35">
      <c r="A1822" s="81" t="s">
        <v>6148</v>
      </c>
      <c r="C1822" s="118">
        <v>43906</v>
      </c>
      <c r="D1822" s="640">
        <v>43970</v>
      </c>
      <c r="E1822" s="83">
        <v>43957</v>
      </c>
      <c r="F1822" s="88" t="s">
        <v>6202</v>
      </c>
      <c r="G1822" s="88" t="s">
        <v>158</v>
      </c>
      <c r="H1822" s="98" t="s">
        <v>220</v>
      </c>
      <c r="I1822" s="98" t="s">
        <v>722</v>
      </c>
      <c r="J1822" s="75">
        <f t="shared" si="159"/>
        <v>1</v>
      </c>
      <c r="K1822" s="263" t="s">
        <v>211</v>
      </c>
      <c r="N1822" s="78" t="s">
        <v>17</v>
      </c>
      <c r="Q1822" s="78" t="s">
        <v>2097</v>
      </c>
      <c r="R1822" s="75">
        <f t="shared" si="160"/>
        <v>1</v>
      </c>
      <c r="S1822" s="263" t="s">
        <v>1991</v>
      </c>
      <c r="T1822" s="263" t="s">
        <v>932</v>
      </c>
      <c r="Y1822" s="576">
        <v>0.45291666666666663</v>
      </c>
      <c r="Z1822" s="576">
        <v>0.45962962962962961</v>
      </c>
      <c r="AA1822" s="576">
        <f t="shared" si="161"/>
        <v>6.7129629629629761E-3</v>
      </c>
      <c r="AB1822" s="722"/>
    </row>
    <row r="1823" spans="1:28" x14ac:dyDescent="0.35">
      <c r="A1823" s="81" t="s">
        <v>6149</v>
      </c>
      <c r="C1823" s="118">
        <v>43906</v>
      </c>
      <c r="D1823" s="118">
        <v>43966</v>
      </c>
      <c r="F1823" s="88" t="s">
        <v>6203</v>
      </c>
      <c r="G1823" s="88" t="s">
        <v>160</v>
      </c>
      <c r="H1823" s="98" t="s">
        <v>220</v>
      </c>
      <c r="J1823" s="75">
        <f t="shared" si="159"/>
        <v>1</v>
      </c>
      <c r="K1823" s="76" t="s">
        <v>221</v>
      </c>
      <c r="Q1823" s="78" t="s">
        <v>2130</v>
      </c>
      <c r="R1823" s="75">
        <f t="shared" si="160"/>
        <v>1</v>
      </c>
      <c r="S1823" s="263" t="s">
        <v>1991</v>
      </c>
      <c r="T1823" s="263"/>
      <c r="AA1823" s="576">
        <f t="shared" si="161"/>
        <v>0</v>
      </c>
      <c r="AB1823" s="722"/>
    </row>
    <row r="1824" spans="1:28" x14ac:dyDescent="0.35">
      <c r="A1824" s="81" t="s">
        <v>6150</v>
      </c>
      <c r="C1824" s="118">
        <v>43906</v>
      </c>
      <c r="D1824" s="118">
        <v>43966</v>
      </c>
      <c r="F1824" s="88" t="s">
        <v>6204</v>
      </c>
      <c r="G1824" s="88" t="s">
        <v>154</v>
      </c>
      <c r="H1824" s="98" t="s">
        <v>220</v>
      </c>
      <c r="J1824" s="75">
        <f t="shared" si="159"/>
        <v>1</v>
      </c>
      <c r="K1824" s="76" t="s">
        <v>221</v>
      </c>
      <c r="Q1824" s="78" t="s">
        <v>2056</v>
      </c>
      <c r="R1824" s="75">
        <f t="shared" si="160"/>
        <v>1</v>
      </c>
      <c r="S1824" s="263" t="s">
        <v>1991</v>
      </c>
      <c r="T1824" s="263"/>
      <c r="AA1824" s="576">
        <f t="shared" si="161"/>
        <v>0</v>
      </c>
      <c r="AB1824" s="722"/>
    </row>
    <row r="1825" spans="1:28" x14ac:dyDescent="0.35">
      <c r="A1825" s="98" t="s">
        <v>6151</v>
      </c>
      <c r="C1825" s="118">
        <v>43906</v>
      </c>
      <c r="D1825" s="318">
        <v>43965</v>
      </c>
      <c r="E1825" s="83">
        <v>43931</v>
      </c>
      <c r="F1825" s="88" t="s">
        <v>6205</v>
      </c>
      <c r="G1825" s="88" t="s">
        <v>154</v>
      </c>
      <c r="H1825" s="98" t="s">
        <v>220</v>
      </c>
      <c r="I1825" s="98" t="s">
        <v>656</v>
      </c>
      <c r="J1825" s="75">
        <f t="shared" si="159"/>
        <v>1</v>
      </c>
      <c r="K1825" s="76" t="s">
        <v>211</v>
      </c>
      <c r="N1825" s="78" t="s">
        <v>17</v>
      </c>
      <c r="Q1825" s="78" t="s">
        <v>2097</v>
      </c>
      <c r="R1825" s="75">
        <f t="shared" si="160"/>
        <v>1</v>
      </c>
      <c r="S1825" s="263" t="s">
        <v>1991</v>
      </c>
      <c r="T1825" s="263" t="s">
        <v>933</v>
      </c>
      <c r="Y1825" s="576">
        <v>0.56336805555555558</v>
      </c>
      <c r="Z1825" s="576">
        <v>0.59310185185185182</v>
      </c>
      <c r="AA1825" s="576">
        <f t="shared" si="161"/>
        <v>2.9733796296296244E-2</v>
      </c>
      <c r="AB1825" s="722"/>
    </row>
    <row r="1826" spans="1:28" x14ac:dyDescent="0.35">
      <c r="A1826" s="81" t="s">
        <v>6152</v>
      </c>
      <c r="C1826" s="118">
        <v>43906</v>
      </c>
      <c r="D1826" s="118">
        <v>43966</v>
      </c>
      <c r="F1826" s="88" t="s">
        <v>6206</v>
      </c>
      <c r="G1826" s="88" t="s">
        <v>168</v>
      </c>
      <c r="H1826" s="98" t="s">
        <v>220</v>
      </c>
      <c r="J1826" s="75">
        <f t="shared" si="159"/>
        <v>1</v>
      </c>
      <c r="K1826" s="76" t="s">
        <v>221</v>
      </c>
      <c r="Q1826" s="78" t="s">
        <v>2130</v>
      </c>
      <c r="R1826" s="75">
        <f t="shared" si="160"/>
        <v>1</v>
      </c>
      <c r="S1826" s="263" t="s">
        <v>1991</v>
      </c>
      <c r="T1826" s="263"/>
      <c r="AA1826" s="576">
        <f t="shared" si="161"/>
        <v>0</v>
      </c>
      <c r="AB1826" s="722"/>
    </row>
    <row r="1827" spans="1:28" x14ac:dyDescent="0.35">
      <c r="A1827" s="98" t="s">
        <v>6153</v>
      </c>
      <c r="C1827" s="118">
        <v>43906</v>
      </c>
      <c r="D1827" s="318">
        <v>43965</v>
      </c>
      <c r="E1827" s="83">
        <v>43930</v>
      </c>
      <c r="F1827" s="88" t="s">
        <v>6207</v>
      </c>
      <c r="G1827" s="88" t="s">
        <v>154</v>
      </c>
      <c r="H1827" s="98" t="s">
        <v>220</v>
      </c>
      <c r="I1827" s="98" t="s">
        <v>1004</v>
      </c>
      <c r="J1827" s="75">
        <f t="shared" si="159"/>
        <v>1</v>
      </c>
      <c r="K1827" s="76" t="s">
        <v>211</v>
      </c>
      <c r="N1827" s="78" t="s">
        <v>19</v>
      </c>
      <c r="Q1827" s="78" t="s">
        <v>2163</v>
      </c>
      <c r="R1827" s="75">
        <f t="shared" si="160"/>
        <v>1</v>
      </c>
      <c r="S1827" s="263" t="s">
        <v>1991</v>
      </c>
      <c r="T1827" s="263" t="s">
        <v>933</v>
      </c>
      <c r="Y1827" s="576">
        <v>0.63942129629629629</v>
      </c>
      <c r="Z1827" s="576">
        <v>0.65224537037037034</v>
      </c>
      <c r="AA1827" s="576">
        <f t="shared" si="161"/>
        <v>1.2824074074074043E-2</v>
      </c>
      <c r="AB1827" s="722"/>
    </row>
    <row r="1828" spans="1:28" x14ac:dyDescent="0.35">
      <c r="A1828" s="81" t="s">
        <v>6154</v>
      </c>
      <c r="C1828" s="118">
        <v>43906</v>
      </c>
      <c r="D1828" s="118">
        <v>43965</v>
      </c>
      <c r="F1828" s="88" t="s">
        <v>6208</v>
      </c>
      <c r="G1828" s="88" t="s">
        <v>160</v>
      </c>
      <c r="H1828" s="98" t="s">
        <v>220</v>
      </c>
      <c r="J1828" s="75">
        <f t="shared" si="159"/>
        <v>1</v>
      </c>
      <c r="K1828" s="76" t="s">
        <v>221</v>
      </c>
      <c r="Q1828" s="78" t="s">
        <v>2447</v>
      </c>
      <c r="R1828" s="75">
        <f t="shared" si="160"/>
        <v>1</v>
      </c>
      <c r="S1828" s="263" t="s">
        <v>1991</v>
      </c>
      <c r="T1828" s="263"/>
      <c r="AA1828" s="576">
        <f t="shared" si="161"/>
        <v>0</v>
      </c>
      <c r="AB1828" s="722"/>
    </row>
    <row r="1829" spans="1:28" x14ac:dyDescent="0.35">
      <c r="A1829" s="81" t="s">
        <v>6155</v>
      </c>
      <c r="C1829" s="118">
        <v>43906</v>
      </c>
      <c r="D1829" s="118">
        <v>43966</v>
      </c>
      <c r="F1829" s="88" t="s">
        <v>6209</v>
      </c>
      <c r="G1829" s="88" t="s">
        <v>158</v>
      </c>
      <c r="H1829" s="98" t="s">
        <v>220</v>
      </c>
      <c r="J1829" s="75">
        <f t="shared" si="159"/>
        <v>1</v>
      </c>
      <c r="K1829" s="76" t="s">
        <v>221</v>
      </c>
      <c r="Q1829" s="78" t="s">
        <v>2056</v>
      </c>
      <c r="R1829" s="75">
        <f t="shared" si="160"/>
        <v>1</v>
      </c>
      <c r="S1829" s="263" t="s">
        <v>1991</v>
      </c>
      <c r="T1829" s="263"/>
      <c r="AA1829" s="576">
        <f t="shared" si="161"/>
        <v>0</v>
      </c>
      <c r="AB1829" s="722"/>
    </row>
    <row r="1830" spans="1:28" x14ac:dyDescent="0.35">
      <c r="A1830" s="81" t="s">
        <v>6156</v>
      </c>
      <c r="C1830" s="118">
        <v>43907</v>
      </c>
      <c r="D1830" s="118">
        <v>43966</v>
      </c>
      <c r="F1830" s="88" t="s">
        <v>6210</v>
      </c>
      <c r="G1830" s="88" t="s">
        <v>1393</v>
      </c>
      <c r="H1830" s="98" t="s">
        <v>220</v>
      </c>
      <c r="J1830" s="75">
        <f t="shared" si="159"/>
        <v>1</v>
      </c>
      <c r="K1830" s="76" t="s">
        <v>221</v>
      </c>
      <c r="Q1830" s="78" t="s">
        <v>2163</v>
      </c>
      <c r="R1830" s="75">
        <f t="shared" si="160"/>
        <v>1</v>
      </c>
      <c r="S1830" s="263" t="s">
        <v>1991</v>
      </c>
      <c r="T1830" s="263"/>
      <c r="AA1830" s="576">
        <f t="shared" ref="AA1830:AA1833" si="162">Z1830-Y1830</f>
        <v>0</v>
      </c>
      <c r="AB1830" s="722"/>
    </row>
    <row r="1831" spans="1:28" x14ac:dyDescent="0.35">
      <c r="A1831" s="98" t="s">
        <v>6157</v>
      </c>
      <c r="C1831" s="118">
        <v>43907</v>
      </c>
      <c r="D1831" s="318">
        <v>43966</v>
      </c>
      <c r="E1831" s="83">
        <v>43930</v>
      </c>
      <c r="F1831" s="88" t="s">
        <v>6211</v>
      </c>
      <c r="G1831" s="88" t="s">
        <v>162</v>
      </c>
      <c r="H1831" s="98" t="s">
        <v>220</v>
      </c>
      <c r="I1831" s="98" t="s">
        <v>2516</v>
      </c>
      <c r="J1831" s="75">
        <f t="shared" si="159"/>
        <v>1</v>
      </c>
      <c r="K1831" s="76" t="s">
        <v>211</v>
      </c>
      <c r="N1831" s="78" t="s">
        <v>17</v>
      </c>
      <c r="Q1831" s="78" t="s">
        <v>2163</v>
      </c>
      <c r="R1831" s="75">
        <f t="shared" si="160"/>
        <v>1</v>
      </c>
      <c r="S1831" s="263" t="s">
        <v>1991</v>
      </c>
      <c r="T1831" s="263" t="s">
        <v>933</v>
      </c>
      <c r="Y1831" s="576">
        <v>0.41648148148148145</v>
      </c>
      <c r="Z1831" s="576">
        <v>0.42356481481481478</v>
      </c>
      <c r="AA1831" s="576">
        <f t="shared" si="162"/>
        <v>7.0833333333333304E-3</v>
      </c>
      <c r="AB1831" s="722"/>
    </row>
    <row r="1832" spans="1:28" x14ac:dyDescent="0.35">
      <c r="A1832" s="81" t="s">
        <v>6158</v>
      </c>
      <c r="C1832" s="118">
        <v>43907</v>
      </c>
      <c r="D1832" s="118">
        <v>43966</v>
      </c>
      <c r="F1832" s="88" t="s">
        <v>6212</v>
      </c>
      <c r="G1832" s="88" t="s">
        <v>195</v>
      </c>
      <c r="H1832" s="98" t="s">
        <v>220</v>
      </c>
      <c r="J1832" s="75">
        <f t="shared" si="159"/>
        <v>1</v>
      </c>
      <c r="K1832" s="76" t="s">
        <v>221</v>
      </c>
      <c r="Q1832" s="78" t="s">
        <v>2447</v>
      </c>
      <c r="R1832" s="75">
        <f t="shared" si="160"/>
        <v>1</v>
      </c>
      <c r="S1832" s="263" t="s">
        <v>1991</v>
      </c>
      <c r="T1832" s="263"/>
      <c r="AA1832" s="576">
        <f t="shared" si="162"/>
        <v>0</v>
      </c>
      <c r="AB1832" s="722"/>
    </row>
    <row r="1833" spans="1:28" x14ac:dyDescent="0.35">
      <c r="A1833" s="98" t="s">
        <v>5630</v>
      </c>
      <c r="C1833" s="118">
        <v>43875</v>
      </c>
      <c r="D1833" s="118">
        <v>43959</v>
      </c>
      <c r="F1833" s="255" t="s">
        <v>5781</v>
      </c>
      <c r="G1833" s="88" t="s">
        <v>149</v>
      </c>
      <c r="H1833" s="98" t="s">
        <v>220</v>
      </c>
      <c r="J1833" s="75">
        <f t="shared" ref="J1833:J1847" si="163">IF(OR(K1833="Документы готовы",K1833="Запрос в ФО",K1833="ЭЗ",K1833="РЕШ",K1833="РЕШ шаблон"),0.1,IF(OR(K1833="ЭЗ согласование",K1833="РЕШ согласование"),0.3,IF(OR(K1833="ЭЗ согласовано",K1833="РЕШ согласовано",K1833="РЕШ подписано"),0.6,IF(OR(K1833="ЭЗ ПР согласование",K1833="РЕШ УВ согласование"),0.9,IF(OR(K1833="ЭЗ ПР DONE",K1833="РЕШ УВ DONE"),1,0)))))</f>
        <v>1</v>
      </c>
      <c r="K1833" s="76" t="s">
        <v>221</v>
      </c>
      <c r="Q1833" s="78" t="s">
        <v>2056</v>
      </c>
      <c r="R1833" s="75">
        <f t="shared" ref="R1833:R1847" si="164">IF(S1833="В работе",0.3,IF(S1833="Отписано",0.6,IF(S1833="На доработку",0.9,IF(S1833="Согласовано",1,0))))</f>
        <v>1</v>
      </c>
      <c r="S1833" s="263" t="s">
        <v>1991</v>
      </c>
      <c r="T1833" s="263"/>
      <c r="AA1833" s="576">
        <f t="shared" si="162"/>
        <v>0</v>
      </c>
      <c r="AB1833" s="722"/>
    </row>
    <row r="1834" spans="1:28" x14ac:dyDescent="0.35">
      <c r="A1834" s="81" t="s">
        <v>6103</v>
      </c>
      <c r="C1834" s="118">
        <v>43881</v>
      </c>
      <c r="D1834" s="318">
        <v>43958</v>
      </c>
      <c r="E1834" s="83">
        <v>43927</v>
      </c>
      <c r="F1834" s="99" t="s">
        <v>6390</v>
      </c>
      <c r="G1834" s="88" t="s">
        <v>181</v>
      </c>
      <c r="H1834" s="98" t="s">
        <v>220</v>
      </c>
      <c r="I1834" s="98" t="s">
        <v>722</v>
      </c>
      <c r="J1834" s="75">
        <f t="shared" si="163"/>
        <v>1</v>
      </c>
      <c r="K1834" s="76" t="s">
        <v>211</v>
      </c>
      <c r="N1834" s="78" t="s">
        <v>18</v>
      </c>
      <c r="Q1834" s="78" t="s">
        <v>2130</v>
      </c>
      <c r="R1834" s="75">
        <f t="shared" si="164"/>
        <v>1</v>
      </c>
      <c r="S1834" s="263" t="s">
        <v>1991</v>
      </c>
      <c r="T1834" s="263" t="s">
        <v>932</v>
      </c>
      <c r="Y1834" s="576">
        <v>0.44791666666666669</v>
      </c>
      <c r="Z1834" s="576">
        <v>0.46875</v>
      </c>
      <c r="AA1834" s="576">
        <f>Z1834-Y1834</f>
        <v>2.0833333333333315E-2</v>
      </c>
      <c r="AB1834" s="722"/>
    </row>
    <row r="1835" spans="1:28" x14ac:dyDescent="0.35">
      <c r="A1835" s="98" t="s">
        <v>5018</v>
      </c>
      <c r="C1835" s="118">
        <v>43882</v>
      </c>
      <c r="D1835" s="318">
        <v>43959</v>
      </c>
      <c r="E1835" s="83">
        <v>43930</v>
      </c>
      <c r="F1835" s="88" t="s">
        <v>5105</v>
      </c>
      <c r="G1835" s="88" t="s">
        <v>195</v>
      </c>
      <c r="H1835" s="98" t="s">
        <v>220</v>
      </c>
      <c r="I1835" s="98" t="s">
        <v>722</v>
      </c>
      <c r="J1835" s="75">
        <f t="shared" si="163"/>
        <v>1</v>
      </c>
      <c r="K1835" s="76" t="s">
        <v>211</v>
      </c>
      <c r="N1835" s="78" t="s">
        <v>17</v>
      </c>
      <c r="Q1835" s="78" t="s">
        <v>2130</v>
      </c>
      <c r="R1835" s="75">
        <f t="shared" si="164"/>
        <v>1</v>
      </c>
      <c r="S1835" s="263" t="s">
        <v>1991</v>
      </c>
      <c r="T1835" s="263" t="s">
        <v>933</v>
      </c>
      <c r="Y1835" s="576">
        <v>0.65968749999999998</v>
      </c>
      <c r="Z1835" s="576">
        <v>0.67018518518518511</v>
      </c>
      <c r="AA1835" s="576">
        <f t="shared" ref="AA1835:AA1849" si="165">Z1835-Y1835</f>
        <v>1.0497685185185124E-2</v>
      </c>
      <c r="AB1835" s="722"/>
    </row>
    <row r="1836" spans="1:28" x14ac:dyDescent="0.35">
      <c r="A1836" s="81" t="s">
        <v>5023</v>
      </c>
      <c r="C1836" s="118">
        <v>43882</v>
      </c>
      <c r="D1836" s="318">
        <v>43959</v>
      </c>
      <c r="E1836" s="83">
        <v>43927</v>
      </c>
      <c r="F1836" s="88" t="s">
        <v>5110</v>
      </c>
      <c r="G1836" s="88" t="s">
        <v>162</v>
      </c>
      <c r="H1836" s="98" t="s">
        <v>220</v>
      </c>
      <c r="I1836" s="98" t="s">
        <v>722</v>
      </c>
      <c r="J1836" s="75">
        <f t="shared" si="163"/>
        <v>1</v>
      </c>
      <c r="K1836" s="76" t="s">
        <v>211</v>
      </c>
      <c r="N1836" s="78" t="s">
        <v>17</v>
      </c>
      <c r="Q1836" s="78" t="s">
        <v>2097</v>
      </c>
      <c r="R1836" s="75">
        <f t="shared" si="164"/>
        <v>1</v>
      </c>
      <c r="S1836" s="263" t="s">
        <v>1991</v>
      </c>
      <c r="T1836" s="263" t="s">
        <v>932</v>
      </c>
      <c r="U1836" s="304" t="s">
        <v>5592</v>
      </c>
      <c r="V1836" s="304" t="s">
        <v>6220</v>
      </c>
      <c r="Y1836" s="576">
        <v>0.47361111111111115</v>
      </c>
      <c r="Z1836" s="576">
        <v>0.48958333333333331</v>
      </c>
      <c r="AA1836" s="576">
        <f t="shared" si="165"/>
        <v>1.5972222222222165E-2</v>
      </c>
      <c r="AB1836" s="722"/>
    </row>
    <row r="1837" spans="1:28" x14ac:dyDescent="0.35">
      <c r="A1837" s="81" t="s">
        <v>5024</v>
      </c>
      <c r="C1837" s="118">
        <v>43882</v>
      </c>
      <c r="D1837" s="118">
        <v>43959</v>
      </c>
      <c r="F1837" s="88" t="s">
        <v>5111</v>
      </c>
      <c r="G1837" s="88" t="s">
        <v>162</v>
      </c>
      <c r="H1837" s="98" t="s">
        <v>220</v>
      </c>
      <c r="J1837" s="75">
        <f t="shared" si="163"/>
        <v>1</v>
      </c>
      <c r="K1837" s="76" t="s">
        <v>221</v>
      </c>
      <c r="Q1837" s="78" t="s">
        <v>2097</v>
      </c>
      <c r="R1837" s="75">
        <f t="shared" si="164"/>
        <v>1</v>
      </c>
      <c r="S1837" s="263" t="s">
        <v>1991</v>
      </c>
      <c r="T1837" s="263"/>
      <c r="AA1837" s="576">
        <f t="shared" si="165"/>
        <v>0</v>
      </c>
      <c r="AB1837" s="722"/>
    </row>
    <row r="1838" spans="1:28" x14ac:dyDescent="0.35">
      <c r="A1838" s="81" t="s">
        <v>5658</v>
      </c>
      <c r="C1838" s="118">
        <v>43895</v>
      </c>
      <c r="D1838" s="318">
        <v>43957</v>
      </c>
      <c r="E1838" s="83">
        <v>43929</v>
      </c>
      <c r="F1838" s="88" t="s">
        <v>5809</v>
      </c>
      <c r="G1838" s="88" t="s">
        <v>162</v>
      </c>
      <c r="H1838" s="98" t="s">
        <v>220</v>
      </c>
      <c r="I1838" s="98" t="s">
        <v>722</v>
      </c>
      <c r="J1838" s="75">
        <f t="shared" si="163"/>
        <v>1</v>
      </c>
      <c r="K1838" s="76" t="s">
        <v>211</v>
      </c>
      <c r="N1838" s="78" t="s">
        <v>17</v>
      </c>
      <c r="Q1838" s="78" t="s">
        <v>2130</v>
      </c>
      <c r="R1838" s="75">
        <f t="shared" si="164"/>
        <v>1</v>
      </c>
      <c r="S1838" s="263" t="s">
        <v>1991</v>
      </c>
      <c r="T1838" s="263" t="s">
        <v>934</v>
      </c>
      <c r="U1838" s="304" t="s">
        <v>5592</v>
      </c>
      <c r="V1838" s="304" t="s">
        <v>6239</v>
      </c>
      <c r="Y1838" s="576">
        <v>0.41250000000000003</v>
      </c>
      <c r="Z1838" s="576">
        <v>0.42222222222222222</v>
      </c>
      <c r="AA1838" s="576">
        <f t="shared" si="165"/>
        <v>9.7222222222221877E-3</v>
      </c>
      <c r="AB1838" s="722"/>
    </row>
    <row r="1839" spans="1:28" x14ac:dyDescent="0.35">
      <c r="A1839" s="81" t="s">
        <v>5673</v>
      </c>
      <c r="C1839" s="118">
        <v>43896</v>
      </c>
      <c r="D1839" s="318">
        <v>43957</v>
      </c>
      <c r="E1839" s="83">
        <v>43929</v>
      </c>
      <c r="F1839" s="88" t="s">
        <v>5824</v>
      </c>
      <c r="G1839" s="88" t="s">
        <v>179</v>
      </c>
      <c r="H1839" s="98" t="s">
        <v>220</v>
      </c>
      <c r="I1839" s="98" t="s">
        <v>722</v>
      </c>
      <c r="J1839" s="75">
        <f t="shared" si="163"/>
        <v>1</v>
      </c>
      <c r="K1839" s="76" t="s">
        <v>211</v>
      </c>
      <c r="N1839" s="78" t="s">
        <v>17</v>
      </c>
      <c r="Q1839" s="78" t="s">
        <v>2056</v>
      </c>
      <c r="R1839" s="75">
        <f t="shared" si="164"/>
        <v>1</v>
      </c>
      <c r="S1839" s="263" t="s">
        <v>1991</v>
      </c>
      <c r="T1839" s="263" t="s">
        <v>934</v>
      </c>
      <c r="U1839" s="304" t="s">
        <v>5592</v>
      </c>
      <c r="V1839" s="304" t="s">
        <v>6241</v>
      </c>
      <c r="Y1839" s="576">
        <v>0.39513888888888887</v>
      </c>
      <c r="Z1839" s="576">
        <v>0.40486111111111112</v>
      </c>
      <c r="AA1839" s="576">
        <f t="shared" si="165"/>
        <v>9.7222222222222432E-3</v>
      </c>
      <c r="AB1839" s="722"/>
    </row>
    <row r="1840" spans="1:28" x14ac:dyDescent="0.35">
      <c r="A1840" s="81" t="s">
        <v>5675</v>
      </c>
      <c r="C1840" s="118">
        <v>43896</v>
      </c>
      <c r="D1840" s="318">
        <v>43958</v>
      </c>
      <c r="E1840" s="83">
        <v>43927</v>
      </c>
      <c r="F1840" s="88" t="s">
        <v>5826</v>
      </c>
      <c r="G1840" s="88" t="s">
        <v>149</v>
      </c>
      <c r="H1840" s="98" t="s">
        <v>220</v>
      </c>
      <c r="I1840" s="98" t="s">
        <v>722</v>
      </c>
      <c r="J1840" s="75">
        <f t="shared" si="163"/>
        <v>1</v>
      </c>
      <c r="K1840" s="76" t="s">
        <v>211</v>
      </c>
      <c r="N1840" s="78" t="s">
        <v>18</v>
      </c>
      <c r="Q1840" s="78" t="s">
        <v>2447</v>
      </c>
      <c r="R1840" s="75">
        <f t="shared" si="164"/>
        <v>1</v>
      </c>
      <c r="S1840" s="263" t="s">
        <v>1991</v>
      </c>
      <c r="T1840" s="263" t="s">
        <v>934</v>
      </c>
      <c r="Y1840" s="576">
        <v>0.7402777777777777</v>
      </c>
      <c r="Z1840" s="576">
        <v>0.75069444444444444</v>
      </c>
      <c r="AA1840" s="576">
        <f t="shared" si="165"/>
        <v>1.0416666666666741E-2</v>
      </c>
      <c r="AB1840" s="722"/>
    </row>
    <row r="1841" spans="1:28" x14ac:dyDescent="0.35">
      <c r="A1841" s="81" t="s">
        <v>5677</v>
      </c>
      <c r="C1841" s="118">
        <v>43896</v>
      </c>
      <c r="D1841" s="118">
        <v>43958</v>
      </c>
      <c r="F1841" s="88" t="s">
        <v>5828</v>
      </c>
      <c r="G1841" s="88" t="s">
        <v>158</v>
      </c>
      <c r="H1841" s="98" t="s">
        <v>220</v>
      </c>
      <c r="J1841" s="75">
        <f t="shared" si="163"/>
        <v>1</v>
      </c>
      <c r="K1841" s="76" t="s">
        <v>221</v>
      </c>
      <c r="Q1841" s="78" t="s">
        <v>2056</v>
      </c>
      <c r="R1841" s="75">
        <f t="shared" si="164"/>
        <v>1</v>
      </c>
      <c r="S1841" s="263" t="s">
        <v>1991</v>
      </c>
      <c r="T1841" s="263"/>
      <c r="AA1841" s="576">
        <f t="shared" si="165"/>
        <v>0</v>
      </c>
      <c r="AB1841" s="722"/>
    </row>
    <row r="1842" spans="1:28" x14ac:dyDescent="0.35">
      <c r="A1842" s="81" t="s">
        <v>5700</v>
      </c>
      <c r="C1842" s="118">
        <v>43900</v>
      </c>
      <c r="D1842" s="118">
        <v>43958</v>
      </c>
      <c r="F1842" s="88" t="s">
        <v>5851</v>
      </c>
      <c r="G1842" s="88" t="s">
        <v>1393</v>
      </c>
      <c r="H1842" s="98" t="s">
        <v>220</v>
      </c>
      <c r="J1842" s="75">
        <f t="shared" si="163"/>
        <v>1</v>
      </c>
      <c r="K1842" s="76" t="s">
        <v>221</v>
      </c>
      <c r="Q1842" s="78" t="s">
        <v>2056</v>
      </c>
      <c r="R1842" s="75">
        <f t="shared" si="164"/>
        <v>1</v>
      </c>
      <c r="S1842" s="263" t="s">
        <v>1991</v>
      </c>
      <c r="T1842" s="263"/>
      <c r="AA1842" s="576">
        <f t="shared" si="165"/>
        <v>0</v>
      </c>
      <c r="AB1842" s="722"/>
    </row>
    <row r="1843" spans="1:28" x14ac:dyDescent="0.35">
      <c r="A1843" s="81" t="s">
        <v>5705</v>
      </c>
      <c r="C1843" s="118">
        <v>43900</v>
      </c>
      <c r="D1843" s="318">
        <v>43959</v>
      </c>
      <c r="E1843" s="83">
        <v>43927</v>
      </c>
      <c r="F1843" s="88" t="s">
        <v>5856</v>
      </c>
      <c r="G1843" s="88" t="s">
        <v>168</v>
      </c>
      <c r="H1843" s="98" t="s">
        <v>220</v>
      </c>
      <c r="I1843" s="98" t="s">
        <v>2516</v>
      </c>
      <c r="J1843" s="75">
        <f t="shared" si="163"/>
        <v>1</v>
      </c>
      <c r="K1843" s="76" t="s">
        <v>211</v>
      </c>
      <c r="L1843" s="99" t="s">
        <v>6221</v>
      </c>
      <c r="N1843" s="78" t="s">
        <v>17</v>
      </c>
      <c r="Q1843" s="78" t="s">
        <v>2097</v>
      </c>
      <c r="R1843" s="75">
        <f t="shared" si="164"/>
        <v>1</v>
      </c>
      <c r="S1843" s="263" t="s">
        <v>1991</v>
      </c>
      <c r="T1843" s="263" t="s">
        <v>933</v>
      </c>
      <c r="Y1843" s="576">
        <v>0.49236111111111108</v>
      </c>
      <c r="Z1843" s="576">
        <v>0.5131944444444444</v>
      </c>
      <c r="AA1843" s="576">
        <f t="shared" si="165"/>
        <v>2.0833333333333315E-2</v>
      </c>
      <c r="AB1843" s="722"/>
    </row>
    <row r="1844" spans="1:28" x14ac:dyDescent="0.35">
      <c r="A1844" s="81" t="s">
        <v>5707</v>
      </c>
      <c r="C1844" s="118">
        <v>43900</v>
      </c>
      <c r="D1844" s="318">
        <v>43959</v>
      </c>
      <c r="E1844" s="83">
        <v>43927</v>
      </c>
      <c r="F1844" s="88" t="s">
        <v>5858</v>
      </c>
      <c r="G1844" s="88" t="s">
        <v>154</v>
      </c>
      <c r="H1844" s="98" t="s">
        <v>220</v>
      </c>
      <c r="I1844" s="98" t="s">
        <v>722</v>
      </c>
      <c r="J1844" s="75">
        <f t="shared" si="163"/>
        <v>1</v>
      </c>
      <c r="K1844" s="76" t="s">
        <v>211</v>
      </c>
      <c r="N1844" s="78" t="s">
        <v>17</v>
      </c>
      <c r="Q1844" s="78" t="s">
        <v>2447</v>
      </c>
      <c r="R1844" s="75">
        <f t="shared" si="164"/>
        <v>1</v>
      </c>
      <c r="S1844" s="263" t="s">
        <v>1991</v>
      </c>
      <c r="T1844" s="263" t="s">
        <v>934</v>
      </c>
      <c r="Y1844" s="576">
        <v>0.51458333333333328</v>
      </c>
      <c r="Z1844" s="576">
        <v>0.53055555555555556</v>
      </c>
      <c r="AA1844" s="576">
        <f t="shared" si="165"/>
        <v>1.5972222222222276E-2</v>
      </c>
      <c r="AB1844" s="722"/>
    </row>
    <row r="1845" spans="1:28" x14ac:dyDescent="0.35">
      <c r="A1845" s="81" t="s">
        <v>5711</v>
      </c>
      <c r="C1845" s="118">
        <v>43900</v>
      </c>
      <c r="D1845" s="318">
        <v>43959</v>
      </c>
      <c r="E1845" s="83">
        <v>43927</v>
      </c>
      <c r="F1845" s="88" t="s">
        <v>5862</v>
      </c>
      <c r="G1845" s="88" t="s">
        <v>154</v>
      </c>
      <c r="H1845" s="98" t="s">
        <v>220</v>
      </c>
      <c r="I1845" s="98" t="s">
        <v>690</v>
      </c>
      <c r="J1845" s="75">
        <f t="shared" si="163"/>
        <v>1</v>
      </c>
      <c r="K1845" s="76" t="s">
        <v>211</v>
      </c>
      <c r="N1845" s="78" t="s">
        <v>19</v>
      </c>
      <c r="Q1845" s="78" t="s">
        <v>2097</v>
      </c>
      <c r="R1845" s="75">
        <f t="shared" si="164"/>
        <v>1</v>
      </c>
      <c r="S1845" s="263" t="s">
        <v>1991</v>
      </c>
      <c r="T1845" s="263" t="s">
        <v>933</v>
      </c>
      <c r="U1845" s="304" t="s">
        <v>5592</v>
      </c>
      <c r="V1845" s="304" t="s">
        <v>6222</v>
      </c>
      <c r="Y1845" s="576">
        <v>0.77708333333333324</v>
      </c>
      <c r="Z1845" s="576">
        <v>0.80208333333333337</v>
      </c>
      <c r="AA1845" s="576">
        <f t="shared" si="165"/>
        <v>2.5000000000000133E-2</v>
      </c>
      <c r="AB1845" s="722"/>
    </row>
    <row r="1846" spans="1:28" x14ac:dyDescent="0.35">
      <c r="A1846" s="81" t="s">
        <v>5716</v>
      </c>
      <c r="C1846" s="118">
        <v>43900</v>
      </c>
      <c r="D1846" s="118">
        <v>43958</v>
      </c>
      <c r="F1846" s="88" t="s">
        <v>5867</v>
      </c>
      <c r="G1846" s="88" t="s">
        <v>154</v>
      </c>
      <c r="H1846" s="98" t="s">
        <v>220</v>
      </c>
      <c r="J1846" s="75">
        <f t="shared" si="163"/>
        <v>1</v>
      </c>
      <c r="K1846" s="76" t="s">
        <v>221</v>
      </c>
      <c r="Q1846" s="78" t="s">
        <v>2097</v>
      </c>
      <c r="R1846" s="75">
        <f t="shared" si="164"/>
        <v>1</v>
      </c>
      <c r="S1846" s="263" t="s">
        <v>1991</v>
      </c>
      <c r="T1846" s="263"/>
      <c r="AA1846" s="576">
        <f t="shared" si="165"/>
        <v>0</v>
      </c>
      <c r="AB1846" s="722"/>
    </row>
    <row r="1847" spans="1:28" x14ac:dyDescent="0.35">
      <c r="A1847" s="81" t="s">
        <v>5743</v>
      </c>
      <c r="C1847" s="118">
        <v>43901</v>
      </c>
      <c r="D1847" s="318">
        <v>43959</v>
      </c>
      <c r="F1847" s="88" t="s">
        <v>5893</v>
      </c>
      <c r="G1847" s="88" t="s">
        <v>186</v>
      </c>
      <c r="H1847" s="98" t="s">
        <v>220</v>
      </c>
      <c r="J1847" s="75">
        <f t="shared" si="163"/>
        <v>1</v>
      </c>
      <c r="K1847" s="76" t="s">
        <v>221</v>
      </c>
      <c r="Q1847" s="78" t="s">
        <v>2130</v>
      </c>
      <c r="R1847" s="75">
        <f t="shared" si="164"/>
        <v>1</v>
      </c>
      <c r="S1847" s="263" t="s">
        <v>1991</v>
      </c>
      <c r="T1847" s="263"/>
      <c r="AA1847" s="576">
        <f t="shared" si="165"/>
        <v>0</v>
      </c>
      <c r="AB1847" s="722"/>
    </row>
    <row r="1848" spans="1:28" x14ac:dyDescent="0.35">
      <c r="A1848" s="98" t="s">
        <v>5294</v>
      </c>
      <c r="C1848" s="118">
        <v>43892</v>
      </c>
      <c r="D1848" s="318">
        <v>43969</v>
      </c>
      <c r="E1848" s="83">
        <v>43931</v>
      </c>
      <c r="F1848" s="88" t="s">
        <v>5432</v>
      </c>
      <c r="G1848" s="88" t="s">
        <v>154</v>
      </c>
      <c r="H1848" s="98" t="s">
        <v>220</v>
      </c>
      <c r="I1848" s="98" t="s">
        <v>648</v>
      </c>
      <c r="J1848" s="75">
        <f t="shared" ref="J1848:J1850" si="166">IF(OR(K1848="Документы готовы",K1848="Запрос в ФО",K1848="ЭЗ",K1848="РЕШ",K1848="РЕШ шаблон"),0.1,IF(OR(K1848="ЭЗ согласование",K1848="РЕШ согласование"),0.3,IF(OR(K1848="ЭЗ согласовано",K1848="РЕШ согласовано",K1848="РЕШ подписано"),0.6,IF(OR(K1848="ЭЗ ПР согласование",K1848="РЕШ УВ согласование"),0.9,IF(OR(K1848="ЭЗ ПР DONE",K1848="РЕШ УВ DONE"),1,0)))))</f>
        <v>1</v>
      </c>
      <c r="K1848" s="76" t="s">
        <v>211</v>
      </c>
      <c r="L1848" s="99" t="s">
        <v>6396</v>
      </c>
      <c r="N1848" s="78" t="s">
        <v>17</v>
      </c>
      <c r="Q1848" s="78" t="s">
        <v>2056</v>
      </c>
      <c r="R1848" s="75">
        <f t="shared" ref="R1848:R1850" si="167">IF(S1848="В работе",0.3,IF(S1848="Отписано",0.6,IF(S1848="На доработку",0.9,IF(S1848="Согласовано",1,0))))</f>
        <v>1</v>
      </c>
      <c r="S1848" s="263" t="s">
        <v>1991</v>
      </c>
      <c r="T1848" s="263" t="s">
        <v>934</v>
      </c>
      <c r="U1848" s="304" t="s">
        <v>5592</v>
      </c>
      <c r="V1848" s="304" t="s">
        <v>6397</v>
      </c>
      <c r="Y1848" s="576">
        <v>0.73025462962962961</v>
      </c>
      <c r="Z1848" s="576">
        <v>0.74972222222222218</v>
      </c>
      <c r="AA1848" s="576">
        <f t="shared" si="165"/>
        <v>1.9467592592592564E-2</v>
      </c>
      <c r="AB1848" s="722"/>
    </row>
    <row r="1849" spans="1:28" x14ac:dyDescent="0.35">
      <c r="A1849" s="98" t="s">
        <v>6253</v>
      </c>
      <c r="C1849" s="118">
        <v>43892</v>
      </c>
      <c r="D1849" s="318">
        <v>43969</v>
      </c>
      <c r="E1849" s="83">
        <v>43930</v>
      </c>
      <c r="F1849" s="88" t="s">
        <v>6319</v>
      </c>
      <c r="G1849" s="88" t="s">
        <v>158</v>
      </c>
      <c r="H1849" s="98" t="s">
        <v>220</v>
      </c>
      <c r="I1849" s="98" t="s">
        <v>722</v>
      </c>
      <c r="J1849" s="75">
        <f t="shared" si="166"/>
        <v>1</v>
      </c>
      <c r="K1849" s="76" t="s">
        <v>211</v>
      </c>
      <c r="N1849" s="78" t="s">
        <v>18</v>
      </c>
      <c r="Q1849" s="78" t="s">
        <v>2056</v>
      </c>
      <c r="R1849" s="75">
        <f t="shared" si="167"/>
        <v>1</v>
      </c>
      <c r="S1849" s="263" t="s">
        <v>1991</v>
      </c>
      <c r="T1849" s="263" t="s">
        <v>934</v>
      </c>
      <c r="Y1849" s="576">
        <v>0.75053240740740745</v>
      </c>
      <c r="Z1849" s="576">
        <v>0.75797453703703699</v>
      </c>
      <c r="AA1849" s="576">
        <f t="shared" si="165"/>
        <v>7.4421296296295347E-3</v>
      </c>
      <c r="AB1849" s="722"/>
    </row>
    <row r="1850" spans="1:28" x14ac:dyDescent="0.35">
      <c r="A1850" s="81" t="s">
        <v>6264</v>
      </c>
      <c r="C1850" s="118">
        <v>43907</v>
      </c>
      <c r="D1850" s="318">
        <v>43969</v>
      </c>
      <c r="E1850" s="83">
        <v>43930</v>
      </c>
      <c r="F1850" s="88" t="s">
        <v>6330</v>
      </c>
      <c r="G1850" s="88" t="s">
        <v>417</v>
      </c>
      <c r="H1850" s="98" t="s">
        <v>220</v>
      </c>
      <c r="I1850" s="98" t="s">
        <v>656</v>
      </c>
      <c r="J1850" s="75">
        <f t="shared" si="166"/>
        <v>1</v>
      </c>
      <c r="K1850" s="76" t="s">
        <v>211</v>
      </c>
      <c r="N1850" s="78" t="s">
        <v>18</v>
      </c>
      <c r="Q1850" s="78" t="s">
        <v>2056</v>
      </c>
      <c r="R1850" s="75">
        <f t="shared" si="167"/>
        <v>1</v>
      </c>
      <c r="S1850" s="263" t="s">
        <v>1991</v>
      </c>
      <c r="T1850" s="263" t="s">
        <v>932</v>
      </c>
      <c r="U1850" s="304" t="s">
        <v>5592</v>
      </c>
      <c r="V1850" s="304" t="s">
        <v>6387</v>
      </c>
      <c r="Y1850" s="576">
        <v>0.73232638888888879</v>
      </c>
      <c r="Z1850" s="576">
        <v>0.74892361111111105</v>
      </c>
      <c r="AA1850" s="576">
        <f t="shared" ref="AA1850:AA1853" si="168">Z1850-Y1850</f>
        <v>1.6597222222222263E-2</v>
      </c>
      <c r="AB1850" s="722"/>
    </row>
    <row r="1851" spans="1:28" x14ac:dyDescent="0.35">
      <c r="A1851" s="81" t="s">
        <v>6265</v>
      </c>
      <c r="C1851" s="118">
        <v>43907</v>
      </c>
      <c r="D1851" s="318">
        <v>43969</v>
      </c>
      <c r="E1851" s="83">
        <v>43931</v>
      </c>
      <c r="F1851" s="88" t="s">
        <v>6331</v>
      </c>
      <c r="G1851" s="88" t="s">
        <v>154</v>
      </c>
      <c r="H1851" s="98" t="s">
        <v>220</v>
      </c>
      <c r="I1851" s="98" t="s">
        <v>656</v>
      </c>
      <c r="J1851" s="75">
        <f t="shared" ref="J1851:J1861" si="169">IF(OR(K1851="Документы готовы",K1851="Запрос в ФО",K1851="ЭЗ",K1851="РЕШ",K1851="РЕШ шаблон"),0.1,IF(OR(K1851="ЭЗ согласование",K1851="РЕШ согласование"),0.3,IF(OR(K1851="ЭЗ согласовано",K1851="РЕШ согласовано",K1851="РЕШ подписано"),0.6,IF(OR(K1851="ЭЗ ПР согласование",K1851="РЕШ УВ согласование"),0.9,IF(OR(K1851="ЭЗ ПР DONE",K1851="РЕШ УВ DONE"),1,0)))))</f>
        <v>1</v>
      </c>
      <c r="K1851" s="76" t="s">
        <v>211</v>
      </c>
      <c r="N1851" s="78" t="s">
        <v>17</v>
      </c>
      <c r="Q1851" s="78" t="s">
        <v>2056</v>
      </c>
      <c r="R1851" s="75">
        <f t="shared" ref="R1851:R1861" si="170">IF(S1851="В работе",0.3,IF(S1851="Отписано",0.6,IF(S1851="На доработку",0.9,IF(S1851="Согласовано",1,0))))</f>
        <v>1</v>
      </c>
      <c r="S1851" s="263" t="s">
        <v>1991</v>
      </c>
      <c r="T1851" s="263" t="s">
        <v>932</v>
      </c>
      <c r="Y1851" s="576">
        <v>0.42524305555555553</v>
      </c>
      <c r="Z1851" s="576">
        <v>0.43434027777777778</v>
      </c>
      <c r="AA1851" s="576">
        <f t="shared" si="168"/>
        <v>9.0972222222222565E-3</v>
      </c>
      <c r="AB1851" s="722"/>
    </row>
    <row r="1852" spans="1:28" x14ac:dyDescent="0.35">
      <c r="A1852" s="98" t="s">
        <v>6279</v>
      </c>
      <c r="C1852" s="118">
        <v>43908</v>
      </c>
      <c r="D1852" s="318">
        <v>43970</v>
      </c>
      <c r="E1852" s="83">
        <v>43930</v>
      </c>
      <c r="F1852" s="88" t="s">
        <v>6345</v>
      </c>
      <c r="G1852" s="88" t="s">
        <v>162</v>
      </c>
      <c r="H1852" s="98" t="s">
        <v>220</v>
      </c>
      <c r="I1852" s="98" t="s">
        <v>730</v>
      </c>
      <c r="J1852" s="75">
        <f t="shared" si="169"/>
        <v>1</v>
      </c>
      <c r="K1852" s="76" t="s">
        <v>211</v>
      </c>
      <c r="N1852" s="78" t="s">
        <v>18</v>
      </c>
      <c r="Q1852" s="78" t="s">
        <v>2056</v>
      </c>
      <c r="R1852" s="75">
        <f t="shared" si="170"/>
        <v>1</v>
      </c>
      <c r="S1852" s="263" t="s">
        <v>1991</v>
      </c>
      <c r="T1852" s="263" t="s">
        <v>934</v>
      </c>
      <c r="Y1852" s="576">
        <v>0.40763888888888888</v>
      </c>
      <c r="Z1852" s="576">
        <v>0.41609953703703706</v>
      </c>
      <c r="AA1852" s="576">
        <f t="shared" si="168"/>
        <v>8.4606481481481755E-3</v>
      </c>
      <c r="AB1852" s="722"/>
    </row>
    <row r="1853" spans="1:28" x14ac:dyDescent="0.35">
      <c r="A1853" s="98" t="s">
        <v>6280</v>
      </c>
      <c r="C1853" s="118">
        <v>43908</v>
      </c>
      <c r="D1853" s="318">
        <v>43970</v>
      </c>
      <c r="E1853" s="83">
        <v>43930</v>
      </c>
      <c r="F1853" s="88" t="s">
        <v>3000</v>
      </c>
      <c r="G1853" s="88" t="s">
        <v>160</v>
      </c>
      <c r="H1853" s="98" t="s">
        <v>220</v>
      </c>
      <c r="I1853" s="98" t="s">
        <v>6380</v>
      </c>
      <c r="J1853" s="75">
        <f t="shared" si="169"/>
        <v>1</v>
      </c>
      <c r="K1853" s="76" t="s">
        <v>211</v>
      </c>
      <c r="N1853" s="78" t="s">
        <v>17</v>
      </c>
      <c r="Q1853" s="78" t="s">
        <v>2056</v>
      </c>
      <c r="R1853" s="75">
        <f t="shared" si="170"/>
        <v>1</v>
      </c>
      <c r="S1853" s="263" t="s">
        <v>1991</v>
      </c>
      <c r="T1853" s="263" t="s">
        <v>934</v>
      </c>
      <c r="U1853" s="304" t="s">
        <v>5592</v>
      </c>
      <c r="V1853" s="304" t="s">
        <v>6381</v>
      </c>
      <c r="Y1853" s="576">
        <v>0.39285879629629633</v>
      </c>
      <c r="Z1853" s="576">
        <v>0.41418981481481482</v>
      </c>
      <c r="AA1853" s="576">
        <f t="shared" si="168"/>
        <v>2.1331018518518485E-2</v>
      </c>
      <c r="AB1853" s="722"/>
    </row>
    <row r="1854" spans="1:28" x14ac:dyDescent="0.35">
      <c r="A1854" s="98" t="s">
        <v>6292</v>
      </c>
      <c r="C1854" s="118">
        <v>43908</v>
      </c>
      <c r="D1854" s="318">
        <v>43970</v>
      </c>
      <c r="E1854" s="83">
        <v>43930</v>
      </c>
      <c r="F1854" s="88" t="s">
        <v>6357</v>
      </c>
      <c r="G1854" s="88" t="s">
        <v>154</v>
      </c>
      <c r="H1854" s="98" t="s">
        <v>220</v>
      </c>
      <c r="I1854" s="98" t="s">
        <v>5215</v>
      </c>
      <c r="J1854" s="75">
        <f t="shared" si="169"/>
        <v>1</v>
      </c>
      <c r="K1854" s="76" t="s">
        <v>211</v>
      </c>
      <c r="N1854" s="78" t="s">
        <v>19</v>
      </c>
      <c r="Q1854" s="78" t="s">
        <v>2056</v>
      </c>
      <c r="R1854" s="75">
        <f t="shared" si="170"/>
        <v>1</v>
      </c>
      <c r="S1854" s="263" t="s">
        <v>1991</v>
      </c>
      <c r="T1854" s="263" t="s">
        <v>932</v>
      </c>
      <c r="Y1854" s="576">
        <v>0.3888888888888889</v>
      </c>
      <c r="Z1854" s="576">
        <v>0.39231481481481478</v>
      </c>
      <c r="AA1854" s="576">
        <f t="shared" ref="AA1854:AA1883" si="171">Z1854-Y1854</f>
        <v>3.4259259259258878E-3</v>
      </c>
      <c r="AB1854" s="722"/>
    </row>
    <row r="1855" spans="1:28" x14ac:dyDescent="0.35">
      <c r="A1855" s="81" t="s">
        <v>5227</v>
      </c>
      <c r="C1855" s="118">
        <v>43871</v>
      </c>
      <c r="D1855" s="318">
        <v>43970</v>
      </c>
      <c r="E1855" s="83">
        <v>43937</v>
      </c>
      <c r="F1855" s="255" t="s">
        <v>4367</v>
      </c>
      <c r="G1855" s="88" t="s">
        <v>154</v>
      </c>
      <c r="H1855" s="98" t="s">
        <v>220</v>
      </c>
      <c r="I1855" s="98" t="s">
        <v>698</v>
      </c>
      <c r="J1855" s="75">
        <f t="shared" si="169"/>
        <v>1</v>
      </c>
      <c r="K1855" s="76" t="s">
        <v>211</v>
      </c>
      <c r="L1855" s="99" t="s">
        <v>6816</v>
      </c>
      <c r="N1855" s="78" t="s">
        <v>18</v>
      </c>
      <c r="Q1855" s="78" t="s">
        <v>2130</v>
      </c>
      <c r="R1855" s="75">
        <f t="shared" si="170"/>
        <v>1</v>
      </c>
      <c r="S1855" s="263" t="s">
        <v>1991</v>
      </c>
      <c r="T1855" s="263" t="s">
        <v>933</v>
      </c>
      <c r="U1855" s="304" t="s">
        <v>5592</v>
      </c>
      <c r="V1855" s="304" t="s">
        <v>6511</v>
      </c>
      <c r="Y1855" s="576">
        <v>0.66637731481481477</v>
      </c>
      <c r="Z1855" s="576">
        <v>0.73167824074074073</v>
      </c>
      <c r="AA1855" s="576">
        <f t="shared" si="171"/>
        <v>6.5300925925925957E-2</v>
      </c>
      <c r="AB1855" s="722"/>
    </row>
    <row r="1856" spans="1:28" x14ac:dyDescent="0.35">
      <c r="A1856" s="81" t="s">
        <v>4982</v>
      </c>
      <c r="C1856" s="118">
        <v>43880</v>
      </c>
      <c r="D1856" s="318">
        <v>43972</v>
      </c>
      <c r="E1856" s="83">
        <v>43937</v>
      </c>
      <c r="F1856" s="88" t="s">
        <v>5069</v>
      </c>
      <c r="G1856" s="88" t="s">
        <v>158</v>
      </c>
      <c r="H1856" s="98" t="s">
        <v>220</v>
      </c>
      <c r="I1856" s="98" t="s">
        <v>6509</v>
      </c>
      <c r="J1856" s="75">
        <f t="shared" si="169"/>
        <v>1</v>
      </c>
      <c r="K1856" s="76" t="s">
        <v>211</v>
      </c>
      <c r="L1856" s="99" t="s">
        <v>6510</v>
      </c>
      <c r="N1856" s="78" t="s">
        <v>17</v>
      </c>
      <c r="Q1856" s="78" t="s">
        <v>2163</v>
      </c>
      <c r="R1856" s="75">
        <f t="shared" si="170"/>
        <v>1</v>
      </c>
      <c r="S1856" s="263" t="s">
        <v>1991</v>
      </c>
      <c r="T1856" s="263" t="s">
        <v>932</v>
      </c>
      <c r="Y1856" s="576">
        <v>0.56423611111111105</v>
      </c>
      <c r="Z1856" s="576">
        <v>0.57166666666666666</v>
      </c>
      <c r="AA1856" s="576">
        <f t="shared" si="171"/>
        <v>7.4305555555556069E-3</v>
      </c>
      <c r="AB1856" s="722"/>
    </row>
    <row r="1857" spans="1:28" x14ac:dyDescent="0.35">
      <c r="A1857" s="81" t="s">
        <v>6248</v>
      </c>
      <c r="C1857" s="118">
        <v>43882</v>
      </c>
      <c r="D1857" s="318">
        <v>43969</v>
      </c>
      <c r="E1857" s="83">
        <v>43934</v>
      </c>
      <c r="F1857" s="88" t="s">
        <v>6314</v>
      </c>
      <c r="G1857" s="88" t="s">
        <v>154</v>
      </c>
      <c r="H1857" s="98" t="s">
        <v>220</v>
      </c>
      <c r="I1857" s="98" t="s">
        <v>5215</v>
      </c>
      <c r="J1857" s="75">
        <f t="shared" si="169"/>
        <v>1</v>
      </c>
      <c r="K1857" s="76" t="s">
        <v>211</v>
      </c>
      <c r="N1857" s="78" t="s">
        <v>19</v>
      </c>
      <c r="Q1857" s="78" t="s">
        <v>2163</v>
      </c>
      <c r="R1857" s="75">
        <f t="shared" si="170"/>
        <v>1</v>
      </c>
      <c r="S1857" s="263" t="s">
        <v>1991</v>
      </c>
      <c r="T1857" s="263" t="s">
        <v>932</v>
      </c>
      <c r="Y1857" s="576">
        <v>0.4262037037037037</v>
      </c>
      <c r="Z1857" s="576">
        <v>0.43405092592592592</v>
      </c>
      <c r="AA1857" s="576">
        <f t="shared" si="171"/>
        <v>7.8472222222222276E-3</v>
      </c>
      <c r="AB1857" s="722"/>
    </row>
    <row r="1858" spans="1:28" x14ac:dyDescent="0.35">
      <c r="A1858" s="81" t="s">
        <v>6249</v>
      </c>
      <c r="C1858" s="118">
        <v>43882</v>
      </c>
      <c r="D1858" s="318">
        <v>43969</v>
      </c>
      <c r="E1858" s="83">
        <v>43934</v>
      </c>
      <c r="F1858" s="88" t="s">
        <v>6315</v>
      </c>
      <c r="G1858" s="88" t="s">
        <v>158</v>
      </c>
      <c r="H1858" s="98" t="s">
        <v>220</v>
      </c>
      <c r="I1858" s="98" t="s">
        <v>2516</v>
      </c>
      <c r="J1858" s="75">
        <f t="shared" si="169"/>
        <v>1</v>
      </c>
      <c r="K1858" s="76" t="s">
        <v>211</v>
      </c>
      <c r="N1858" s="78" t="s">
        <v>17</v>
      </c>
      <c r="Q1858" s="78" t="s">
        <v>2130</v>
      </c>
      <c r="R1858" s="75">
        <f t="shared" si="170"/>
        <v>1</v>
      </c>
      <c r="S1858" s="263" t="s">
        <v>1991</v>
      </c>
      <c r="T1858" s="263" t="s">
        <v>933</v>
      </c>
      <c r="Y1858" s="576">
        <v>0.61126157407407411</v>
      </c>
      <c r="Z1858" s="576">
        <v>0.63600694444444439</v>
      </c>
      <c r="AA1858" s="576">
        <f t="shared" si="171"/>
        <v>2.4745370370370279E-2</v>
      </c>
      <c r="AB1858" s="722"/>
    </row>
    <row r="1859" spans="1:28" x14ac:dyDescent="0.35">
      <c r="A1859" s="81" t="s">
        <v>6250</v>
      </c>
      <c r="C1859" s="118">
        <v>43887</v>
      </c>
      <c r="D1859" s="318">
        <v>43971</v>
      </c>
      <c r="E1859" s="83">
        <v>43935</v>
      </c>
      <c r="F1859" s="88" t="s">
        <v>6316</v>
      </c>
      <c r="G1859" s="88" t="s">
        <v>154</v>
      </c>
      <c r="H1859" s="98" t="s">
        <v>220</v>
      </c>
      <c r="I1859" s="98" t="s">
        <v>2516</v>
      </c>
      <c r="J1859" s="75">
        <f t="shared" si="169"/>
        <v>1</v>
      </c>
      <c r="K1859" s="76" t="s">
        <v>211</v>
      </c>
      <c r="N1859" s="78" t="s">
        <v>17</v>
      </c>
      <c r="Q1859" s="78" t="s">
        <v>2056</v>
      </c>
      <c r="R1859" s="75">
        <f t="shared" si="170"/>
        <v>1</v>
      </c>
      <c r="S1859" s="263" t="s">
        <v>1991</v>
      </c>
      <c r="T1859" s="263" t="s">
        <v>934</v>
      </c>
      <c r="Y1859" s="576">
        <v>0.46547453703703701</v>
      </c>
      <c r="Z1859" s="576">
        <v>0.47918981481481482</v>
      </c>
      <c r="AA1859" s="576">
        <f t="shared" si="171"/>
        <v>1.3715277777777812E-2</v>
      </c>
      <c r="AB1859" s="722"/>
    </row>
    <row r="1860" spans="1:28" x14ac:dyDescent="0.35">
      <c r="A1860" s="81" t="s">
        <v>6251</v>
      </c>
      <c r="C1860" s="118">
        <v>43892</v>
      </c>
      <c r="D1860" s="318">
        <v>43969</v>
      </c>
      <c r="E1860" s="83">
        <v>43934</v>
      </c>
      <c r="F1860" s="88" t="s">
        <v>6317</v>
      </c>
      <c r="G1860" s="88" t="s">
        <v>158</v>
      </c>
      <c r="H1860" s="98" t="s">
        <v>220</v>
      </c>
      <c r="I1860" s="98" t="s">
        <v>981</v>
      </c>
      <c r="J1860" s="75">
        <f t="shared" si="169"/>
        <v>1</v>
      </c>
      <c r="K1860" s="76" t="s">
        <v>211</v>
      </c>
      <c r="L1860" s="99" t="s">
        <v>6494</v>
      </c>
      <c r="N1860" s="78" t="s">
        <v>18</v>
      </c>
      <c r="Q1860" s="78" t="s">
        <v>2130</v>
      </c>
      <c r="R1860" s="75">
        <f t="shared" si="170"/>
        <v>1</v>
      </c>
      <c r="S1860" s="263" t="s">
        <v>1991</v>
      </c>
      <c r="T1860" s="263" t="s">
        <v>932</v>
      </c>
      <c r="Y1860" s="576">
        <v>0.7409027777777778</v>
      </c>
      <c r="Z1860" s="576">
        <v>0.80202546296296295</v>
      </c>
      <c r="AA1860" s="576">
        <f t="shared" si="171"/>
        <v>6.1122685185185155E-2</v>
      </c>
      <c r="AB1860" s="722"/>
    </row>
    <row r="1861" spans="1:28" x14ac:dyDescent="0.35">
      <c r="A1861" s="81" t="s">
        <v>6252</v>
      </c>
      <c r="C1861" s="118">
        <v>43892</v>
      </c>
      <c r="D1861" s="318">
        <v>43969</v>
      </c>
      <c r="E1861" s="83">
        <v>43934</v>
      </c>
      <c r="F1861" s="88" t="s">
        <v>6318</v>
      </c>
      <c r="G1861" s="88" t="s">
        <v>176</v>
      </c>
      <c r="H1861" s="98" t="s">
        <v>220</v>
      </c>
      <c r="I1861" s="98" t="s">
        <v>652</v>
      </c>
      <c r="J1861" s="75">
        <f t="shared" si="169"/>
        <v>1</v>
      </c>
      <c r="K1861" s="76" t="s">
        <v>211</v>
      </c>
      <c r="N1861" s="78" t="s">
        <v>17</v>
      </c>
      <c r="Q1861" s="78" t="s">
        <v>2447</v>
      </c>
      <c r="R1861" s="75">
        <f t="shared" si="170"/>
        <v>1</v>
      </c>
      <c r="S1861" s="263" t="s">
        <v>1991</v>
      </c>
      <c r="T1861" s="263" t="s">
        <v>932</v>
      </c>
      <c r="Y1861" s="576">
        <v>0.64934027777777781</v>
      </c>
      <c r="Z1861" s="576">
        <v>0.65995370370370365</v>
      </c>
      <c r="AA1861" s="576">
        <f t="shared" si="171"/>
        <v>1.0613425925925846E-2</v>
      </c>
      <c r="AB1861" s="722"/>
    </row>
    <row r="1862" spans="1:28" x14ac:dyDescent="0.35">
      <c r="A1862" s="81" t="s">
        <v>5296</v>
      </c>
      <c r="C1862" s="118">
        <v>43892</v>
      </c>
      <c r="D1862" s="318">
        <v>43969</v>
      </c>
      <c r="E1862" s="83">
        <v>43935</v>
      </c>
      <c r="F1862" s="88" t="s">
        <v>5434</v>
      </c>
      <c r="G1862" s="88" t="s">
        <v>149</v>
      </c>
      <c r="H1862" s="98" t="s">
        <v>220</v>
      </c>
      <c r="I1862" s="98" t="s">
        <v>763</v>
      </c>
      <c r="J1862" s="75">
        <f t="shared" ref="J1862:J1921" si="172">IF(OR(K1862="Документы готовы",K1862="Запрос в ФО",K1862="ЭЗ",K1862="РЕШ",K1862="РЕШ шаблон"),0.1,IF(OR(K1862="ЭЗ согласование",K1862="РЕШ согласование"),0.3,IF(OR(K1862="ЭЗ согласовано",K1862="РЕШ согласовано",K1862="РЕШ подписано"),0.6,IF(OR(K1862="ЭЗ ПР согласование",K1862="РЕШ УВ согласование"),0.9,IF(OR(K1862="ЭЗ ПР DONE",K1862="РЕШ УВ DONE"),1,0)))))</f>
        <v>1</v>
      </c>
      <c r="K1862" s="76" t="s">
        <v>211</v>
      </c>
      <c r="N1862" s="78" t="s">
        <v>18</v>
      </c>
      <c r="Q1862" s="78" t="s">
        <v>2130</v>
      </c>
      <c r="R1862" s="75">
        <f t="shared" ref="R1862:R1921" si="173">IF(S1862="В работе",0.3,IF(S1862="Отписано",0.6,IF(S1862="На доработку",0.9,IF(S1862="Согласовано",1,0))))</f>
        <v>1</v>
      </c>
      <c r="S1862" s="263" t="s">
        <v>1991</v>
      </c>
      <c r="T1862" s="263" t="s">
        <v>932</v>
      </c>
      <c r="Y1862" s="576">
        <v>0.4480555555555556</v>
      </c>
      <c r="Z1862" s="576">
        <v>0.46453703703703703</v>
      </c>
      <c r="AA1862" s="576">
        <f t="shared" si="171"/>
        <v>1.648148148148143E-2</v>
      </c>
      <c r="AB1862" s="722"/>
    </row>
    <row r="1863" spans="1:28" x14ac:dyDescent="0.35">
      <c r="A1863" s="81" t="s">
        <v>5297</v>
      </c>
      <c r="C1863" s="118">
        <v>43892</v>
      </c>
      <c r="D1863" s="318">
        <v>43969</v>
      </c>
      <c r="E1863" s="83">
        <v>43935</v>
      </c>
      <c r="F1863" s="88" t="s">
        <v>5435</v>
      </c>
      <c r="G1863" s="88" t="s">
        <v>160</v>
      </c>
      <c r="H1863" s="98" t="s">
        <v>220</v>
      </c>
      <c r="I1863" s="98" t="s">
        <v>763</v>
      </c>
      <c r="J1863" s="75">
        <f t="shared" si="172"/>
        <v>1</v>
      </c>
      <c r="K1863" s="76" t="s">
        <v>211</v>
      </c>
      <c r="N1863" s="78" t="s">
        <v>18</v>
      </c>
      <c r="Q1863" s="78" t="s">
        <v>2130</v>
      </c>
      <c r="R1863" s="75">
        <f t="shared" si="173"/>
        <v>1</v>
      </c>
      <c r="S1863" s="263" t="s">
        <v>1991</v>
      </c>
      <c r="T1863" s="263" t="s">
        <v>933</v>
      </c>
      <c r="U1863" s="304" t="s">
        <v>5592</v>
      </c>
      <c r="V1863" s="304" t="s">
        <v>6499</v>
      </c>
      <c r="Y1863" s="576">
        <v>0.40643518518518523</v>
      </c>
      <c r="Z1863" s="576">
        <v>0.44760416666666664</v>
      </c>
      <c r="AA1863" s="576">
        <f t="shared" si="171"/>
        <v>4.1168981481481404E-2</v>
      </c>
      <c r="AB1863" s="722"/>
    </row>
    <row r="1864" spans="1:28" x14ac:dyDescent="0.35">
      <c r="A1864" s="81" t="s">
        <v>5298</v>
      </c>
      <c r="C1864" s="118">
        <v>43892</v>
      </c>
      <c r="D1864" s="318">
        <v>43969</v>
      </c>
      <c r="E1864" s="83">
        <v>43934</v>
      </c>
      <c r="F1864" s="88" t="s">
        <v>5436</v>
      </c>
      <c r="G1864" s="88" t="s">
        <v>154</v>
      </c>
      <c r="H1864" s="98" t="s">
        <v>220</v>
      </c>
      <c r="I1864" s="98" t="s">
        <v>698</v>
      </c>
      <c r="J1864" s="75">
        <f t="shared" si="172"/>
        <v>1</v>
      </c>
      <c r="K1864" s="76" t="s">
        <v>211</v>
      </c>
      <c r="L1864" s="99" t="s">
        <v>6495</v>
      </c>
      <c r="N1864" s="78" t="s">
        <v>19</v>
      </c>
      <c r="Q1864" s="78" t="s">
        <v>2097</v>
      </c>
      <c r="R1864" s="75">
        <f t="shared" si="173"/>
        <v>1</v>
      </c>
      <c r="S1864" s="263" t="s">
        <v>1991</v>
      </c>
      <c r="T1864" s="263" t="s">
        <v>932</v>
      </c>
      <c r="U1864" s="304" t="s">
        <v>5592</v>
      </c>
      <c r="V1864" s="304" t="s">
        <v>6496</v>
      </c>
      <c r="Y1864" s="576">
        <v>0.80291666666666661</v>
      </c>
      <c r="Z1864" s="576">
        <v>0.81346064814814811</v>
      </c>
      <c r="AA1864" s="576">
        <f t="shared" si="171"/>
        <v>1.0543981481481501E-2</v>
      </c>
      <c r="AB1864" s="722"/>
    </row>
    <row r="1865" spans="1:28" x14ac:dyDescent="0.35">
      <c r="A1865" s="81" t="s">
        <v>5299</v>
      </c>
      <c r="C1865" s="118">
        <v>43892</v>
      </c>
      <c r="D1865" s="318">
        <v>43969</v>
      </c>
      <c r="E1865" s="83">
        <v>43934</v>
      </c>
      <c r="F1865" s="88" t="s">
        <v>5437</v>
      </c>
      <c r="G1865" s="88" t="s">
        <v>158</v>
      </c>
      <c r="H1865" s="98" t="s">
        <v>220</v>
      </c>
      <c r="I1865" s="98" t="s">
        <v>722</v>
      </c>
      <c r="J1865" s="75">
        <f t="shared" si="172"/>
        <v>1</v>
      </c>
      <c r="K1865" s="76" t="s">
        <v>211</v>
      </c>
      <c r="N1865" s="78" t="s">
        <v>17</v>
      </c>
      <c r="Q1865" s="78" t="s">
        <v>2163</v>
      </c>
      <c r="R1865" s="75">
        <f t="shared" si="173"/>
        <v>1</v>
      </c>
      <c r="S1865" s="263" t="s">
        <v>1991</v>
      </c>
      <c r="T1865" s="263" t="s">
        <v>933</v>
      </c>
      <c r="Y1865" s="576">
        <v>0.42186342592592596</v>
      </c>
      <c r="Z1865" s="576">
        <v>0.4251967592592592</v>
      </c>
      <c r="AA1865" s="576">
        <f t="shared" si="171"/>
        <v>3.3333333333332438E-3</v>
      </c>
      <c r="AB1865" s="722"/>
    </row>
    <row r="1866" spans="1:28" x14ac:dyDescent="0.35">
      <c r="A1866" s="81" t="s">
        <v>5301</v>
      </c>
      <c r="C1866" s="118">
        <v>43892</v>
      </c>
      <c r="D1866" s="318">
        <v>43969</v>
      </c>
      <c r="E1866" s="83">
        <v>43934</v>
      </c>
      <c r="F1866" s="88" t="s">
        <v>5438</v>
      </c>
      <c r="G1866" s="88" t="s">
        <v>158</v>
      </c>
      <c r="H1866" s="98" t="s">
        <v>220</v>
      </c>
      <c r="I1866" s="98" t="s">
        <v>763</v>
      </c>
      <c r="J1866" s="75">
        <f t="shared" si="172"/>
        <v>1</v>
      </c>
      <c r="K1866" s="76" t="s">
        <v>211</v>
      </c>
      <c r="N1866" s="78" t="s">
        <v>18</v>
      </c>
      <c r="Q1866" s="78" t="s">
        <v>2097</v>
      </c>
      <c r="R1866" s="75">
        <f t="shared" si="173"/>
        <v>1</v>
      </c>
      <c r="S1866" s="263" t="s">
        <v>1991</v>
      </c>
      <c r="T1866" s="263" t="s">
        <v>934</v>
      </c>
      <c r="U1866" s="304" t="s">
        <v>5592</v>
      </c>
      <c r="V1866" s="304" t="s">
        <v>6493</v>
      </c>
      <c r="Y1866" s="576">
        <v>0.69914351851851853</v>
      </c>
      <c r="Z1866" s="576">
        <v>0.73998842592592595</v>
      </c>
      <c r="AA1866" s="576">
        <f t="shared" si="171"/>
        <v>4.0844907407407427E-2</v>
      </c>
      <c r="AB1866" s="722"/>
    </row>
    <row r="1867" spans="1:28" x14ac:dyDescent="0.35">
      <c r="A1867" s="81" t="s">
        <v>5304</v>
      </c>
      <c r="C1867" s="118">
        <v>43892</v>
      </c>
      <c r="D1867" s="318">
        <v>43969</v>
      </c>
      <c r="E1867" s="83">
        <v>43934</v>
      </c>
      <c r="F1867" s="88" t="s">
        <v>5441</v>
      </c>
      <c r="G1867" s="88" t="s">
        <v>158</v>
      </c>
      <c r="H1867" s="98" t="s">
        <v>220</v>
      </c>
      <c r="I1867" s="98" t="s">
        <v>648</v>
      </c>
      <c r="J1867" s="75">
        <f t="shared" si="172"/>
        <v>1</v>
      </c>
      <c r="K1867" s="76" t="s">
        <v>211</v>
      </c>
      <c r="N1867" s="78" t="s">
        <v>17</v>
      </c>
      <c r="Q1867" s="78" t="s">
        <v>2163</v>
      </c>
      <c r="R1867" s="75">
        <f t="shared" si="173"/>
        <v>1</v>
      </c>
      <c r="S1867" s="263" t="s">
        <v>1991</v>
      </c>
      <c r="T1867" s="263" t="s">
        <v>934</v>
      </c>
      <c r="Y1867" s="576">
        <v>0.41362268518518519</v>
      </c>
      <c r="Z1867" s="576">
        <v>0.42133101851851856</v>
      </c>
      <c r="AA1867" s="576">
        <f t="shared" si="171"/>
        <v>7.7083333333333726E-3</v>
      </c>
      <c r="AB1867" s="722"/>
    </row>
    <row r="1868" spans="1:28" x14ac:dyDescent="0.35">
      <c r="A1868" s="81" t="s">
        <v>5305</v>
      </c>
      <c r="C1868" s="118">
        <v>43892</v>
      </c>
      <c r="D1868" s="318">
        <v>43969</v>
      </c>
      <c r="E1868" s="83">
        <v>43934</v>
      </c>
      <c r="F1868" s="88" t="s">
        <v>5442</v>
      </c>
      <c r="G1868" s="88" t="s">
        <v>158</v>
      </c>
      <c r="H1868" s="98" t="s">
        <v>220</v>
      </c>
      <c r="I1868" s="613" t="s">
        <v>6498</v>
      </c>
      <c r="J1868" s="75">
        <f t="shared" si="172"/>
        <v>1</v>
      </c>
      <c r="K1868" s="76" t="s">
        <v>211</v>
      </c>
      <c r="L1868" s="99" t="s">
        <v>6497</v>
      </c>
      <c r="N1868" s="78" t="s">
        <v>19</v>
      </c>
      <c r="Q1868" s="78" t="s">
        <v>2097</v>
      </c>
      <c r="R1868" s="75">
        <f t="shared" si="173"/>
        <v>1</v>
      </c>
      <c r="S1868" s="263" t="s">
        <v>1991</v>
      </c>
      <c r="T1868" s="263" t="s">
        <v>933</v>
      </c>
      <c r="Y1868" s="576">
        <v>0.81458333333333333</v>
      </c>
      <c r="Z1868" s="576">
        <v>0.83142361111111107</v>
      </c>
      <c r="AA1868" s="576">
        <f t="shared" si="171"/>
        <v>1.6840277777777746E-2</v>
      </c>
      <c r="AB1868" s="722"/>
    </row>
    <row r="1869" spans="1:28" x14ac:dyDescent="0.35">
      <c r="A1869" s="81" t="s">
        <v>6254</v>
      </c>
      <c r="C1869" s="118">
        <v>43892</v>
      </c>
      <c r="D1869" s="318">
        <v>43969</v>
      </c>
      <c r="E1869" s="83">
        <v>43934</v>
      </c>
      <c r="F1869" s="88" t="s">
        <v>6320</v>
      </c>
      <c r="G1869" s="88" t="s">
        <v>152</v>
      </c>
      <c r="H1869" s="98" t="s">
        <v>220</v>
      </c>
      <c r="I1869" s="98" t="s">
        <v>652</v>
      </c>
      <c r="J1869" s="75">
        <f t="shared" si="172"/>
        <v>1</v>
      </c>
      <c r="K1869" s="76" t="s">
        <v>211</v>
      </c>
      <c r="L1869" s="99" t="s">
        <v>6491</v>
      </c>
      <c r="N1869" s="78" t="s">
        <v>18</v>
      </c>
      <c r="Q1869" s="78" t="s">
        <v>2447</v>
      </c>
      <c r="R1869" s="75">
        <f t="shared" si="173"/>
        <v>1</v>
      </c>
      <c r="S1869" s="263" t="s">
        <v>1991</v>
      </c>
      <c r="T1869" s="263" t="s">
        <v>932</v>
      </c>
      <c r="Y1869" s="576">
        <v>0.52303240740740742</v>
      </c>
      <c r="Z1869" s="576">
        <v>0.53099537037037037</v>
      </c>
      <c r="AA1869" s="576">
        <f t="shared" si="171"/>
        <v>7.9629629629629495E-3</v>
      </c>
      <c r="AB1869" s="722"/>
    </row>
    <row r="1870" spans="1:28" x14ac:dyDescent="0.35">
      <c r="A1870" s="81" t="s">
        <v>6255</v>
      </c>
      <c r="C1870" s="118">
        <v>43892</v>
      </c>
      <c r="D1870" s="318">
        <v>43969</v>
      </c>
      <c r="E1870" s="83">
        <v>43934</v>
      </c>
      <c r="F1870" s="88" t="s">
        <v>6321</v>
      </c>
      <c r="G1870" s="88" t="s">
        <v>160</v>
      </c>
      <c r="H1870" s="98" t="s">
        <v>220</v>
      </c>
      <c r="I1870" s="98" t="s">
        <v>722</v>
      </c>
      <c r="J1870" s="75">
        <f t="shared" si="172"/>
        <v>1</v>
      </c>
      <c r="K1870" s="76" t="s">
        <v>211</v>
      </c>
      <c r="N1870" s="78" t="s">
        <v>18</v>
      </c>
      <c r="Q1870" s="78" t="s">
        <v>2447</v>
      </c>
      <c r="R1870" s="75">
        <f t="shared" si="173"/>
        <v>1</v>
      </c>
      <c r="S1870" s="263" t="s">
        <v>1991</v>
      </c>
      <c r="T1870" s="263" t="s">
        <v>933</v>
      </c>
      <c r="Y1870" s="576">
        <v>0.68744212962962958</v>
      </c>
      <c r="Z1870" s="576">
        <v>0.69849537037037035</v>
      </c>
      <c r="AA1870" s="576">
        <f t="shared" si="171"/>
        <v>1.1053240740740766E-2</v>
      </c>
      <c r="AB1870" s="722"/>
    </row>
    <row r="1871" spans="1:28" x14ac:dyDescent="0.35">
      <c r="A1871" s="98" t="s">
        <v>5314</v>
      </c>
      <c r="C1871" s="118">
        <v>43892</v>
      </c>
      <c r="D1871" s="318">
        <v>43969</v>
      </c>
      <c r="E1871" s="83">
        <v>43934</v>
      </c>
      <c r="F1871" s="88" t="s">
        <v>5451</v>
      </c>
      <c r="G1871" s="88" t="s">
        <v>158</v>
      </c>
      <c r="H1871" s="98" t="s">
        <v>220</v>
      </c>
      <c r="I1871" s="98" t="s">
        <v>722</v>
      </c>
      <c r="J1871" s="75">
        <f t="shared" si="172"/>
        <v>1</v>
      </c>
      <c r="K1871" s="76" t="s">
        <v>211</v>
      </c>
      <c r="N1871" s="78" t="s">
        <v>17</v>
      </c>
      <c r="Q1871" s="78" t="s">
        <v>2163</v>
      </c>
      <c r="R1871" s="75">
        <f t="shared" si="173"/>
        <v>1</v>
      </c>
      <c r="S1871" s="263" t="s">
        <v>1991</v>
      </c>
      <c r="T1871" s="263" t="s">
        <v>932</v>
      </c>
      <c r="U1871" s="304" t="s">
        <v>5592</v>
      </c>
      <c r="V1871" s="304" t="s">
        <v>6483</v>
      </c>
      <c r="Y1871" s="576">
        <v>0.40084490740740741</v>
      </c>
      <c r="Z1871" s="576">
        <v>0.40736111111111112</v>
      </c>
      <c r="AA1871" s="576">
        <f t="shared" si="171"/>
        <v>6.5162037037037046E-3</v>
      </c>
      <c r="AB1871" s="722"/>
    </row>
    <row r="1872" spans="1:28" x14ac:dyDescent="0.35">
      <c r="A1872" s="98" t="s">
        <v>5317</v>
      </c>
      <c r="C1872" s="118">
        <v>43892</v>
      </c>
      <c r="D1872" s="318">
        <v>43969</v>
      </c>
      <c r="E1872" s="83">
        <v>43937</v>
      </c>
      <c r="F1872" s="88" t="s">
        <v>5454</v>
      </c>
      <c r="G1872" s="88" t="s">
        <v>154</v>
      </c>
      <c r="H1872" s="98" t="s">
        <v>220</v>
      </c>
      <c r="I1872" s="98" t="s">
        <v>664</v>
      </c>
      <c r="J1872" s="75">
        <f t="shared" si="172"/>
        <v>1</v>
      </c>
      <c r="K1872" s="76" t="s">
        <v>211</v>
      </c>
      <c r="N1872" s="78" t="s">
        <v>17</v>
      </c>
      <c r="Q1872" s="78" t="s">
        <v>2130</v>
      </c>
      <c r="R1872" s="75">
        <f t="shared" si="173"/>
        <v>1</v>
      </c>
      <c r="S1872" s="263" t="s">
        <v>1991</v>
      </c>
      <c r="T1872" s="263" t="s">
        <v>933</v>
      </c>
      <c r="Y1872" s="576">
        <v>0.8268402777777778</v>
      </c>
      <c r="Z1872" s="576">
        <v>0.86949074074074073</v>
      </c>
      <c r="AA1872" s="576">
        <f t="shared" si="171"/>
        <v>4.2650462962962932E-2</v>
      </c>
      <c r="AB1872" s="722"/>
    </row>
    <row r="1873" spans="1:28" x14ac:dyDescent="0.35">
      <c r="A1873" s="81" t="s">
        <v>6256</v>
      </c>
      <c r="C1873" s="118">
        <v>43892</v>
      </c>
      <c r="D1873" s="318">
        <v>43969</v>
      </c>
      <c r="E1873" s="83">
        <v>43934</v>
      </c>
      <c r="F1873" s="88" t="s">
        <v>6322</v>
      </c>
      <c r="G1873" s="88" t="s">
        <v>2125</v>
      </c>
      <c r="H1873" s="98" t="s">
        <v>220</v>
      </c>
      <c r="I1873" s="98" t="s">
        <v>649</v>
      </c>
      <c r="J1873" s="75">
        <f t="shared" si="172"/>
        <v>1</v>
      </c>
      <c r="K1873" s="76" t="s">
        <v>211</v>
      </c>
      <c r="N1873" s="78" t="s">
        <v>18</v>
      </c>
      <c r="Q1873" s="78" t="s">
        <v>2447</v>
      </c>
      <c r="R1873" s="75">
        <f t="shared" si="173"/>
        <v>1</v>
      </c>
      <c r="S1873" s="263" t="s">
        <v>1991</v>
      </c>
      <c r="T1873" s="263" t="s">
        <v>934</v>
      </c>
      <c r="Y1873" s="576">
        <v>0.46675925925925926</v>
      </c>
      <c r="Z1873" s="576">
        <v>0.47256944444444443</v>
      </c>
      <c r="AA1873" s="576">
        <f t="shared" si="171"/>
        <v>5.8101851851851682E-3</v>
      </c>
      <c r="AB1873" s="722"/>
    </row>
    <row r="1874" spans="1:28" x14ac:dyDescent="0.35">
      <c r="A1874" s="81" t="s">
        <v>6257</v>
      </c>
      <c r="C1874" s="118">
        <v>43893</v>
      </c>
      <c r="D1874" s="625">
        <v>43970</v>
      </c>
      <c r="E1874" s="83">
        <v>43936</v>
      </c>
      <c r="F1874" s="88" t="s">
        <v>6323</v>
      </c>
      <c r="G1874" s="88" t="s">
        <v>154</v>
      </c>
      <c r="H1874" s="98" t="s">
        <v>220</v>
      </c>
      <c r="I1874" s="98" t="s">
        <v>730</v>
      </c>
      <c r="J1874" s="75">
        <f t="shared" si="172"/>
        <v>1</v>
      </c>
      <c r="K1874" s="76" t="s">
        <v>211</v>
      </c>
      <c r="N1874" s="78" t="s">
        <v>17</v>
      </c>
      <c r="Q1874" s="78" t="s">
        <v>2447</v>
      </c>
      <c r="R1874" s="75">
        <f t="shared" si="173"/>
        <v>1</v>
      </c>
      <c r="S1874" s="263" t="s">
        <v>1991</v>
      </c>
      <c r="T1874" s="263" t="s">
        <v>934</v>
      </c>
      <c r="Y1874" s="576">
        <v>0.57262731481481477</v>
      </c>
      <c r="Z1874" s="576">
        <v>0.58403935185185185</v>
      </c>
      <c r="AA1874" s="576">
        <f t="shared" si="171"/>
        <v>1.1412037037037082E-2</v>
      </c>
      <c r="AB1874" s="722"/>
    </row>
    <row r="1875" spans="1:28" x14ac:dyDescent="0.35">
      <c r="A1875" s="81" t="s">
        <v>5318</v>
      </c>
      <c r="C1875" s="118">
        <v>43893</v>
      </c>
      <c r="D1875" s="318">
        <v>43970</v>
      </c>
      <c r="E1875" s="83">
        <v>43936</v>
      </c>
      <c r="F1875" s="88" t="s">
        <v>5455</v>
      </c>
      <c r="G1875" s="88" t="s">
        <v>741</v>
      </c>
      <c r="H1875" s="98" t="s">
        <v>220</v>
      </c>
      <c r="I1875" s="98" t="s">
        <v>722</v>
      </c>
      <c r="J1875" s="75">
        <f t="shared" si="172"/>
        <v>1</v>
      </c>
      <c r="K1875" s="76" t="s">
        <v>211</v>
      </c>
      <c r="N1875" s="78" t="s">
        <v>17</v>
      </c>
      <c r="Q1875" s="78" t="s">
        <v>2130</v>
      </c>
      <c r="R1875" s="75">
        <f t="shared" si="173"/>
        <v>1</v>
      </c>
      <c r="S1875" s="263" t="s">
        <v>1991</v>
      </c>
      <c r="T1875" s="263" t="s">
        <v>934</v>
      </c>
      <c r="Y1875" s="576">
        <v>0.49849537037037034</v>
      </c>
      <c r="Z1875" s="576">
        <v>0.51168981481481479</v>
      </c>
      <c r="AA1875" s="576">
        <f t="shared" si="171"/>
        <v>1.3194444444444453E-2</v>
      </c>
      <c r="AB1875" s="722"/>
    </row>
    <row r="1876" spans="1:28" x14ac:dyDescent="0.35">
      <c r="A1876" s="81" t="s">
        <v>5320</v>
      </c>
      <c r="C1876" s="118">
        <v>43893</v>
      </c>
      <c r="D1876" s="318">
        <v>43970</v>
      </c>
      <c r="E1876" s="83">
        <v>43934</v>
      </c>
      <c r="F1876" s="88" t="s">
        <v>5457</v>
      </c>
      <c r="G1876" s="88" t="s">
        <v>193</v>
      </c>
      <c r="H1876" s="98" t="s">
        <v>220</v>
      </c>
      <c r="I1876" s="98" t="s">
        <v>649</v>
      </c>
      <c r="J1876" s="75">
        <f t="shared" si="172"/>
        <v>1</v>
      </c>
      <c r="K1876" s="76" t="s">
        <v>211</v>
      </c>
      <c r="N1876" s="78" t="s">
        <v>18</v>
      </c>
      <c r="Q1876" s="78" t="s">
        <v>2056</v>
      </c>
      <c r="R1876" s="75">
        <f t="shared" si="173"/>
        <v>1</v>
      </c>
      <c r="S1876" s="263" t="s">
        <v>1991</v>
      </c>
      <c r="T1876" s="263" t="s">
        <v>933</v>
      </c>
      <c r="Y1876" s="576">
        <v>0.43444444444444441</v>
      </c>
      <c r="Z1876" s="576">
        <v>0.4397685185185185</v>
      </c>
      <c r="AA1876" s="576">
        <f t="shared" si="171"/>
        <v>5.3240740740740922E-3</v>
      </c>
      <c r="AB1876" s="722"/>
    </row>
    <row r="1877" spans="1:28" x14ac:dyDescent="0.35">
      <c r="A1877" s="98" t="s">
        <v>5322</v>
      </c>
      <c r="C1877" s="118">
        <v>43893</v>
      </c>
      <c r="D1877" s="318">
        <v>43970</v>
      </c>
      <c r="E1877" s="83">
        <v>43936</v>
      </c>
      <c r="F1877" s="88" t="s">
        <v>5459</v>
      </c>
      <c r="G1877" s="88" t="s">
        <v>2125</v>
      </c>
      <c r="H1877" s="98" t="s">
        <v>220</v>
      </c>
      <c r="I1877" s="98" t="s">
        <v>649</v>
      </c>
      <c r="J1877" s="75">
        <f t="shared" si="172"/>
        <v>1</v>
      </c>
      <c r="K1877" s="76" t="s">
        <v>211</v>
      </c>
      <c r="N1877" s="78" t="s">
        <v>18</v>
      </c>
      <c r="Q1877" s="78" t="s">
        <v>2097</v>
      </c>
      <c r="R1877" s="75">
        <f t="shared" si="173"/>
        <v>1</v>
      </c>
      <c r="S1877" s="263" t="s">
        <v>1991</v>
      </c>
      <c r="T1877" s="263" t="s">
        <v>934</v>
      </c>
      <c r="Y1877" s="576">
        <v>0.42398148148148151</v>
      </c>
      <c r="Z1877" s="576">
        <v>0.42929398148148151</v>
      </c>
      <c r="AA1877" s="576">
        <f t="shared" si="171"/>
        <v>5.3124999999999978E-3</v>
      </c>
      <c r="AB1877" s="722"/>
    </row>
    <row r="1878" spans="1:28" x14ac:dyDescent="0.35">
      <c r="A1878" s="81" t="s">
        <v>5324</v>
      </c>
      <c r="C1878" s="118">
        <v>43893</v>
      </c>
      <c r="D1878" s="318">
        <v>43970</v>
      </c>
      <c r="E1878" s="83">
        <v>43935</v>
      </c>
      <c r="F1878" s="88" t="s">
        <v>5461</v>
      </c>
      <c r="G1878" s="88" t="s">
        <v>417</v>
      </c>
      <c r="H1878" s="98" t="s">
        <v>220</v>
      </c>
      <c r="I1878" s="98" t="s">
        <v>1004</v>
      </c>
      <c r="J1878" s="75">
        <f t="shared" si="172"/>
        <v>1</v>
      </c>
      <c r="K1878" s="76" t="s">
        <v>211</v>
      </c>
      <c r="N1878" s="78" t="s">
        <v>19</v>
      </c>
      <c r="Q1878" s="78" t="s">
        <v>2163</v>
      </c>
      <c r="R1878" s="75">
        <f t="shared" si="173"/>
        <v>1</v>
      </c>
      <c r="S1878" s="263" t="s">
        <v>1991</v>
      </c>
      <c r="T1878" s="263" t="s">
        <v>932</v>
      </c>
      <c r="Y1878" s="576">
        <v>0.5223726851851852</v>
      </c>
      <c r="Z1878" s="576">
        <v>0.55908564814814821</v>
      </c>
      <c r="AA1878" s="576">
        <f t="shared" si="171"/>
        <v>3.6712962962963003E-2</v>
      </c>
      <c r="AB1878" s="722"/>
    </row>
    <row r="1879" spans="1:28" x14ac:dyDescent="0.35">
      <c r="A1879" s="81" t="s">
        <v>5325</v>
      </c>
      <c r="C1879" s="118">
        <v>43893</v>
      </c>
      <c r="D1879" s="318">
        <v>43970</v>
      </c>
      <c r="E1879" s="83">
        <v>43935</v>
      </c>
      <c r="F1879" s="88" t="s">
        <v>5462</v>
      </c>
      <c r="G1879" s="88" t="s">
        <v>158</v>
      </c>
      <c r="H1879" s="98" t="s">
        <v>220</v>
      </c>
      <c r="I1879" s="98" t="s">
        <v>649</v>
      </c>
      <c r="J1879" s="75">
        <f t="shared" si="172"/>
        <v>1</v>
      </c>
      <c r="K1879" s="76" t="s">
        <v>211</v>
      </c>
      <c r="N1879" s="78" t="s">
        <v>18</v>
      </c>
      <c r="Q1879" s="78" t="s">
        <v>2163</v>
      </c>
      <c r="R1879" s="75">
        <f t="shared" si="173"/>
        <v>1</v>
      </c>
      <c r="S1879" s="263" t="s">
        <v>1991</v>
      </c>
      <c r="T1879" s="263" t="s">
        <v>933</v>
      </c>
      <c r="Y1879" s="576">
        <v>0.56815972222222222</v>
      </c>
      <c r="Z1879" s="576">
        <v>0.57628472222222216</v>
      </c>
      <c r="AA1879" s="576">
        <f t="shared" si="171"/>
        <v>8.1249999999999378E-3</v>
      </c>
      <c r="AB1879" s="722"/>
    </row>
    <row r="1880" spans="1:28" x14ac:dyDescent="0.35">
      <c r="A1880" s="81" t="s">
        <v>5326</v>
      </c>
      <c r="C1880" s="118">
        <v>43893</v>
      </c>
      <c r="D1880" s="318">
        <v>43970</v>
      </c>
      <c r="E1880" s="83">
        <v>43935</v>
      </c>
      <c r="F1880" s="88" t="s">
        <v>5463</v>
      </c>
      <c r="G1880" s="88" t="s">
        <v>195</v>
      </c>
      <c r="H1880" s="98" t="s">
        <v>220</v>
      </c>
      <c r="I1880" s="98" t="s">
        <v>722</v>
      </c>
      <c r="J1880" s="75">
        <f t="shared" si="172"/>
        <v>1</v>
      </c>
      <c r="K1880" s="76" t="s">
        <v>211</v>
      </c>
      <c r="N1880" s="78" t="s">
        <v>17</v>
      </c>
      <c r="Q1880" s="78" t="s">
        <v>2097</v>
      </c>
      <c r="R1880" s="75">
        <f t="shared" si="173"/>
        <v>1</v>
      </c>
      <c r="S1880" s="263" t="s">
        <v>1991</v>
      </c>
      <c r="T1880" s="263" t="s">
        <v>932</v>
      </c>
      <c r="Y1880" s="576">
        <v>0.72444444444444445</v>
      </c>
      <c r="Z1880" s="576">
        <v>0.73932870370370374</v>
      </c>
      <c r="AA1880" s="576">
        <f t="shared" si="171"/>
        <v>1.4884259259259291E-2</v>
      </c>
      <c r="AB1880" s="722"/>
    </row>
    <row r="1881" spans="1:28" x14ac:dyDescent="0.35">
      <c r="A1881" s="81" t="s">
        <v>5328</v>
      </c>
      <c r="C1881" s="118">
        <v>43893</v>
      </c>
      <c r="D1881" s="318">
        <v>43970</v>
      </c>
      <c r="E1881" s="83">
        <v>43935</v>
      </c>
      <c r="F1881" s="88" t="s">
        <v>5465</v>
      </c>
      <c r="G1881" s="88" t="s">
        <v>152</v>
      </c>
      <c r="H1881" s="98" t="s">
        <v>220</v>
      </c>
      <c r="I1881" s="98" t="s">
        <v>649</v>
      </c>
      <c r="J1881" s="75">
        <f t="shared" si="172"/>
        <v>1</v>
      </c>
      <c r="K1881" s="76" t="s">
        <v>211</v>
      </c>
      <c r="N1881" s="78" t="s">
        <v>18</v>
      </c>
      <c r="Q1881" s="78" t="s">
        <v>2097</v>
      </c>
      <c r="R1881" s="75">
        <f t="shared" si="173"/>
        <v>1</v>
      </c>
      <c r="S1881" s="263" t="s">
        <v>1991</v>
      </c>
      <c r="T1881" s="263" t="s">
        <v>933</v>
      </c>
      <c r="Y1881" s="576">
        <v>0.71567129629629633</v>
      </c>
      <c r="Z1881" s="576">
        <v>0.72357638888888898</v>
      </c>
      <c r="AA1881" s="576">
        <f t="shared" si="171"/>
        <v>7.9050925925926441E-3</v>
      </c>
      <c r="AB1881" s="722"/>
    </row>
    <row r="1882" spans="1:28" x14ac:dyDescent="0.35">
      <c r="A1882" s="81" t="s">
        <v>5329</v>
      </c>
      <c r="C1882" s="118">
        <v>43893</v>
      </c>
      <c r="D1882" s="318">
        <v>43970</v>
      </c>
      <c r="E1882" s="83">
        <v>43936</v>
      </c>
      <c r="F1882" s="88" t="s">
        <v>5466</v>
      </c>
      <c r="G1882" s="88" t="s">
        <v>170</v>
      </c>
      <c r="H1882" s="98" t="s">
        <v>220</v>
      </c>
      <c r="I1882" s="98" t="s">
        <v>722</v>
      </c>
      <c r="J1882" s="75">
        <f t="shared" si="172"/>
        <v>1</v>
      </c>
      <c r="K1882" s="76" t="s">
        <v>211</v>
      </c>
      <c r="N1882" s="78" t="s">
        <v>18</v>
      </c>
      <c r="Q1882" s="78" t="s">
        <v>2130</v>
      </c>
      <c r="R1882" s="75">
        <f t="shared" si="173"/>
        <v>1</v>
      </c>
      <c r="S1882" s="263" t="s">
        <v>1991</v>
      </c>
      <c r="T1882" s="263" t="s">
        <v>933</v>
      </c>
      <c r="Y1882" s="576">
        <v>0.77016203703703701</v>
      </c>
      <c r="Z1882" s="576">
        <v>0.78266203703703707</v>
      </c>
      <c r="AA1882" s="576">
        <f t="shared" si="171"/>
        <v>1.2500000000000067E-2</v>
      </c>
      <c r="AB1882" s="722"/>
    </row>
    <row r="1883" spans="1:28" x14ac:dyDescent="0.35">
      <c r="A1883" s="81" t="s">
        <v>6258</v>
      </c>
      <c r="C1883" s="118">
        <v>43893</v>
      </c>
      <c r="D1883" s="318">
        <v>43970</v>
      </c>
      <c r="E1883" s="83">
        <v>43935</v>
      </c>
      <c r="F1883" s="88" t="s">
        <v>6324</v>
      </c>
      <c r="G1883" s="88" t="s">
        <v>162</v>
      </c>
      <c r="H1883" s="98" t="s">
        <v>220</v>
      </c>
      <c r="I1883" s="98" t="s">
        <v>722</v>
      </c>
      <c r="J1883" s="75">
        <f t="shared" si="172"/>
        <v>1</v>
      </c>
      <c r="K1883" s="76" t="s">
        <v>211</v>
      </c>
      <c r="N1883" s="78" t="s">
        <v>18</v>
      </c>
      <c r="Q1883" s="78" t="s">
        <v>2447</v>
      </c>
      <c r="R1883" s="75">
        <f t="shared" si="173"/>
        <v>1</v>
      </c>
      <c r="S1883" s="263" t="s">
        <v>1991</v>
      </c>
      <c r="T1883" s="263" t="s">
        <v>933</v>
      </c>
      <c r="Y1883" s="576">
        <v>0.55969907407407404</v>
      </c>
      <c r="Z1883" s="576">
        <v>0.56760416666666669</v>
      </c>
      <c r="AA1883" s="576">
        <f t="shared" si="171"/>
        <v>7.9050925925926441E-3</v>
      </c>
      <c r="AB1883" s="722"/>
    </row>
    <row r="1884" spans="1:28" x14ac:dyDescent="0.35">
      <c r="A1884" s="81" t="s">
        <v>5332</v>
      </c>
      <c r="C1884" s="118">
        <v>43893</v>
      </c>
      <c r="D1884" s="318">
        <v>43970</v>
      </c>
      <c r="E1884" s="83">
        <v>43935</v>
      </c>
      <c r="F1884" s="88" t="s">
        <v>5469</v>
      </c>
      <c r="G1884" s="88" t="s">
        <v>154</v>
      </c>
      <c r="H1884" s="98" t="s">
        <v>220</v>
      </c>
      <c r="I1884" s="98" t="s">
        <v>6502</v>
      </c>
      <c r="J1884" s="75">
        <f t="shared" si="172"/>
        <v>1</v>
      </c>
      <c r="K1884" s="76" t="s">
        <v>211</v>
      </c>
      <c r="L1884" s="99" t="s">
        <v>6503</v>
      </c>
      <c r="N1884" s="78" t="s">
        <v>17</v>
      </c>
      <c r="Q1884" s="78" t="s">
        <v>2163</v>
      </c>
      <c r="R1884" s="75">
        <f t="shared" si="173"/>
        <v>1</v>
      </c>
      <c r="S1884" s="263" t="s">
        <v>1991</v>
      </c>
      <c r="T1884" s="263" t="s">
        <v>934</v>
      </c>
      <c r="Y1884" s="576">
        <v>0.75542824074074078</v>
      </c>
      <c r="Z1884" s="576">
        <v>0.76741898148148147</v>
      </c>
      <c r="AA1884" s="576">
        <f t="shared" ref="AA1884:AA1928" si="174">Z1884-Y1884</f>
        <v>1.1990740740740691E-2</v>
      </c>
      <c r="AB1884" s="722"/>
    </row>
    <row r="1885" spans="1:28" x14ac:dyDescent="0.35">
      <c r="A1885" s="81" t="s">
        <v>6259</v>
      </c>
      <c r="C1885" s="118">
        <v>43893</v>
      </c>
      <c r="D1885" s="318">
        <v>43970</v>
      </c>
      <c r="E1885" s="83">
        <v>43935</v>
      </c>
      <c r="F1885" s="88" t="s">
        <v>6325</v>
      </c>
      <c r="G1885" s="88" t="s">
        <v>162</v>
      </c>
      <c r="H1885" s="81" t="s">
        <v>275</v>
      </c>
      <c r="I1885" s="98" t="s">
        <v>649</v>
      </c>
      <c r="J1885" s="75">
        <f t="shared" si="172"/>
        <v>1</v>
      </c>
      <c r="K1885" s="76" t="s">
        <v>211</v>
      </c>
      <c r="N1885" s="78" t="s">
        <v>18</v>
      </c>
      <c r="Q1885" s="78" t="s">
        <v>2447</v>
      </c>
      <c r="R1885" s="75">
        <f t="shared" si="173"/>
        <v>1</v>
      </c>
      <c r="S1885" s="263" t="s">
        <v>1991</v>
      </c>
      <c r="T1885" s="263" t="s">
        <v>932</v>
      </c>
      <c r="Y1885" s="576">
        <v>0.74827546296296299</v>
      </c>
      <c r="Z1885" s="576">
        <v>0.75473379629629633</v>
      </c>
      <c r="AA1885" s="576">
        <f t="shared" si="174"/>
        <v>6.4583333333333437E-3</v>
      </c>
      <c r="AB1885" s="722"/>
    </row>
    <row r="1886" spans="1:28" x14ac:dyDescent="0.35">
      <c r="A1886" s="81" t="s">
        <v>5333</v>
      </c>
      <c r="C1886" s="118">
        <v>43893</v>
      </c>
      <c r="D1886" s="318">
        <v>43970</v>
      </c>
      <c r="E1886" s="83">
        <v>43935</v>
      </c>
      <c r="F1886" s="88" t="s">
        <v>5470</v>
      </c>
      <c r="G1886" s="88" t="s">
        <v>177</v>
      </c>
      <c r="H1886" s="98" t="s">
        <v>220</v>
      </c>
      <c r="I1886" s="98" t="s">
        <v>1004</v>
      </c>
      <c r="J1886" s="75">
        <f t="shared" si="172"/>
        <v>1</v>
      </c>
      <c r="K1886" s="76" t="s">
        <v>211</v>
      </c>
      <c r="L1886" s="99" t="s">
        <v>6501</v>
      </c>
      <c r="N1886" s="78" t="s">
        <v>19</v>
      </c>
      <c r="Q1886" s="78" t="s">
        <v>2056</v>
      </c>
      <c r="R1886" s="75">
        <f t="shared" si="173"/>
        <v>1</v>
      </c>
      <c r="S1886" s="263" t="s">
        <v>1991</v>
      </c>
      <c r="T1886" s="263" t="s">
        <v>934</v>
      </c>
      <c r="Y1886" s="576">
        <v>0.70344907407407409</v>
      </c>
      <c r="Z1886" s="576">
        <v>0.71241898148148142</v>
      </c>
      <c r="AA1886" s="576">
        <f t="shared" si="174"/>
        <v>8.9699074074073293E-3</v>
      </c>
      <c r="AB1886" s="722"/>
    </row>
    <row r="1887" spans="1:28" x14ac:dyDescent="0.35">
      <c r="A1887" s="81" t="s">
        <v>5335</v>
      </c>
      <c r="C1887" s="118">
        <v>43894</v>
      </c>
      <c r="D1887" s="318">
        <v>43971</v>
      </c>
      <c r="E1887" s="83">
        <v>43937</v>
      </c>
      <c r="F1887" s="88" t="s">
        <v>5472</v>
      </c>
      <c r="G1887" s="88" t="s">
        <v>162</v>
      </c>
      <c r="H1887" s="98" t="s">
        <v>220</v>
      </c>
      <c r="I1887" s="98" t="s">
        <v>649</v>
      </c>
      <c r="J1887" s="75">
        <f t="shared" si="172"/>
        <v>1</v>
      </c>
      <c r="K1887" s="76" t="s">
        <v>211</v>
      </c>
      <c r="N1887" s="78" t="s">
        <v>18</v>
      </c>
      <c r="Q1887" s="78" t="s">
        <v>2097</v>
      </c>
      <c r="R1887" s="75">
        <f t="shared" si="173"/>
        <v>1</v>
      </c>
      <c r="S1887" s="263" t="s">
        <v>1991</v>
      </c>
      <c r="T1887" s="263" t="s">
        <v>934</v>
      </c>
      <c r="Y1887" s="576">
        <v>0.50031250000000005</v>
      </c>
      <c r="Z1887" s="576">
        <v>0.50747685185185187</v>
      </c>
      <c r="AA1887" s="576">
        <f t="shared" si="174"/>
        <v>7.1643518518518245E-3</v>
      </c>
      <c r="AB1887" s="722"/>
    </row>
    <row r="1888" spans="1:28" x14ac:dyDescent="0.35">
      <c r="A1888" s="81" t="s">
        <v>5340</v>
      </c>
      <c r="C1888" s="118">
        <v>43894</v>
      </c>
      <c r="D1888" s="318">
        <v>43971</v>
      </c>
      <c r="E1888" s="83">
        <v>43936</v>
      </c>
      <c r="F1888" s="88" t="s">
        <v>5477</v>
      </c>
      <c r="G1888" s="88" t="s">
        <v>158</v>
      </c>
      <c r="H1888" s="98" t="s">
        <v>220</v>
      </c>
      <c r="I1888" s="98" t="s">
        <v>722</v>
      </c>
      <c r="J1888" s="75">
        <f t="shared" si="172"/>
        <v>1</v>
      </c>
      <c r="K1888" s="76" t="s">
        <v>211</v>
      </c>
      <c r="N1888" s="78" t="s">
        <v>17</v>
      </c>
      <c r="Q1888" s="78" t="s">
        <v>2163</v>
      </c>
      <c r="R1888" s="75">
        <f t="shared" si="173"/>
        <v>1</v>
      </c>
      <c r="S1888" s="263" t="s">
        <v>1991</v>
      </c>
      <c r="T1888" s="263" t="s">
        <v>932</v>
      </c>
      <c r="Y1888" s="576">
        <v>0.73842592592592593</v>
      </c>
      <c r="Z1888" s="576">
        <v>0.74858796296296293</v>
      </c>
      <c r="AA1888" s="576">
        <f t="shared" si="174"/>
        <v>1.0162037037036997E-2</v>
      </c>
      <c r="AB1888" s="722"/>
    </row>
    <row r="1889" spans="1:28" x14ac:dyDescent="0.35">
      <c r="A1889" s="81" t="s">
        <v>6260</v>
      </c>
      <c r="C1889" s="118">
        <v>43894</v>
      </c>
      <c r="D1889" s="318">
        <v>43971</v>
      </c>
      <c r="E1889" s="83">
        <v>43934</v>
      </c>
      <c r="F1889" s="88" t="s">
        <v>6326</v>
      </c>
      <c r="G1889" s="88" t="s">
        <v>162</v>
      </c>
      <c r="H1889" s="81" t="s">
        <v>275</v>
      </c>
      <c r="I1889" s="98" t="s">
        <v>6485</v>
      </c>
      <c r="J1889" s="75">
        <f t="shared" si="172"/>
        <v>1</v>
      </c>
      <c r="K1889" s="76" t="s">
        <v>211</v>
      </c>
      <c r="L1889" s="99" t="s">
        <v>6487</v>
      </c>
      <c r="N1889" s="78" t="s">
        <v>19</v>
      </c>
      <c r="Q1889" s="78" t="s">
        <v>2056</v>
      </c>
      <c r="R1889" s="75">
        <f t="shared" si="173"/>
        <v>1</v>
      </c>
      <c r="S1889" s="263" t="s">
        <v>1991</v>
      </c>
      <c r="T1889" s="263" t="s">
        <v>932</v>
      </c>
      <c r="U1889" s="304" t="s">
        <v>5592</v>
      </c>
      <c r="V1889" s="304" t="s">
        <v>6486</v>
      </c>
      <c r="Y1889" s="576">
        <v>0.47325231481481483</v>
      </c>
      <c r="Z1889" s="576">
        <v>0.49723379629629627</v>
      </c>
      <c r="AA1889" s="576">
        <f t="shared" si="174"/>
        <v>2.3981481481481437E-2</v>
      </c>
      <c r="AB1889" s="722"/>
    </row>
    <row r="1890" spans="1:28" x14ac:dyDescent="0.35">
      <c r="A1890" s="81" t="s">
        <v>5344</v>
      </c>
      <c r="C1890" s="118">
        <v>43894</v>
      </c>
      <c r="D1890" s="318">
        <v>43971</v>
      </c>
      <c r="E1890" s="83">
        <v>43936</v>
      </c>
      <c r="F1890" s="88" t="s">
        <v>5481</v>
      </c>
      <c r="G1890" s="88" t="s">
        <v>1393</v>
      </c>
      <c r="H1890" s="98" t="s">
        <v>220</v>
      </c>
      <c r="I1890" s="98" t="s">
        <v>863</v>
      </c>
      <c r="J1890" s="75">
        <f t="shared" si="172"/>
        <v>1</v>
      </c>
      <c r="K1890" s="76" t="s">
        <v>211</v>
      </c>
      <c r="N1890" s="78" t="s">
        <v>17</v>
      </c>
      <c r="Q1890" s="78" t="s">
        <v>2163</v>
      </c>
      <c r="R1890" s="75">
        <f t="shared" si="173"/>
        <v>1</v>
      </c>
      <c r="S1890" s="263" t="s">
        <v>1991</v>
      </c>
      <c r="T1890" s="263" t="s">
        <v>933</v>
      </c>
      <c r="Y1890" s="576">
        <v>0.88177083333333339</v>
      </c>
      <c r="Z1890" s="576">
        <v>0.89079861111111114</v>
      </c>
      <c r="AA1890" s="576">
        <f t="shared" si="174"/>
        <v>9.0277777777777457E-3</v>
      </c>
      <c r="AB1890" s="722"/>
    </row>
    <row r="1891" spans="1:28" x14ac:dyDescent="0.35">
      <c r="A1891" s="81" t="s">
        <v>5345</v>
      </c>
      <c r="C1891" s="118">
        <v>43894</v>
      </c>
      <c r="D1891" s="318">
        <v>43971</v>
      </c>
      <c r="E1891" s="83">
        <v>43937</v>
      </c>
      <c r="F1891" s="88" t="s">
        <v>5482</v>
      </c>
      <c r="G1891" s="88" t="s">
        <v>156</v>
      </c>
      <c r="H1891" s="98" t="s">
        <v>220</v>
      </c>
      <c r="I1891" s="98" t="s">
        <v>722</v>
      </c>
      <c r="J1891" s="75">
        <f t="shared" si="172"/>
        <v>1</v>
      </c>
      <c r="K1891" s="76" t="s">
        <v>211</v>
      </c>
      <c r="N1891" s="78" t="s">
        <v>17</v>
      </c>
      <c r="Q1891" s="78" t="s">
        <v>2130</v>
      </c>
      <c r="R1891" s="75">
        <f t="shared" si="173"/>
        <v>1</v>
      </c>
      <c r="S1891" s="263" t="s">
        <v>1991</v>
      </c>
      <c r="T1891" s="263" t="s">
        <v>932</v>
      </c>
      <c r="Y1891" s="576">
        <v>0.4773958333333333</v>
      </c>
      <c r="Z1891" s="576">
        <v>0.48972222222222223</v>
      </c>
      <c r="AA1891" s="576">
        <f t="shared" si="174"/>
        <v>1.2326388888888928E-2</v>
      </c>
      <c r="AB1891" s="722"/>
    </row>
    <row r="1892" spans="1:28" x14ac:dyDescent="0.35">
      <c r="A1892" s="81" t="s">
        <v>5347</v>
      </c>
      <c r="C1892" s="118">
        <v>43894</v>
      </c>
      <c r="D1892" s="318">
        <v>43971</v>
      </c>
      <c r="E1892" s="83">
        <v>43934</v>
      </c>
      <c r="F1892" s="88" t="s">
        <v>5484</v>
      </c>
      <c r="G1892" s="88" t="s">
        <v>158</v>
      </c>
      <c r="H1892" s="98" t="s">
        <v>220</v>
      </c>
      <c r="I1892" s="98" t="s">
        <v>722</v>
      </c>
      <c r="J1892" s="75">
        <f t="shared" si="172"/>
        <v>1</v>
      </c>
      <c r="K1892" s="76" t="s">
        <v>211</v>
      </c>
      <c r="N1892" s="78" t="s">
        <v>18</v>
      </c>
      <c r="Q1892" s="78" t="s">
        <v>2056</v>
      </c>
      <c r="R1892" s="75">
        <f t="shared" si="173"/>
        <v>1</v>
      </c>
      <c r="S1892" s="263" t="s">
        <v>1991</v>
      </c>
      <c r="T1892" s="263" t="s">
        <v>933</v>
      </c>
      <c r="Y1892" s="576">
        <v>0.58850694444444451</v>
      </c>
      <c r="Z1892" s="576">
        <v>0.60100694444444447</v>
      </c>
      <c r="AA1892" s="576">
        <f t="shared" si="174"/>
        <v>1.2499999999999956E-2</v>
      </c>
      <c r="AB1892" s="722"/>
    </row>
    <row r="1893" spans="1:28" x14ac:dyDescent="0.35">
      <c r="A1893" s="81" t="s">
        <v>5355</v>
      </c>
      <c r="C1893" s="118">
        <v>43894</v>
      </c>
      <c r="D1893" s="318">
        <v>43971</v>
      </c>
      <c r="E1893" s="83">
        <v>43937</v>
      </c>
      <c r="F1893" s="88" t="s">
        <v>5492</v>
      </c>
      <c r="G1893" s="88" t="s">
        <v>170</v>
      </c>
      <c r="H1893" s="81" t="s">
        <v>275</v>
      </c>
      <c r="I1893" s="98" t="s">
        <v>730</v>
      </c>
      <c r="J1893" s="75">
        <f t="shared" si="172"/>
        <v>1</v>
      </c>
      <c r="K1893" s="76" t="s">
        <v>211</v>
      </c>
      <c r="L1893" s="99" t="s">
        <v>6767</v>
      </c>
      <c r="N1893" s="78" t="s">
        <v>17</v>
      </c>
      <c r="Q1893" s="78" t="s">
        <v>2447</v>
      </c>
      <c r="R1893" s="75">
        <f t="shared" si="173"/>
        <v>1</v>
      </c>
      <c r="S1893" s="263" t="s">
        <v>1991</v>
      </c>
      <c r="T1893" s="263" t="s">
        <v>932</v>
      </c>
      <c r="Y1893" s="576">
        <v>0.78667824074074078</v>
      </c>
      <c r="Z1893" s="576">
        <v>0.80690972222222224</v>
      </c>
      <c r="AA1893" s="576">
        <f t="shared" si="174"/>
        <v>2.0231481481481461E-2</v>
      </c>
      <c r="AB1893" s="722"/>
    </row>
    <row r="1894" spans="1:28" x14ac:dyDescent="0.35">
      <c r="A1894" s="81" t="s">
        <v>6399</v>
      </c>
      <c r="C1894" s="118">
        <v>43895</v>
      </c>
      <c r="D1894" s="318">
        <v>43972</v>
      </c>
      <c r="E1894" s="83">
        <v>43937</v>
      </c>
      <c r="F1894" s="88" t="s">
        <v>6441</v>
      </c>
      <c r="G1894" s="88" t="s">
        <v>154</v>
      </c>
      <c r="H1894" s="98" t="s">
        <v>220</v>
      </c>
      <c r="I1894" s="98" t="s">
        <v>1645</v>
      </c>
      <c r="J1894" s="75">
        <f t="shared" si="172"/>
        <v>1</v>
      </c>
      <c r="K1894" s="76" t="s">
        <v>211</v>
      </c>
      <c r="N1894" s="78" t="s">
        <v>17</v>
      </c>
      <c r="Q1894" s="78" t="s">
        <v>2447</v>
      </c>
      <c r="R1894" s="75">
        <f t="shared" si="173"/>
        <v>1</v>
      </c>
      <c r="S1894" s="263" t="s">
        <v>1991</v>
      </c>
      <c r="T1894" s="263" t="s">
        <v>934</v>
      </c>
      <c r="Y1894" s="576">
        <v>0.5482407407407407</v>
      </c>
      <c r="Z1894" s="576">
        <v>0.56319444444444444</v>
      </c>
      <c r="AA1894" s="576">
        <f t="shared" si="174"/>
        <v>1.4953703703703747E-2</v>
      </c>
      <c r="AB1894" s="722"/>
    </row>
    <row r="1895" spans="1:28" x14ac:dyDescent="0.35">
      <c r="A1895" s="81" t="s">
        <v>6400</v>
      </c>
      <c r="C1895" s="118">
        <v>43895</v>
      </c>
      <c r="D1895" s="318">
        <v>43972</v>
      </c>
      <c r="E1895" s="83">
        <v>43937</v>
      </c>
      <c r="F1895" s="88" t="s">
        <v>6442</v>
      </c>
      <c r="G1895" s="88" t="s">
        <v>417</v>
      </c>
      <c r="H1895" s="98" t="s">
        <v>220</v>
      </c>
      <c r="I1895" s="98" t="s">
        <v>649</v>
      </c>
      <c r="J1895" s="75">
        <f t="shared" si="172"/>
        <v>1</v>
      </c>
      <c r="K1895" s="76" t="s">
        <v>211</v>
      </c>
      <c r="N1895" s="78" t="s">
        <v>18</v>
      </c>
      <c r="Q1895" s="78" t="s">
        <v>2447</v>
      </c>
      <c r="R1895" s="75">
        <f t="shared" si="173"/>
        <v>1</v>
      </c>
      <c r="S1895" s="263" t="s">
        <v>1991</v>
      </c>
      <c r="T1895" s="263" t="s">
        <v>933</v>
      </c>
      <c r="Y1895" s="576">
        <v>0.61172453703703711</v>
      </c>
      <c r="Z1895" s="576">
        <v>0.61699074074074078</v>
      </c>
      <c r="AA1895" s="576">
        <f t="shared" si="174"/>
        <v>5.2662037037036757E-3</v>
      </c>
      <c r="AB1895" s="722"/>
    </row>
    <row r="1896" spans="1:28" x14ac:dyDescent="0.35">
      <c r="A1896" s="81" t="s">
        <v>5357</v>
      </c>
      <c r="C1896" s="118">
        <v>43895</v>
      </c>
      <c r="D1896" s="318">
        <v>43971</v>
      </c>
      <c r="E1896" s="83">
        <v>43934</v>
      </c>
      <c r="F1896" s="88" t="s">
        <v>5494</v>
      </c>
      <c r="G1896" s="88" t="s">
        <v>162</v>
      </c>
      <c r="H1896" s="98" t="s">
        <v>220</v>
      </c>
      <c r="I1896" s="98" t="s">
        <v>722</v>
      </c>
      <c r="J1896" s="75">
        <f t="shared" si="172"/>
        <v>1</v>
      </c>
      <c r="K1896" s="76" t="s">
        <v>211</v>
      </c>
      <c r="N1896" s="78" t="s">
        <v>18</v>
      </c>
      <c r="Q1896" s="78" t="s">
        <v>2056</v>
      </c>
      <c r="R1896" s="75">
        <f t="shared" si="173"/>
        <v>1</v>
      </c>
      <c r="S1896" s="263" t="s">
        <v>1991</v>
      </c>
      <c r="T1896" s="263" t="s">
        <v>934</v>
      </c>
      <c r="Y1896" s="576">
        <v>0.53209490740740739</v>
      </c>
      <c r="Z1896" s="576">
        <v>0.53916666666666668</v>
      </c>
      <c r="AA1896" s="576">
        <f t="shared" si="174"/>
        <v>7.0717592592592915E-3</v>
      </c>
      <c r="AB1896" s="722"/>
    </row>
    <row r="1897" spans="1:28" x14ac:dyDescent="0.35">
      <c r="A1897" s="81" t="s">
        <v>6261</v>
      </c>
      <c r="C1897" s="118">
        <v>43895</v>
      </c>
      <c r="D1897" s="318">
        <v>43971</v>
      </c>
      <c r="E1897" s="83">
        <v>43937</v>
      </c>
      <c r="F1897" s="88" t="s">
        <v>6327</v>
      </c>
      <c r="G1897" s="88" t="s">
        <v>168</v>
      </c>
      <c r="H1897" s="98" t="s">
        <v>220</v>
      </c>
      <c r="I1897" s="98" t="s">
        <v>649</v>
      </c>
      <c r="J1897" s="75">
        <f t="shared" si="172"/>
        <v>1</v>
      </c>
      <c r="K1897" s="76" t="s">
        <v>211</v>
      </c>
      <c r="N1897" s="78" t="s">
        <v>18</v>
      </c>
      <c r="Q1897" s="78" t="s">
        <v>2447</v>
      </c>
      <c r="R1897" s="75">
        <f t="shared" si="173"/>
        <v>1</v>
      </c>
      <c r="S1897" s="263" t="s">
        <v>1991</v>
      </c>
      <c r="T1897" s="263" t="s">
        <v>934</v>
      </c>
      <c r="Y1897" s="576">
        <v>0.4901388888888889</v>
      </c>
      <c r="Z1897" s="576">
        <v>0.49995370370370368</v>
      </c>
      <c r="AA1897" s="576">
        <f t="shared" si="174"/>
        <v>9.8148148148147762E-3</v>
      </c>
      <c r="AB1897" s="722"/>
    </row>
    <row r="1898" spans="1:28" x14ac:dyDescent="0.35">
      <c r="A1898" s="81" t="s">
        <v>5360</v>
      </c>
      <c r="C1898" s="118">
        <v>43895</v>
      </c>
      <c r="D1898" s="318">
        <v>43971</v>
      </c>
      <c r="E1898" s="83">
        <v>43937</v>
      </c>
      <c r="F1898" s="88" t="s">
        <v>5498</v>
      </c>
      <c r="G1898" s="88" t="s">
        <v>154</v>
      </c>
      <c r="H1898" s="98" t="s">
        <v>220</v>
      </c>
      <c r="I1898" s="98" t="s">
        <v>722</v>
      </c>
      <c r="J1898" s="75">
        <f t="shared" si="172"/>
        <v>1</v>
      </c>
      <c r="K1898" s="76" t="s">
        <v>211</v>
      </c>
      <c r="N1898" s="78" t="s">
        <v>18</v>
      </c>
      <c r="Q1898" s="78" t="s">
        <v>2097</v>
      </c>
      <c r="R1898" s="75">
        <f t="shared" si="173"/>
        <v>1</v>
      </c>
      <c r="S1898" s="263" t="s">
        <v>1991</v>
      </c>
      <c r="T1898" s="263" t="s">
        <v>933</v>
      </c>
      <c r="U1898" s="304" t="s">
        <v>5592</v>
      </c>
      <c r="V1898" s="304" t="s">
        <v>6506</v>
      </c>
      <c r="Y1898" s="576">
        <v>0.50829861111111108</v>
      </c>
      <c r="Z1898" s="576">
        <v>0.52284722222222224</v>
      </c>
      <c r="AA1898" s="576">
        <f t="shared" si="174"/>
        <v>1.4548611111111165E-2</v>
      </c>
      <c r="AB1898" s="722"/>
    </row>
    <row r="1899" spans="1:28" x14ac:dyDescent="0.35">
      <c r="A1899" s="81" t="s">
        <v>5661</v>
      </c>
      <c r="C1899" s="118">
        <v>43895</v>
      </c>
      <c r="D1899" s="318">
        <v>43972</v>
      </c>
      <c r="E1899" s="83">
        <v>43937</v>
      </c>
      <c r="F1899" s="88" t="s">
        <v>5812</v>
      </c>
      <c r="G1899" s="88" t="s">
        <v>162</v>
      </c>
      <c r="H1899" s="98" t="s">
        <v>220</v>
      </c>
      <c r="I1899" s="98" t="s">
        <v>722</v>
      </c>
      <c r="J1899" s="75">
        <f t="shared" si="172"/>
        <v>1</v>
      </c>
      <c r="K1899" s="76" t="s">
        <v>211</v>
      </c>
      <c r="N1899" s="78" t="s">
        <v>17</v>
      </c>
      <c r="Q1899" s="78" t="s">
        <v>2163</v>
      </c>
      <c r="R1899" s="75">
        <f t="shared" si="173"/>
        <v>1</v>
      </c>
      <c r="S1899" s="263" t="s">
        <v>1991</v>
      </c>
      <c r="T1899" s="263" t="s">
        <v>933</v>
      </c>
      <c r="Y1899" s="576">
        <v>0.65798611111111105</v>
      </c>
      <c r="Z1899" s="576">
        <v>0.66594907407407411</v>
      </c>
      <c r="AA1899" s="576">
        <f t="shared" si="174"/>
        <v>7.9629629629630605E-3</v>
      </c>
      <c r="AB1899" s="722"/>
    </row>
    <row r="1900" spans="1:28" x14ac:dyDescent="0.35">
      <c r="A1900" s="81" t="s">
        <v>5664</v>
      </c>
      <c r="C1900" s="118">
        <v>43895</v>
      </c>
      <c r="D1900" s="318">
        <v>43972</v>
      </c>
      <c r="E1900" s="83">
        <v>43937</v>
      </c>
      <c r="F1900" s="88" t="s">
        <v>5815</v>
      </c>
      <c r="G1900" s="88" t="s">
        <v>162</v>
      </c>
      <c r="H1900" s="98" t="s">
        <v>220</v>
      </c>
      <c r="I1900" s="98" t="s">
        <v>730</v>
      </c>
      <c r="J1900" s="75">
        <f t="shared" si="172"/>
        <v>1</v>
      </c>
      <c r="K1900" s="76" t="s">
        <v>211</v>
      </c>
      <c r="N1900" s="78" t="s">
        <v>18</v>
      </c>
      <c r="Q1900" s="78" t="s">
        <v>2097</v>
      </c>
      <c r="R1900" s="75">
        <f t="shared" si="173"/>
        <v>1</v>
      </c>
      <c r="S1900" s="263" t="s">
        <v>1991</v>
      </c>
      <c r="T1900" s="263" t="s">
        <v>932</v>
      </c>
      <c r="Y1900" s="576">
        <v>0.69506944444444441</v>
      </c>
      <c r="Z1900" s="576">
        <v>0.71143518518518523</v>
      </c>
      <c r="AA1900" s="576">
        <f t="shared" si="174"/>
        <v>1.636574074074082E-2</v>
      </c>
      <c r="AB1900" s="722"/>
    </row>
    <row r="1901" spans="1:28" x14ac:dyDescent="0.35">
      <c r="A1901" s="81" t="s">
        <v>5665</v>
      </c>
      <c r="C1901" s="118">
        <v>43895</v>
      </c>
      <c r="D1901" s="318">
        <v>43972</v>
      </c>
      <c r="E1901" s="83">
        <v>43938</v>
      </c>
      <c r="F1901" s="88" t="s">
        <v>5816</v>
      </c>
      <c r="G1901" s="88" t="s">
        <v>545</v>
      </c>
      <c r="H1901" s="81" t="s">
        <v>275</v>
      </c>
      <c r="I1901" s="98" t="s">
        <v>649</v>
      </c>
      <c r="J1901" s="75">
        <f t="shared" si="172"/>
        <v>1</v>
      </c>
      <c r="K1901" s="76" t="s">
        <v>211</v>
      </c>
      <c r="N1901" s="78" t="s">
        <v>18</v>
      </c>
      <c r="Q1901" s="78" t="s">
        <v>2130</v>
      </c>
      <c r="R1901" s="75">
        <f t="shared" si="173"/>
        <v>1</v>
      </c>
      <c r="S1901" s="263" t="s">
        <v>1991</v>
      </c>
      <c r="T1901" s="263" t="s">
        <v>933</v>
      </c>
      <c r="Y1901" s="576">
        <v>0.47696759259259264</v>
      </c>
      <c r="Z1901" s="576">
        <v>0.4836226851851852</v>
      </c>
      <c r="AA1901" s="576">
        <f t="shared" si="174"/>
        <v>6.6550925925925597E-3</v>
      </c>
      <c r="AB1901" s="722"/>
    </row>
    <row r="1902" spans="1:28" x14ac:dyDescent="0.35">
      <c r="A1902" s="81" t="s">
        <v>5361</v>
      </c>
      <c r="C1902" s="118">
        <v>43895</v>
      </c>
      <c r="D1902" s="318">
        <v>43971</v>
      </c>
      <c r="E1902" s="83">
        <v>43937</v>
      </c>
      <c r="F1902" s="88" t="s">
        <v>5499</v>
      </c>
      <c r="G1902" s="88" t="s">
        <v>158</v>
      </c>
      <c r="H1902" s="98" t="s">
        <v>220</v>
      </c>
      <c r="I1902" s="98" t="s">
        <v>649</v>
      </c>
      <c r="J1902" s="75">
        <f t="shared" si="172"/>
        <v>1</v>
      </c>
      <c r="K1902" s="76" t="s">
        <v>211</v>
      </c>
      <c r="N1902" s="78" t="s">
        <v>17</v>
      </c>
      <c r="Q1902" s="78" t="s">
        <v>2130</v>
      </c>
      <c r="R1902" s="75">
        <f t="shared" si="173"/>
        <v>1</v>
      </c>
      <c r="S1902" s="263" t="s">
        <v>1991</v>
      </c>
      <c r="T1902" s="263" t="s">
        <v>933</v>
      </c>
      <c r="Y1902" s="576">
        <v>0.47021990740740738</v>
      </c>
      <c r="Z1902" s="576">
        <v>0.47702546296296294</v>
      </c>
      <c r="AA1902" s="576">
        <f t="shared" si="174"/>
        <v>6.8055555555555647E-3</v>
      </c>
      <c r="AB1902" s="722"/>
    </row>
    <row r="1903" spans="1:28" x14ac:dyDescent="0.35">
      <c r="A1903" s="81" t="s">
        <v>5670</v>
      </c>
      <c r="C1903" s="118">
        <v>43895</v>
      </c>
      <c r="D1903" s="318">
        <v>43972</v>
      </c>
      <c r="E1903" s="83">
        <v>43935</v>
      </c>
      <c r="F1903" s="88" t="s">
        <v>5821</v>
      </c>
      <c r="G1903" s="88" t="s">
        <v>149</v>
      </c>
      <c r="H1903" s="98" t="s">
        <v>220</v>
      </c>
      <c r="I1903" s="98" t="s">
        <v>649</v>
      </c>
      <c r="J1903" s="75">
        <f t="shared" si="172"/>
        <v>1</v>
      </c>
      <c r="K1903" s="76" t="s">
        <v>211</v>
      </c>
      <c r="N1903" s="78" t="s">
        <v>18</v>
      </c>
      <c r="Q1903" s="78" t="s">
        <v>2056</v>
      </c>
      <c r="R1903" s="75">
        <f t="shared" si="173"/>
        <v>1</v>
      </c>
      <c r="S1903" s="263" t="s">
        <v>1991</v>
      </c>
      <c r="T1903" s="263" t="s">
        <v>933</v>
      </c>
      <c r="Y1903" s="576">
        <v>0.49026620370370372</v>
      </c>
      <c r="Z1903" s="576">
        <v>0.5018055555555555</v>
      </c>
      <c r="AA1903" s="576">
        <f t="shared" si="174"/>
        <v>1.1539351851851787E-2</v>
      </c>
      <c r="AB1903" s="722"/>
    </row>
    <row r="1904" spans="1:28" x14ac:dyDescent="0.35">
      <c r="A1904" s="81" t="s">
        <v>5676</v>
      </c>
      <c r="C1904" s="118">
        <v>43896</v>
      </c>
      <c r="D1904" s="318">
        <v>43973</v>
      </c>
      <c r="E1904" s="83">
        <v>43935</v>
      </c>
      <c r="F1904" s="88" t="s">
        <v>5827</v>
      </c>
      <c r="G1904" s="88" t="s">
        <v>154</v>
      </c>
      <c r="H1904" s="98" t="s">
        <v>220</v>
      </c>
      <c r="I1904" s="98" t="s">
        <v>722</v>
      </c>
      <c r="J1904" s="75">
        <f t="shared" si="172"/>
        <v>1</v>
      </c>
      <c r="K1904" s="76" t="s">
        <v>211</v>
      </c>
      <c r="N1904" s="78" t="s">
        <v>17</v>
      </c>
      <c r="Q1904" s="78" t="s">
        <v>2056</v>
      </c>
      <c r="R1904" s="75">
        <f t="shared" si="173"/>
        <v>1</v>
      </c>
      <c r="S1904" s="263" t="s">
        <v>1991</v>
      </c>
      <c r="T1904" s="263" t="s">
        <v>933</v>
      </c>
      <c r="Y1904" s="576">
        <v>0.6595833333333333</v>
      </c>
      <c r="Z1904" s="576">
        <v>0.67040509259259251</v>
      </c>
      <c r="AA1904" s="576">
        <f t="shared" si="174"/>
        <v>1.0821759259259212E-2</v>
      </c>
      <c r="AB1904" s="722"/>
    </row>
    <row r="1905" spans="1:28" x14ac:dyDescent="0.35">
      <c r="A1905" s="81" t="s">
        <v>5680</v>
      </c>
      <c r="C1905" s="118">
        <v>43896</v>
      </c>
      <c r="D1905" s="318">
        <v>43972</v>
      </c>
      <c r="E1905" s="83">
        <v>43935</v>
      </c>
      <c r="F1905" s="88" t="s">
        <v>5831</v>
      </c>
      <c r="G1905" s="88" t="s">
        <v>154</v>
      </c>
      <c r="H1905" s="98" t="s">
        <v>220</v>
      </c>
      <c r="I1905" s="98" t="s">
        <v>722</v>
      </c>
      <c r="J1905" s="75">
        <f t="shared" si="172"/>
        <v>1</v>
      </c>
      <c r="K1905" s="76" t="s">
        <v>211</v>
      </c>
      <c r="N1905" s="78" t="s">
        <v>17</v>
      </c>
      <c r="Q1905" s="78" t="s">
        <v>2056</v>
      </c>
      <c r="R1905" s="75">
        <f t="shared" si="173"/>
        <v>1</v>
      </c>
      <c r="S1905" s="263" t="s">
        <v>1991</v>
      </c>
      <c r="T1905" s="263" t="s">
        <v>934</v>
      </c>
      <c r="Y1905" s="576">
        <v>0.61805555555555558</v>
      </c>
      <c r="Z1905" s="576">
        <v>0.64055555555555554</v>
      </c>
      <c r="AA1905" s="576">
        <f t="shared" si="174"/>
        <v>2.2499999999999964E-2</v>
      </c>
      <c r="AB1905" s="722"/>
    </row>
    <row r="1906" spans="1:28" x14ac:dyDescent="0.35">
      <c r="A1906" s="81" t="s">
        <v>5682</v>
      </c>
      <c r="C1906" s="118">
        <v>43896</v>
      </c>
      <c r="D1906" s="318">
        <v>43973</v>
      </c>
      <c r="E1906" s="83">
        <v>43941</v>
      </c>
      <c r="F1906" s="88" t="s">
        <v>5833</v>
      </c>
      <c r="G1906" s="88" t="s">
        <v>162</v>
      </c>
      <c r="H1906" s="98" t="s">
        <v>220</v>
      </c>
      <c r="I1906" s="98" t="s">
        <v>649</v>
      </c>
      <c r="J1906" s="75">
        <f t="shared" si="172"/>
        <v>1</v>
      </c>
      <c r="K1906" s="76" t="s">
        <v>211</v>
      </c>
      <c r="N1906" s="78" t="s">
        <v>18</v>
      </c>
      <c r="Q1906" s="78" t="s">
        <v>2163</v>
      </c>
      <c r="R1906" s="75">
        <f t="shared" si="173"/>
        <v>1</v>
      </c>
      <c r="S1906" s="263" t="s">
        <v>1991</v>
      </c>
      <c r="T1906" s="263" t="s">
        <v>932</v>
      </c>
      <c r="Y1906" s="576">
        <v>0.91197916666666667</v>
      </c>
      <c r="Z1906" s="576">
        <v>0.91690972222222211</v>
      </c>
      <c r="AA1906" s="576">
        <f t="shared" si="174"/>
        <v>4.9305555555554381E-3</v>
      </c>
      <c r="AB1906" s="722"/>
    </row>
    <row r="1907" spans="1:28" x14ac:dyDescent="0.35">
      <c r="A1907" s="81" t="s">
        <v>5683</v>
      </c>
      <c r="C1907" s="118">
        <v>43896</v>
      </c>
      <c r="D1907" s="318">
        <v>43972</v>
      </c>
      <c r="E1907" s="83">
        <v>43937</v>
      </c>
      <c r="F1907" s="88" t="s">
        <v>5834</v>
      </c>
      <c r="G1907" s="88" t="s">
        <v>158</v>
      </c>
      <c r="H1907" s="98" t="s">
        <v>220</v>
      </c>
      <c r="I1907" s="98" t="s">
        <v>722</v>
      </c>
      <c r="J1907" s="75">
        <f t="shared" si="172"/>
        <v>1</v>
      </c>
      <c r="K1907" s="76" t="s">
        <v>211</v>
      </c>
      <c r="N1907" s="78" t="s">
        <v>18</v>
      </c>
      <c r="Q1907" s="78" t="s">
        <v>2163</v>
      </c>
      <c r="R1907" s="75">
        <f t="shared" si="173"/>
        <v>1</v>
      </c>
      <c r="S1907" s="263" t="s">
        <v>1991</v>
      </c>
      <c r="T1907" s="263" t="s">
        <v>934</v>
      </c>
      <c r="Y1907" s="576">
        <v>0.6909143518518519</v>
      </c>
      <c r="Z1907" s="576">
        <v>0.69434027777777774</v>
      </c>
      <c r="AA1907" s="576">
        <f t="shared" si="174"/>
        <v>3.4259259259258323E-3</v>
      </c>
      <c r="AB1907" s="722"/>
    </row>
    <row r="1908" spans="1:28" x14ac:dyDescent="0.35">
      <c r="A1908" s="98" t="s">
        <v>5684</v>
      </c>
      <c r="C1908" s="118">
        <v>43896</v>
      </c>
      <c r="D1908" s="318">
        <v>43972</v>
      </c>
      <c r="E1908" s="83">
        <v>43938</v>
      </c>
      <c r="F1908" s="88" t="s">
        <v>5835</v>
      </c>
      <c r="G1908" s="88" t="s">
        <v>154</v>
      </c>
      <c r="H1908" s="98" t="s">
        <v>220</v>
      </c>
      <c r="I1908" s="98" t="s">
        <v>730</v>
      </c>
      <c r="J1908" s="75">
        <f t="shared" si="172"/>
        <v>1</v>
      </c>
      <c r="K1908" s="76" t="s">
        <v>211</v>
      </c>
      <c r="N1908" s="78" t="s">
        <v>17</v>
      </c>
      <c r="Q1908" s="78" t="s">
        <v>2097</v>
      </c>
      <c r="R1908" s="75">
        <f t="shared" si="173"/>
        <v>1</v>
      </c>
      <c r="S1908" s="263" t="s">
        <v>1991</v>
      </c>
      <c r="T1908" s="263" t="s">
        <v>933</v>
      </c>
      <c r="U1908" s="304" t="s">
        <v>5592</v>
      </c>
      <c r="V1908" s="304" t="s">
        <v>6768</v>
      </c>
      <c r="X1908" s="304" t="s">
        <v>6797</v>
      </c>
      <c r="Y1908" s="576">
        <v>0.43653935185185189</v>
      </c>
      <c r="Z1908" s="576">
        <v>0.45307870370370368</v>
      </c>
      <c r="AA1908" s="576">
        <f t="shared" si="174"/>
        <v>1.6539351851851791E-2</v>
      </c>
      <c r="AB1908" s="722"/>
    </row>
    <row r="1909" spans="1:28" x14ac:dyDescent="0.35">
      <c r="A1909" s="81" t="s">
        <v>5685</v>
      </c>
      <c r="C1909" s="118">
        <v>43896</v>
      </c>
      <c r="D1909" s="318">
        <v>43972</v>
      </c>
      <c r="E1909" s="83">
        <v>43938</v>
      </c>
      <c r="F1909" s="88" t="s">
        <v>5836</v>
      </c>
      <c r="G1909" s="88" t="s">
        <v>152</v>
      </c>
      <c r="H1909" s="98" t="s">
        <v>220</v>
      </c>
      <c r="I1909" s="98" t="s">
        <v>722</v>
      </c>
      <c r="J1909" s="75">
        <f t="shared" si="172"/>
        <v>1</v>
      </c>
      <c r="K1909" s="76" t="s">
        <v>211</v>
      </c>
      <c r="N1909" s="78" t="s">
        <v>17</v>
      </c>
      <c r="Q1909" s="78" t="s">
        <v>2097</v>
      </c>
      <c r="R1909" s="75">
        <f t="shared" si="173"/>
        <v>1</v>
      </c>
      <c r="S1909" s="263" t="s">
        <v>1991</v>
      </c>
      <c r="T1909" s="263" t="s">
        <v>934</v>
      </c>
      <c r="Y1909" s="576">
        <v>0.49170138888888887</v>
      </c>
      <c r="Z1909" s="576">
        <v>0.50259259259259259</v>
      </c>
      <c r="AA1909" s="576">
        <f t="shared" si="174"/>
        <v>1.0891203703703722E-2</v>
      </c>
      <c r="AB1909" s="722"/>
    </row>
    <row r="1910" spans="1:28" x14ac:dyDescent="0.35">
      <c r="A1910" s="81" t="s">
        <v>5686</v>
      </c>
      <c r="C1910" s="118">
        <v>43896</v>
      </c>
      <c r="D1910" s="318">
        <v>43972</v>
      </c>
      <c r="E1910" s="83">
        <v>43938</v>
      </c>
      <c r="F1910" s="88" t="s">
        <v>5837</v>
      </c>
      <c r="G1910" s="88" t="s">
        <v>162</v>
      </c>
      <c r="H1910" s="98" t="s">
        <v>220</v>
      </c>
      <c r="I1910" s="98" t="s">
        <v>6778</v>
      </c>
      <c r="J1910" s="75">
        <f t="shared" si="172"/>
        <v>1</v>
      </c>
      <c r="K1910" s="76" t="s">
        <v>211</v>
      </c>
      <c r="N1910" s="78" t="s">
        <v>17</v>
      </c>
      <c r="Q1910" s="78" t="s">
        <v>2130</v>
      </c>
      <c r="R1910" s="75">
        <f t="shared" si="173"/>
        <v>1</v>
      </c>
      <c r="S1910" s="263" t="s">
        <v>1991</v>
      </c>
      <c r="T1910" s="263" t="s">
        <v>932</v>
      </c>
      <c r="Y1910" s="576">
        <v>0.84125000000000005</v>
      </c>
      <c r="Z1910" s="576">
        <v>0.85059027777777774</v>
      </c>
      <c r="AA1910" s="576">
        <f t="shared" si="174"/>
        <v>9.3402777777776835E-3</v>
      </c>
      <c r="AB1910" s="722"/>
    </row>
    <row r="1911" spans="1:28" x14ac:dyDescent="0.35">
      <c r="A1911" s="81" t="s">
        <v>5687</v>
      </c>
      <c r="C1911" s="118">
        <v>43896</v>
      </c>
      <c r="D1911" s="318">
        <v>43973</v>
      </c>
      <c r="E1911" s="83">
        <v>43938</v>
      </c>
      <c r="F1911" s="88" t="s">
        <v>5838</v>
      </c>
      <c r="G1911" s="88" t="s">
        <v>149</v>
      </c>
      <c r="H1911" s="98" t="s">
        <v>220</v>
      </c>
      <c r="I1911" s="98" t="s">
        <v>722</v>
      </c>
      <c r="J1911" s="75">
        <f t="shared" si="172"/>
        <v>1</v>
      </c>
      <c r="K1911" s="76" t="s">
        <v>211</v>
      </c>
      <c r="N1911" s="78" t="s">
        <v>18</v>
      </c>
      <c r="Q1911" s="78" t="s">
        <v>2097</v>
      </c>
      <c r="R1911" s="75">
        <f t="shared" si="173"/>
        <v>1</v>
      </c>
      <c r="S1911" s="263" t="s">
        <v>1991</v>
      </c>
      <c r="T1911" s="263" t="s">
        <v>933</v>
      </c>
      <c r="U1911" s="304" t="s">
        <v>5592</v>
      </c>
      <c r="V1911" s="304" t="s">
        <v>6770</v>
      </c>
      <c r="Y1911" s="576">
        <v>0.66442129629629632</v>
      </c>
      <c r="Z1911" s="576">
        <v>0.67836805555555557</v>
      </c>
      <c r="AA1911" s="576">
        <f t="shared" si="174"/>
        <v>1.3946759259259256E-2</v>
      </c>
      <c r="AB1911" s="722"/>
    </row>
    <row r="1912" spans="1:28" x14ac:dyDescent="0.35">
      <c r="A1912" s="81" t="s">
        <v>5688</v>
      </c>
      <c r="C1912" s="118">
        <v>43896</v>
      </c>
      <c r="D1912" s="318">
        <v>43973</v>
      </c>
      <c r="E1912" s="83">
        <v>43937</v>
      </c>
      <c r="F1912" s="88" t="s">
        <v>5839</v>
      </c>
      <c r="G1912" s="88" t="s">
        <v>152</v>
      </c>
      <c r="H1912" s="98" t="s">
        <v>220</v>
      </c>
      <c r="I1912" s="98" t="s">
        <v>649</v>
      </c>
      <c r="J1912" s="75">
        <f t="shared" si="172"/>
        <v>1</v>
      </c>
      <c r="K1912" s="76" t="s">
        <v>211</v>
      </c>
      <c r="N1912" s="78" t="s">
        <v>18</v>
      </c>
      <c r="Q1912" s="78" t="s">
        <v>2056</v>
      </c>
      <c r="R1912" s="75">
        <f t="shared" si="173"/>
        <v>1</v>
      </c>
      <c r="S1912" s="263" t="s">
        <v>1991</v>
      </c>
      <c r="T1912" s="263" t="s">
        <v>932</v>
      </c>
      <c r="Y1912" s="576">
        <v>0.57225694444444442</v>
      </c>
      <c r="Z1912" s="576">
        <v>0.57840277777777771</v>
      </c>
      <c r="AA1912" s="576">
        <f t="shared" si="174"/>
        <v>6.1458333333332948E-3</v>
      </c>
      <c r="AB1912" s="722"/>
    </row>
    <row r="1913" spans="1:28" x14ac:dyDescent="0.35">
      <c r="A1913" s="81" t="s">
        <v>6401</v>
      </c>
      <c r="C1913" s="118">
        <v>43896</v>
      </c>
      <c r="D1913" s="318">
        <v>43973</v>
      </c>
      <c r="E1913" s="83">
        <v>43941</v>
      </c>
      <c r="F1913" s="88" t="s">
        <v>6443</v>
      </c>
      <c r="G1913" s="88" t="s">
        <v>152</v>
      </c>
      <c r="H1913" s="98" t="s">
        <v>220</v>
      </c>
      <c r="I1913" s="98" t="s">
        <v>722</v>
      </c>
      <c r="J1913" s="75">
        <f t="shared" si="172"/>
        <v>1</v>
      </c>
      <c r="K1913" s="76" t="s">
        <v>211</v>
      </c>
      <c r="N1913" s="78" t="s">
        <v>18</v>
      </c>
      <c r="Q1913" s="78" t="s">
        <v>2163</v>
      </c>
      <c r="R1913" s="75">
        <f t="shared" si="173"/>
        <v>1</v>
      </c>
      <c r="S1913" s="263" t="s">
        <v>1991</v>
      </c>
      <c r="T1913" s="263" t="s">
        <v>933</v>
      </c>
      <c r="Y1913" s="576">
        <v>0.89422453703703697</v>
      </c>
      <c r="Z1913" s="576">
        <v>0.90967592592592583</v>
      </c>
      <c r="AA1913" s="576">
        <f t="shared" si="174"/>
        <v>1.5451388888888862E-2</v>
      </c>
      <c r="AB1913" s="722"/>
    </row>
    <row r="1914" spans="1:28" x14ac:dyDescent="0.35">
      <c r="A1914" s="81" t="s">
        <v>5696</v>
      </c>
      <c r="C1914" s="118">
        <v>43896</v>
      </c>
      <c r="D1914" s="318">
        <v>43972</v>
      </c>
      <c r="E1914" s="83">
        <v>43938</v>
      </c>
      <c r="F1914" s="88" t="s">
        <v>5847</v>
      </c>
      <c r="G1914" s="88" t="s">
        <v>154</v>
      </c>
      <c r="H1914" s="98" t="s">
        <v>220</v>
      </c>
      <c r="I1914" s="98" t="s">
        <v>722</v>
      </c>
      <c r="J1914" s="75">
        <f t="shared" si="172"/>
        <v>1</v>
      </c>
      <c r="K1914" s="76" t="s">
        <v>211</v>
      </c>
      <c r="N1914" s="78" t="s">
        <v>17</v>
      </c>
      <c r="Q1914" s="78" t="s">
        <v>2130</v>
      </c>
      <c r="R1914" s="75">
        <f t="shared" si="173"/>
        <v>1</v>
      </c>
      <c r="S1914" s="263" t="s">
        <v>1991</v>
      </c>
      <c r="T1914" s="263" t="s">
        <v>934</v>
      </c>
      <c r="Y1914" s="576">
        <v>0.8556597222222222</v>
      </c>
      <c r="Z1914" s="576">
        <v>0.86936342592592597</v>
      </c>
      <c r="AA1914" s="576">
        <f t="shared" si="174"/>
        <v>1.3703703703703773E-2</v>
      </c>
      <c r="AB1914" s="722"/>
    </row>
    <row r="1915" spans="1:28" x14ac:dyDescent="0.35">
      <c r="A1915" s="81" t="s">
        <v>5697</v>
      </c>
      <c r="C1915" s="118">
        <v>43900</v>
      </c>
      <c r="D1915" s="318">
        <v>43973</v>
      </c>
      <c r="E1915" s="83">
        <v>43941</v>
      </c>
      <c r="F1915" s="88" t="s">
        <v>5848</v>
      </c>
      <c r="G1915" s="88" t="s">
        <v>152</v>
      </c>
      <c r="H1915" s="98" t="s">
        <v>220</v>
      </c>
      <c r="I1915" s="98" t="s">
        <v>722</v>
      </c>
      <c r="J1915" s="75">
        <f t="shared" si="172"/>
        <v>1</v>
      </c>
      <c r="K1915" s="76" t="s">
        <v>211</v>
      </c>
      <c r="N1915" s="78" t="s">
        <v>17</v>
      </c>
      <c r="Q1915" s="78" t="s">
        <v>2130</v>
      </c>
      <c r="R1915" s="75">
        <f t="shared" si="173"/>
        <v>1</v>
      </c>
      <c r="S1915" s="263" t="s">
        <v>1991</v>
      </c>
      <c r="T1915" s="263" t="s">
        <v>932</v>
      </c>
      <c r="Y1915" s="576">
        <v>0.6771759259259259</v>
      </c>
      <c r="Z1915" s="576">
        <v>0.68520833333333331</v>
      </c>
      <c r="AA1915" s="576">
        <f t="shared" si="174"/>
        <v>8.0324074074074048E-3</v>
      </c>
      <c r="AB1915" s="722"/>
    </row>
    <row r="1916" spans="1:28" x14ac:dyDescent="0.35">
      <c r="A1916" s="81" t="s">
        <v>5698</v>
      </c>
      <c r="C1916" s="118">
        <v>43896</v>
      </c>
      <c r="D1916" s="318">
        <v>43973</v>
      </c>
      <c r="E1916" s="83">
        <v>43941</v>
      </c>
      <c r="F1916" s="88" t="s">
        <v>5849</v>
      </c>
      <c r="G1916" s="88" t="s">
        <v>170</v>
      </c>
      <c r="H1916" s="98" t="s">
        <v>220</v>
      </c>
      <c r="I1916" s="98" t="s">
        <v>629</v>
      </c>
      <c r="J1916" s="75">
        <f t="shared" si="172"/>
        <v>1</v>
      </c>
      <c r="K1916" s="76" t="s">
        <v>211</v>
      </c>
      <c r="N1916" s="78" t="s">
        <v>19</v>
      </c>
      <c r="Q1916" s="78" t="s">
        <v>2130</v>
      </c>
      <c r="R1916" s="75">
        <f t="shared" si="173"/>
        <v>1</v>
      </c>
      <c r="S1916" s="263" t="s">
        <v>1991</v>
      </c>
      <c r="T1916" s="263" t="s">
        <v>933</v>
      </c>
      <c r="Y1916" s="576">
        <v>0.38061342592592595</v>
      </c>
      <c r="Z1916" s="576">
        <v>0.39856481481481482</v>
      </c>
      <c r="AA1916" s="576">
        <f t="shared" si="174"/>
        <v>1.7951388888888864E-2</v>
      </c>
      <c r="AB1916" s="722"/>
    </row>
    <row r="1917" spans="1:28" x14ac:dyDescent="0.35">
      <c r="A1917" s="81" t="s">
        <v>5709</v>
      </c>
      <c r="C1917" s="118">
        <v>43900</v>
      </c>
      <c r="D1917" s="318">
        <v>43973</v>
      </c>
      <c r="E1917" s="83">
        <v>43938</v>
      </c>
      <c r="F1917" s="88" t="s">
        <v>5860</v>
      </c>
      <c r="G1917" s="88" t="s">
        <v>158</v>
      </c>
      <c r="H1917" s="98" t="s">
        <v>220</v>
      </c>
      <c r="I1917" s="98" t="s">
        <v>3260</v>
      </c>
      <c r="J1917" s="75">
        <f t="shared" si="172"/>
        <v>1</v>
      </c>
      <c r="K1917" s="76" t="s">
        <v>211</v>
      </c>
      <c r="N1917" s="78" t="s">
        <v>19</v>
      </c>
      <c r="Q1917" s="78" t="s">
        <v>2447</v>
      </c>
      <c r="R1917" s="75">
        <f t="shared" si="173"/>
        <v>1</v>
      </c>
      <c r="S1917" s="263" t="s">
        <v>1991</v>
      </c>
      <c r="T1917" s="263" t="s">
        <v>932</v>
      </c>
      <c r="Y1917" s="576">
        <v>0.46690972222222221</v>
      </c>
      <c r="Z1917" s="576">
        <v>0.4762615740740741</v>
      </c>
      <c r="AA1917" s="576">
        <f t="shared" si="174"/>
        <v>9.3518518518518889E-3</v>
      </c>
      <c r="AB1917" s="722"/>
    </row>
    <row r="1918" spans="1:28" x14ac:dyDescent="0.35">
      <c r="A1918" s="81" t="s">
        <v>5714</v>
      </c>
      <c r="C1918" s="118">
        <v>43900</v>
      </c>
      <c r="D1918" s="318">
        <v>43973</v>
      </c>
      <c r="E1918" s="83">
        <v>43938</v>
      </c>
      <c r="F1918" s="88" t="s">
        <v>5865</v>
      </c>
      <c r="G1918" s="88" t="s">
        <v>152</v>
      </c>
      <c r="H1918" s="81" t="s">
        <v>275</v>
      </c>
      <c r="I1918" s="98" t="s">
        <v>664</v>
      </c>
      <c r="J1918" s="75">
        <f t="shared" si="172"/>
        <v>1</v>
      </c>
      <c r="K1918" s="76" t="s">
        <v>211</v>
      </c>
      <c r="L1918" s="99" t="s">
        <v>6769</v>
      </c>
      <c r="N1918" s="78" t="s">
        <v>18</v>
      </c>
      <c r="Q1918" s="78" t="s">
        <v>2447</v>
      </c>
      <c r="R1918" s="75">
        <f t="shared" si="173"/>
        <v>1</v>
      </c>
      <c r="S1918" s="263" t="s">
        <v>1991</v>
      </c>
      <c r="T1918" s="263" t="s">
        <v>932</v>
      </c>
      <c r="Y1918" s="576">
        <v>0.55045138888888889</v>
      </c>
      <c r="Z1918" s="576">
        <v>0.58019675925925929</v>
      </c>
      <c r="AA1918" s="576">
        <f t="shared" si="174"/>
        <v>2.9745370370370394E-2</v>
      </c>
      <c r="AB1918" s="722"/>
    </row>
    <row r="1919" spans="1:28" x14ac:dyDescent="0.35">
      <c r="A1919" s="81" t="s">
        <v>5717</v>
      </c>
      <c r="C1919" s="118">
        <v>43900</v>
      </c>
      <c r="D1919" s="318">
        <v>43973</v>
      </c>
      <c r="E1919" s="83">
        <v>43938</v>
      </c>
      <c r="F1919" s="88" t="s">
        <v>5868</v>
      </c>
      <c r="G1919" s="88" t="s">
        <v>1692</v>
      </c>
      <c r="H1919" s="98" t="s">
        <v>220</v>
      </c>
      <c r="I1919" s="98" t="s">
        <v>649</v>
      </c>
      <c r="J1919" s="75">
        <f t="shared" si="172"/>
        <v>1</v>
      </c>
      <c r="K1919" s="76" t="s">
        <v>211</v>
      </c>
      <c r="N1919" s="78" t="s">
        <v>17</v>
      </c>
      <c r="Q1919" s="78" t="s">
        <v>2097</v>
      </c>
      <c r="R1919" s="75">
        <f t="shared" si="173"/>
        <v>1</v>
      </c>
      <c r="S1919" s="263" t="s">
        <v>1991</v>
      </c>
      <c r="T1919" s="263" t="s">
        <v>932</v>
      </c>
      <c r="Y1919" s="576">
        <v>0.6791666666666667</v>
      </c>
      <c r="Z1919" s="576">
        <v>0.69346064814814812</v>
      </c>
      <c r="AA1919" s="576">
        <f t="shared" si="174"/>
        <v>1.4293981481481421E-2</v>
      </c>
      <c r="AB1919" s="722"/>
    </row>
    <row r="1920" spans="1:28" x14ac:dyDescent="0.35">
      <c r="A1920" s="81" t="s">
        <v>5720</v>
      </c>
      <c r="C1920" s="118">
        <v>43900</v>
      </c>
      <c r="D1920" s="318">
        <v>43973</v>
      </c>
      <c r="E1920" s="83">
        <v>43935</v>
      </c>
      <c r="F1920" s="88" t="s">
        <v>4914</v>
      </c>
      <c r="G1920" s="88" t="s">
        <v>158</v>
      </c>
      <c r="H1920" s="98" t="s">
        <v>220</v>
      </c>
      <c r="I1920" s="98" t="s">
        <v>722</v>
      </c>
      <c r="J1920" s="75">
        <f t="shared" si="172"/>
        <v>1</v>
      </c>
      <c r="K1920" s="76" t="s">
        <v>211</v>
      </c>
      <c r="N1920" s="78" t="s">
        <v>18</v>
      </c>
      <c r="Q1920" s="78" t="s">
        <v>2056</v>
      </c>
      <c r="R1920" s="75">
        <f t="shared" si="173"/>
        <v>1</v>
      </c>
      <c r="S1920" s="263" t="s">
        <v>1991</v>
      </c>
      <c r="T1920" s="263" t="s">
        <v>934</v>
      </c>
      <c r="X1920" s="304" t="s">
        <v>6834</v>
      </c>
      <c r="Y1920" s="576">
        <v>0.64649305555555558</v>
      </c>
      <c r="Z1920" s="576">
        <v>0.65910879629629626</v>
      </c>
      <c r="AA1920" s="576">
        <f t="shared" si="174"/>
        <v>1.2615740740740677E-2</v>
      </c>
      <c r="AB1920" s="722"/>
    </row>
    <row r="1921" spans="1:28" x14ac:dyDescent="0.35">
      <c r="A1921" s="81" t="s">
        <v>6266</v>
      </c>
      <c r="C1921" s="118">
        <v>43907</v>
      </c>
      <c r="D1921" s="318">
        <v>43969</v>
      </c>
      <c r="E1921" s="83">
        <v>43937</v>
      </c>
      <c r="F1921" s="88" t="s">
        <v>6332</v>
      </c>
      <c r="G1921" s="88" t="s">
        <v>170</v>
      </c>
      <c r="H1921" s="98" t="s">
        <v>220</v>
      </c>
      <c r="I1921" s="98" t="s">
        <v>6513</v>
      </c>
      <c r="J1921" s="75">
        <f t="shared" si="172"/>
        <v>1</v>
      </c>
      <c r="K1921" s="76" t="s">
        <v>211</v>
      </c>
      <c r="L1921" s="99" t="s">
        <v>6514</v>
      </c>
      <c r="N1921" s="78" t="s">
        <v>19</v>
      </c>
      <c r="Q1921" s="78" t="s">
        <v>2447</v>
      </c>
      <c r="R1921" s="75">
        <f t="shared" si="173"/>
        <v>1</v>
      </c>
      <c r="S1921" s="263" t="s">
        <v>1991</v>
      </c>
      <c r="T1921" s="263" t="s">
        <v>933</v>
      </c>
      <c r="Y1921" s="576">
        <v>0.74260416666666673</v>
      </c>
      <c r="Z1921" s="576">
        <v>0.78579861111111116</v>
      </c>
      <c r="AA1921" s="576">
        <f t="shared" si="174"/>
        <v>4.3194444444444424E-2</v>
      </c>
      <c r="AB1921" s="722"/>
    </row>
    <row r="1922" spans="1:28" x14ac:dyDescent="0.35">
      <c r="A1922" s="98" t="s">
        <v>6267</v>
      </c>
      <c r="C1922" s="118">
        <v>43907</v>
      </c>
      <c r="D1922" s="318">
        <v>43969</v>
      </c>
      <c r="E1922" s="83">
        <v>43934</v>
      </c>
      <c r="F1922" s="88" t="s">
        <v>6333</v>
      </c>
      <c r="G1922" s="88" t="s">
        <v>154</v>
      </c>
      <c r="H1922" s="98" t="s">
        <v>220</v>
      </c>
      <c r="I1922" s="98" t="s">
        <v>3554</v>
      </c>
      <c r="J1922" s="75">
        <f t="shared" ref="J1922:J1947" si="175">IF(OR(K1922="Документы готовы",K1922="Запрос в ФО",K1922="ЭЗ",K1922="РЕШ",K1922="РЕШ шаблон"),0.1,IF(OR(K1922="ЭЗ согласование",K1922="РЕШ согласование"),0.3,IF(OR(K1922="ЭЗ согласовано",K1922="РЕШ согласовано",K1922="РЕШ подписано"),0.6,IF(OR(K1922="ЭЗ ПР согласование",K1922="РЕШ УВ согласование"),0.9,IF(OR(K1922="ЭЗ ПР DONE",K1922="РЕШ УВ DONE"),1,0)))))</f>
        <v>1</v>
      </c>
      <c r="K1922" s="76" t="s">
        <v>211</v>
      </c>
      <c r="N1922" s="78" t="s">
        <v>17</v>
      </c>
      <c r="Q1922" s="78" t="s">
        <v>2163</v>
      </c>
      <c r="R1922" s="75">
        <f t="shared" ref="R1922:R1947" si="176">IF(S1922="В работе",0.3,IF(S1922="Отписано",0.6,IF(S1922="На доработку",0.9,IF(S1922="Согласовано",1,0))))</f>
        <v>1</v>
      </c>
      <c r="S1922" s="263" t="s">
        <v>1991</v>
      </c>
      <c r="T1922" s="263" t="s">
        <v>932</v>
      </c>
      <c r="Y1922" s="576">
        <v>0.57148148148148148</v>
      </c>
      <c r="Z1922" s="576">
        <v>0.58559027777777783</v>
      </c>
      <c r="AA1922" s="576">
        <f t="shared" si="174"/>
        <v>1.4108796296296355E-2</v>
      </c>
      <c r="AB1922" s="722"/>
    </row>
    <row r="1923" spans="1:28" x14ac:dyDescent="0.35">
      <c r="A1923" s="81" t="s">
        <v>6269</v>
      </c>
      <c r="C1923" s="118">
        <v>43907</v>
      </c>
      <c r="D1923" s="318">
        <v>43969</v>
      </c>
      <c r="E1923" s="83">
        <v>43934</v>
      </c>
      <c r="F1923" s="88" t="s">
        <v>6335</v>
      </c>
      <c r="G1923" s="88" t="s">
        <v>154</v>
      </c>
      <c r="H1923" s="98" t="s">
        <v>220</v>
      </c>
      <c r="I1923" s="98" t="s">
        <v>2516</v>
      </c>
      <c r="J1923" s="75">
        <f t="shared" si="175"/>
        <v>1</v>
      </c>
      <c r="K1923" s="76" t="s">
        <v>211</v>
      </c>
      <c r="N1923" s="78" t="s">
        <v>17</v>
      </c>
      <c r="Q1923" s="78" t="s">
        <v>2130</v>
      </c>
      <c r="R1923" s="75">
        <f t="shared" si="176"/>
        <v>1</v>
      </c>
      <c r="S1923" s="263" t="s">
        <v>1991</v>
      </c>
      <c r="T1923" s="263" t="s">
        <v>932</v>
      </c>
      <c r="U1923" s="304" t="s">
        <v>5592</v>
      </c>
      <c r="V1923" s="304" t="s">
        <v>6484</v>
      </c>
      <c r="X1923" s="304" t="s">
        <v>6835</v>
      </c>
      <c r="Y1923" s="576">
        <v>0.44853009259259258</v>
      </c>
      <c r="Z1923" s="576">
        <v>0.47321759259259261</v>
      </c>
      <c r="AA1923" s="576">
        <f t="shared" si="174"/>
        <v>2.4687500000000029E-2</v>
      </c>
      <c r="AB1923" s="722"/>
    </row>
    <row r="1924" spans="1:28" x14ac:dyDescent="0.35">
      <c r="A1924" s="81" t="s">
        <v>6274</v>
      </c>
      <c r="C1924" s="118">
        <v>43907</v>
      </c>
      <c r="D1924" s="318">
        <v>43969</v>
      </c>
      <c r="E1924" s="83">
        <v>43938</v>
      </c>
      <c r="F1924" s="88" t="s">
        <v>6340</v>
      </c>
      <c r="G1924" s="88" t="s">
        <v>160</v>
      </c>
      <c r="H1924" s="98" t="s">
        <v>220</v>
      </c>
      <c r="I1924" s="98" t="s">
        <v>722</v>
      </c>
      <c r="J1924" s="75">
        <f t="shared" si="175"/>
        <v>1</v>
      </c>
      <c r="K1924" s="76" t="s">
        <v>211</v>
      </c>
      <c r="N1924" s="78" t="s">
        <v>18</v>
      </c>
      <c r="Q1924" s="78" t="s">
        <v>2163</v>
      </c>
      <c r="R1924" s="75">
        <f t="shared" si="176"/>
        <v>1</v>
      </c>
      <c r="S1924" s="263" t="s">
        <v>1991</v>
      </c>
      <c r="T1924" s="263" t="s">
        <v>932</v>
      </c>
      <c r="Y1924" s="576">
        <v>0.83332175925925922</v>
      </c>
      <c r="Z1924" s="576">
        <v>0.84057870370370369</v>
      </c>
      <c r="AA1924" s="576">
        <f t="shared" si="174"/>
        <v>7.2569444444444686E-3</v>
      </c>
      <c r="AB1924" s="722"/>
    </row>
    <row r="1925" spans="1:28" x14ac:dyDescent="0.35">
      <c r="A1925" s="81" t="s">
        <v>6281</v>
      </c>
      <c r="C1925" s="118">
        <v>43908</v>
      </c>
      <c r="D1925" s="318">
        <v>43970</v>
      </c>
      <c r="E1925" s="83">
        <v>43938</v>
      </c>
      <c r="F1925" s="88" t="s">
        <v>6346</v>
      </c>
      <c r="G1925" s="88" t="s">
        <v>154</v>
      </c>
      <c r="H1925" s="98" t="s">
        <v>220</v>
      </c>
      <c r="I1925" s="98" t="s">
        <v>722</v>
      </c>
      <c r="J1925" s="75">
        <f t="shared" si="175"/>
        <v>1</v>
      </c>
      <c r="K1925" s="76" t="s">
        <v>211</v>
      </c>
      <c r="N1925" s="78" t="s">
        <v>17</v>
      </c>
      <c r="Q1925" s="78" t="s">
        <v>2163</v>
      </c>
      <c r="R1925" s="75">
        <f t="shared" si="176"/>
        <v>1</v>
      </c>
      <c r="S1925" s="263" t="s">
        <v>1991</v>
      </c>
      <c r="T1925" s="263" t="s">
        <v>933</v>
      </c>
      <c r="Y1925" s="576">
        <v>0.8247106481481481</v>
      </c>
      <c r="Z1925" s="576">
        <v>0.83251157407407417</v>
      </c>
      <c r="AA1925" s="576">
        <f t="shared" si="174"/>
        <v>7.8009259259260721E-3</v>
      </c>
      <c r="AB1925" s="722"/>
    </row>
    <row r="1926" spans="1:28" x14ac:dyDescent="0.35">
      <c r="A1926" s="81" t="s">
        <v>6283</v>
      </c>
      <c r="C1926" s="118">
        <v>43908</v>
      </c>
      <c r="D1926" s="318">
        <v>43970</v>
      </c>
      <c r="E1926" s="83">
        <v>43935</v>
      </c>
      <c r="F1926" s="88" t="s">
        <v>6348</v>
      </c>
      <c r="G1926" s="88" t="s">
        <v>158</v>
      </c>
      <c r="H1926" s="98" t="s">
        <v>220</v>
      </c>
      <c r="I1926" s="98" t="s">
        <v>656</v>
      </c>
      <c r="J1926" s="75">
        <f t="shared" si="175"/>
        <v>1</v>
      </c>
      <c r="K1926" s="76" t="s">
        <v>211</v>
      </c>
      <c r="N1926" s="78" t="s">
        <v>17</v>
      </c>
      <c r="Q1926" s="78" t="s">
        <v>2130</v>
      </c>
      <c r="R1926" s="75">
        <f t="shared" si="176"/>
        <v>1</v>
      </c>
      <c r="S1926" s="263" t="s">
        <v>1991</v>
      </c>
      <c r="T1926" s="263" t="s">
        <v>932</v>
      </c>
      <c r="Y1926" s="576">
        <v>0.48290509259259262</v>
      </c>
      <c r="Z1926" s="576">
        <v>0.48942129629629627</v>
      </c>
      <c r="AA1926" s="576">
        <f t="shared" si="174"/>
        <v>6.5162037037036491E-3</v>
      </c>
      <c r="AB1926" s="722"/>
    </row>
    <row r="1927" spans="1:28" x14ac:dyDescent="0.35">
      <c r="A1927" s="81" t="s">
        <v>6284</v>
      </c>
      <c r="C1927" s="118">
        <v>43908</v>
      </c>
      <c r="D1927" s="318">
        <v>43970</v>
      </c>
      <c r="E1927" s="83">
        <v>43935</v>
      </c>
      <c r="F1927" s="88" t="s">
        <v>6349</v>
      </c>
      <c r="G1927" s="88" t="s">
        <v>154</v>
      </c>
      <c r="H1927" s="98" t="s">
        <v>220</v>
      </c>
      <c r="I1927" s="98" t="s">
        <v>2516</v>
      </c>
      <c r="J1927" s="75">
        <f t="shared" si="175"/>
        <v>1</v>
      </c>
      <c r="K1927" s="76" t="s">
        <v>211</v>
      </c>
      <c r="N1927" s="78" t="s">
        <v>17</v>
      </c>
      <c r="Q1927" s="78" t="s">
        <v>2447</v>
      </c>
      <c r="R1927" s="75">
        <f t="shared" si="176"/>
        <v>1</v>
      </c>
      <c r="S1927" s="263" t="s">
        <v>1991</v>
      </c>
      <c r="T1927" s="263" t="s">
        <v>933</v>
      </c>
      <c r="Y1927" s="576">
        <v>0.50634259259259262</v>
      </c>
      <c r="Z1927" s="576">
        <v>0.52160879629629631</v>
      </c>
      <c r="AA1927" s="576">
        <f t="shared" si="174"/>
        <v>1.5266203703703685E-2</v>
      </c>
      <c r="AB1927" s="722"/>
    </row>
    <row r="1928" spans="1:28" x14ac:dyDescent="0.35">
      <c r="A1928" s="81" t="s">
        <v>6285</v>
      </c>
      <c r="C1928" s="118">
        <v>43908</v>
      </c>
      <c r="D1928" s="318">
        <v>43970</v>
      </c>
      <c r="E1928" s="83">
        <v>43941</v>
      </c>
      <c r="F1928" s="88" t="s">
        <v>6350</v>
      </c>
      <c r="G1928" s="88" t="s">
        <v>160</v>
      </c>
      <c r="H1928" s="98" t="s">
        <v>220</v>
      </c>
      <c r="I1928" s="98" t="s">
        <v>6779</v>
      </c>
      <c r="J1928" s="75">
        <f t="shared" si="175"/>
        <v>1</v>
      </c>
      <c r="K1928" s="76" t="s">
        <v>211</v>
      </c>
      <c r="L1928" s="99" t="s">
        <v>701</v>
      </c>
      <c r="N1928" s="78" t="s">
        <v>18</v>
      </c>
      <c r="Q1928" s="78" t="s">
        <v>2163</v>
      </c>
      <c r="R1928" s="75">
        <f t="shared" si="176"/>
        <v>1</v>
      </c>
      <c r="S1928" s="263" t="s">
        <v>1991</v>
      </c>
      <c r="T1928" s="263" t="s">
        <v>934</v>
      </c>
      <c r="Y1928" s="576">
        <v>0.39899305555555559</v>
      </c>
      <c r="Z1928" s="576">
        <v>0.40347222222222223</v>
      </c>
      <c r="AA1928" s="576">
        <f t="shared" si="174"/>
        <v>4.4791666666666452E-3</v>
      </c>
      <c r="AB1928" s="722"/>
    </row>
    <row r="1929" spans="1:28" x14ac:dyDescent="0.35">
      <c r="A1929" s="81" t="s">
        <v>6288</v>
      </c>
      <c r="C1929" s="118">
        <v>43908</v>
      </c>
      <c r="D1929" s="318">
        <v>43970</v>
      </c>
      <c r="E1929" s="83">
        <v>43936</v>
      </c>
      <c r="F1929" s="88" t="s">
        <v>6353</v>
      </c>
      <c r="G1929" s="88" t="s">
        <v>162</v>
      </c>
      <c r="H1929" s="98" t="s">
        <v>220</v>
      </c>
      <c r="I1929" s="98" t="s">
        <v>763</v>
      </c>
      <c r="J1929" s="75">
        <f t="shared" si="175"/>
        <v>1</v>
      </c>
      <c r="K1929" s="76" t="s">
        <v>211</v>
      </c>
      <c r="N1929" s="78" t="s">
        <v>18</v>
      </c>
      <c r="Q1929" s="78" t="s">
        <v>2163</v>
      </c>
      <c r="R1929" s="75">
        <f t="shared" si="176"/>
        <v>1</v>
      </c>
      <c r="S1929" s="263" t="s">
        <v>1991</v>
      </c>
      <c r="T1929" s="263" t="s">
        <v>933</v>
      </c>
      <c r="Y1929" s="576">
        <v>0.42994212962962958</v>
      </c>
      <c r="Z1929" s="576">
        <v>0.44694444444444442</v>
      </c>
      <c r="AA1929" s="576">
        <f t="shared" ref="AA1929:AA1958" si="177">Z1929-Y1929</f>
        <v>1.7002314814814845E-2</v>
      </c>
      <c r="AB1929" s="722"/>
    </row>
    <row r="1930" spans="1:28" x14ac:dyDescent="0.35">
      <c r="A1930" s="98" t="s">
        <v>6290</v>
      </c>
      <c r="C1930" s="118">
        <v>43908</v>
      </c>
      <c r="D1930" s="318">
        <v>43970</v>
      </c>
      <c r="E1930" s="83">
        <v>43936</v>
      </c>
      <c r="F1930" s="88" t="s">
        <v>6355</v>
      </c>
      <c r="G1930" s="88" t="s">
        <v>156</v>
      </c>
      <c r="H1930" s="98" t="s">
        <v>220</v>
      </c>
      <c r="I1930" s="98" t="s">
        <v>663</v>
      </c>
      <c r="J1930" s="75">
        <f t="shared" si="175"/>
        <v>1</v>
      </c>
      <c r="K1930" s="76" t="s">
        <v>211</v>
      </c>
      <c r="N1930" s="78" t="s">
        <v>18</v>
      </c>
      <c r="Q1930" s="78" t="s">
        <v>2097</v>
      </c>
      <c r="R1930" s="75">
        <f t="shared" si="176"/>
        <v>1</v>
      </c>
      <c r="S1930" s="263" t="s">
        <v>1991</v>
      </c>
      <c r="T1930" s="263" t="s">
        <v>933</v>
      </c>
      <c r="Y1930" s="576">
        <v>0.72421296296296289</v>
      </c>
      <c r="Z1930" s="576">
        <v>0.73347222222222219</v>
      </c>
      <c r="AA1930" s="576">
        <f t="shared" si="177"/>
        <v>9.2592592592593004E-3</v>
      </c>
      <c r="AB1930" s="722"/>
    </row>
    <row r="1931" spans="1:28" x14ac:dyDescent="0.35">
      <c r="A1931" s="81" t="s">
        <v>6293</v>
      </c>
      <c r="C1931" s="118">
        <v>43908</v>
      </c>
      <c r="D1931" s="318">
        <v>43970</v>
      </c>
      <c r="E1931" s="83">
        <v>43936</v>
      </c>
      <c r="F1931" s="88" t="s">
        <v>6358</v>
      </c>
      <c r="G1931" s="88" t="s">
        <v>170</v>
      </c>
      <c r="H1931" s="98" t="s">
        <v>220</v>
      </c>
      <c r="I1931" s="98" t="s">
        <v>730</v>
      </c>
      <c r="J1931" s="75">
        <f t="shared" si="175"/>
        <v>1</v>
      </c>
      <c r="K1931" s="76" t="s">
        <v>211</v>
      </c>
      <c r="N1931" s="78" t="s">
        <v>18</v>
      </c>
      <c r="Q1931" s="78" t="s">
        <v>2163</v>
      </c>
      <c r="R1931" s="75">
        <f t="shared" si="176"/>
        <v>1</v>
      </c>
      <c r="S1931" s="263" t="s">
        <v>1991</v>
      </c>
      <c r="T1931" s="263" t="s">
        <v>934</v>
      </c>
      <c r="Y1931" s="576">
        <v>0.56401620370370364</v>
      </c>
      <c r="Z1931" s="576">
        <v>0.57202546296296297</v>
      </c>
      <c r="AA1931" s="576">
        <f t="shared" si="177"/>
        <v>8.009259259259327E-3</v>
      </c>
      <c r="AB1931" s="722"/>
    </row>
    <row r="1932" spans="1:28" x14ac:dyDescent="0.35">
      <c r="A1932" s="81" t="s">
        <v>6294</v>
      </c>
      <c r="C1932" s="118">
        <v>43909</v>
      </c>
      <c r="D1932" s="318">
        <v>43971</v>
      </c>
      <c r="E1932" s="83">
        <v>43936</v>
      </c>
      <c r="F1932" s="88" t="s">
        <v>6359</v>
      </c>
      <c r="G1932" s="88" t="s">
        <v>162</v>
      </c>
      <c r="H1932" s="98" t="s">
        <v>220</v>
      </c>
      <c r="I1932" s="98" t="s">
        <v>1122</v>
      </c>
      <c r="J1932" s="75">
        <f t="shared" si="175"/>
        <v>1</v>
      </c>
      <c r="K1932" s="76" t="s">
        <v>211</v>
      </c>
      <c r="N1932" s="78" t="s">
        <v>18</v>
      </c>
      <c r="Q1932" s="78" t="s">
        <v>2163</v>
      </c>
      <c r="R1932" s="75">
        <f t="shared" si="176"/>
        <v>1</v>
      </c>
      <c r="S1932" s="263" t="s">
        <v>1991</v>
      </c>
      <c r="T1932" s="263" t="s">
        <v>933</v>
      </c>
      <c r="Y1932" s="576">
        <v>0.87407407407407411</v>
      </c>
      <c r="Z1932" s="576">
        <v>0.88119212962962967</v>
      </c>
      <c r="AA1932" s="576">
        <f t="shared" si="177"/>
        <v>7.118055555555558E-3</v>
      </c>
      <c r="AB1932" s="722"/>
    </row>
    <row r="1933" spans="1:28" x14ac:dyDescent="0.35">
      <c r="A1933" s="81" t="s">
        <v>6295</v>
      </c>
      <c r="C1933" s="118">
        <v>43909</v>
      </c>
      <c r="D1933" s="318">
        <v>43971</v>
      </c>
      <c r="E1933" s="83">
        <v>43936</v>
      </c>
      <c r="F1933" s="88" t="s">
        <v>6360</v>
      </c>
      <c r="G1933" s="88" t="s">
        <v>172</v>
      </c>
      <c r="H1933" s="98" t="s">
        <v>220</v>
      </c>
      <c r="I1933" s="98" t="s">
        <v>2516</v>
      </c>
      <c r="J1933" s="75">
        <f t="shared" si="175"/>
        <v>1</v>
      </c>
      <c r="K1933" s="76" t="s">
        <v>211</v>
      </c>
      <c r="N1933" s="78" t="s">
        <v>17</v>
      </c>
      <c r="Q1933" s="78" t="s">
        <v>2447</v>
      </c>
      <c r="R1933" s="75">
        <f t="shared" si="176"/>
        <v>1</v>
      </c>
      <c r="S1933" s="263" t="s">
        <v>1991</v>
      </c>
      <c r="T1933" s="263" t="s">
        <v>933</v>
      </c>
      <c r="Y1933" s="576">
        <v>0.80078703703703702</v>
      </c>
      <c r="Z1933" s="576">
        <v>0.81546296296296295</v>
      </c>
      <c r="AA1933" s="576">
        <f t="shared" si="177"/>
        <v>1.4675925925925926E-2</v>
      </c>
      <c r="AB1933" s="722"/>
    </row>
    <row r="1934" spans="1:28" x14ac:dyDescent="0.35">
      <c r="A1934" s="98" t="s">
        <v>6297</v>
      </c>
      <c r="C1934" s="118">
        <v>43908</v>
      </c>
      <c r="D1934" s="318">
        <v>43970</v>
      </c>
      <c r="E1934" s="83">
        <v>43936</v>
      </c>
      <c r="F1934" s="88" t="s">
        <v>6362</v>
      </c>
      <c r="G1934" s="88" t="s">
        <v>152</v>
      </c>
      <c r="H1934" s="98" t="s">
        <v>220</v>
      </c>
      <c r="I1934" s="98" t="s">
        <v>656</v>
      </c>
      <c r="J1934" s="75">
        <f t="shared" si="175"/>
        <v>1</v>
      </c>
      <c r="K1934" s="76" t="s">
        <v>211</v>
      </c>
      <c r="N1934" s="78" t="s">
        <v>17</v>
      </c>
      <c r="Q1934" s="78" t="s">
        <v>2130</v>
      </c>
      <c r="R1934" s="75">
        <f t="shared" si="176"/>
        <v>1</v>
      </c>
      <c r="S1934" s="263" t="s">
        <v>1991</v>
      </c>
      <c r="T1934" s="263" t="s">
        <v>933</v>
      </c>
      <c r="U1934" s="304" t="s">
        <v>5592</v>
      </c>
      <c r="V1934" s="304" t="s">
        <v>6504</v>
      </c>
      <c r="Y1934" s="576">
        <v>0.51244212962962965</v>
      </c>
      <c r="Z1934" s="576">
        <v>0.52952546296296299</v>
      </c>
      <c r="AA1934" s="576">
        <f t="shared" si="177"/>
        <v>1.7083333333333339E-2</v>
      </c>
      <c r="AB1934" s="722"/>
    </row>
    <row r="1935" spans="1:28" x14ac:dyDescent="0.35">
      <c r="A1935" s="81" t="s">
        <v>6300</v>
      </c>
      <c r="C1935" s="118">
        <v>43909</v>
      </c>
      <c r="D1935" s="318">
        <v>43971</v>
      </c>
      <c r="E1935" s="83">
        <v>43937</v>
      </c>
      <c r="F1935" s="88" t="s">
        <v>6365</v>
      </c>
      <c r="G1935" s="88" t="s">
        <v>417</v>
      </c>
      <c r="H1935" s="98" t="s">
        <v>220</v>
      </c>
      <c r="I1935" s="98" t="s">
        <v>1122</v>
      </c>
      <c r="J1935" s="75">
        <f t="shared" si="175"/>
        <v>1</v>
      </c>
      <c r="K1935" s="76" t="s">
        <v>211</v>
      </c>
      <c r="N1935" s="78" t="s">
        <v>18</v>
      </c>
      <c r="Q1935" s="78" t="s">
        <v>2097</v>
      </c>
      <c r="R1935" s="75">
        <f t="shared" si="176"/>
        <v>1</v>
      </c>
      <c r="S1935" s="263" t="s">
        <v>1991</v>
      </c>
      <c r="T1935" s="263" t="s">
        <v>932</v>
      </c>
      <c r="Y1935" s="576">
        <v>0.52336805555555554</v>
      </c>
      <c r="Z1935" s="576">
        <v>0.5296643518518519</v>
      </c>
      <c r="AA1935" s="576">
        <f t="shared" si="177"/>
        <v>6.2962962962963553E-3</v>
      </c>
      <c r="AB1935" s="722"/>
    </row>
    <row r="1936" spans="1:28" x14ac:dyDescent="0.35">
      <c r="A1936" s="81" t="s">
        <v>6301</v>
      </c>
      <c r="C1936" s="118">
        <v>43909</v>
      </c>
      <c r="D1936" s="318">
        <v>43971</v>
      </c>
      <c r="E1936" s="83">
        <v>43934</v>
      </c>
      <c r="F1936" s="88" t="s">
        <v>6366</v>
      </c>
      <c r="G1936" s="88" t="s">
        <v>162</v>
      </c>
      <c r="H1936" s="98" t="s">
        <v>220</v>
      </c>
      <c r="I1936" s="98" t="s">
        <v>2516</v>
      </c>
      <c r="J1936" s="75">
        <f t="shared" si="175"/>
        <v>1</v>
      </c>
      <c r="K1936" s="76" t="s">
        <v>211</v>
      </c>
      <c r="L1936" s="99" t="s">
        <v>6492</v>
      </c>
      <c r="N1936" s="78" t="s">
        <v>17</v>
      </c>
      <c r="Q1936" s="78" t="s">
        <v>2056</v>
      </c>
      <c r="R1936" s="75">
        <f t="shared" si="176"/>
        <v>1</v>
      </c>
      <c r="S1936" s="263" t="s">
        <v>1991</v>
      </c>
      <c r="T1936" s="263" t="s">
        <v>932</v>
      </c>
      <c r="Y1936" s="576">
        <v>0.60142361111111109</v>
      </c>
      <c r="Z1936" s="576">
        <v>0.6107407407407407</v>
      </c>
      <c r="AA1936" s="576">
        <f t="shared" si="177"/>
        <v>9.3171296296296058E-3</v>
      </c>
      <c r="AB1936" s="722"/>
    </row>
    <row r="1937" spans="1:28" x14ac:dyDescent="0.35">
      <c r="A1937" s="98" t="s">
        <v>6302</v>
      </c>
      <c r="C1937" s="118">
        <v>43909</v>
      </c>
      <c r="D1937" s="318">
        <v>43971</v>
      </c>
      <c r="E1937" s="83">
        <v>43936</v>
      </c>
      <c r="F1937" s="88" t="s">
        <v>6367</v>
      </c>
      <c r="G1937" s="88" t="s">
        <v>154</v>
      </c>
      <c r="H1937" s="98" t="s">
        <v>220</v>
      </c>
      <c r="I1937" s="98" t="s">
        <v>1004</v>
      </c>
      <c r="J1937" s="75">
        <f t="shared" si="175"/>
        <v>1</v>
      </c>
      <c r="K1937" s="76" t="s">
        <v>211</v>
      </c>
      <c r="L1937" s="99" t="s">
        <v>6505</v>
      </c>
      <c r="N1937" s="78" t="s">
        <v>19</v>
      </c>
      <c r="Q1937" s="78" t="s">
        <v>2097</v>
      </c>
      <c r="R1937" s="75">
        <f t="shared" si="176"/>
        <v>1</v>
      </c>
      <c r="S1937" s="263" t="s">
        <v>1991</v>
      </c>
      <c r="T1937" s="263" t="s">
        <v>932</v>
      </c>
      <c r="Y1937" s="576">
        <v>0.81615740740740739</v>
      </c>
      <c r="Z1937" s="576">
        <v>0.83399305555555558</v>
      </c>
      <c r="AA1937" s="576">
        <f t="shared" si="177"/>
        <v>1.7835648148148198E-2</v>
      </c>
      <c r="AB1937" s="722"/>
    </row>
    <row r="1938" spans="1:28" x14ac:dyDescent="0.35">
      <c r="A1938" s="81" t="s">
        <v>6304</v>
      </c>
      <c r="C1938" s="118">
        <v>43909</v>
      </c>
      <c r="D1938" s="318">
        <v>43971</v>
      </c>
      <c r="E1938" s="83">
        <v>43937</v>
      </c>
      <c r="F1938" s="88" t="s">
        <v>6369</v>
      </c>
      <c r="G1938" s="88" t="s">
        <v>156</v>
      </c>
      <c r="H1938" s="98" t="s">
        <v>220</v>
      </c>
      <c r="I1938" s="98" t="s">
        <v>2516</v>
      </c>
      <c r="J1938" s="75">
        <f t="shared" si="175"/>
        <v>1</v>
      </c>
      <c r="K1938" s="76" t="s">
        <v>211</v>
      </c>
      <c r="L1938" s="99" t="s">
        <v>6507</v>
      </c>
      <c r="Q1938" s="78" t="s">
        <v>2097</v>
      </c>
      <c r="R1938" s="75">
        <f t="shared" si="176"/>
        <v>1</v>
      </c>
      <c r="S1938" s="263" t="s">
        <v>1991</v>
      </c>
      <c r="T1938" s="263" t="s">
        <v>933</v>
      </c>
      <c r="U1938" s="304" t="s">
        <v>5592</v>
      </c>
      <c r="V1938" s="304" t="s">
        <v>6508</v>
      </c>
      <c r="Y1938" s="576">
        <v>0.53003472222222225</v>
      </c>
      <c r="Z1938" s="576">
        <v>0.54758101851851848</v>
      </c>
      <c r="AA1938" s="576">
        <f t="shared" si="177"/>
        <v>1.7546296296296227E-2</v>
      </c>
      <c r="AB1938" s="722"/>
    </row>
    <row r="1939" spans="1:28" x14ac:dyDescent="0.35">
      <c r="A1939" s="81" t="s">
        <v>6306</v>
      </c>
      <c r="C1939" s="118">
        <v>43909</v>
      </c>
      <c r="D1939" s="318">
        <v>43971</v>
      </c>
      <c r="E1939" s="83">
        <v>43937</v>
      </c>
      <c r="F1939" s="88" t="s">
        <v>6371</v>
      </c>
      <c r="G1939" s="88" t="s">
        <v>154</v>
      </c>
      <c r="H1939" s="98" t="s">
        <v>220</v>
      </c>
      <c r="I1939" s="98" t="s">
        <v>2777</v>
      </c>
      <c r="J1939" s="75">
        <f t="shared" si="175"/>
        <v>1</v>
      </c>
      <c r="K1939" s="76" t="s">
        <v>211</v>
      </c>
      <c r="N1939" s="78" t="s">
        <v>19</v>
      </c>
      <c r="Q1939" s="78" t="s">
        <v>2097</v>
      </c>
      <c r="R1939" s="75">
        <f t="shared" si="176"/>
        <v>1</v>
      </c>
      <c r="S1939" s="263" t="s">
        <v>1991</v>
      </c>
      <c r="T1939" s="263" t="s">
        <v>932</v>
      </c>
      <c r="Y1939" s="576">
        <v>0.46239583333333334</v>
      </c>
      <c r="Z1939" s="576">
        <v>0.46981481481481485</v>
      </c>
      <c r="AA1939" s="576">
        <f t="shared" si="177"/>
        <v>7.4189814814815125E-3</v>
      </c>
      <c r="AB1939" s="722"/>
    </row>
    <row r="1940" spans="1:28" x14ac:dyDescent="0.35">
      <c r="A1940" s="81" t="s">
        <v>6309</v>
      </c>
      <c r="C1940" s="118">
        <v>43909</v>
      </c>
      <c r="D1940" s="318">
        <v>43971</v>
      </c>
      <c r="E1940" s="83">
        <v>43936</v>
      </c>
      <c r="F1940" s="88" t="s">
        <v>6374</v>
      </c>
      <c r="G1940" s="88" t="s">
        <v>152</v>
      </c>
      <c r="H1940" s="98" t="s">
        <v>220</v>
      </c>
      <c r="I1940" s="98" t="s">
        <v>3557</v>
      </c>
      <c r="J1940" s="75">
        <f t="shared" si="175"/>
        <v>1</v>
      </c>
      <c r="K1940" s="76" t="s">
        <v>211</v>
      </c>
      <c r="N1940" s="78" t="s">
        <v>18</v>
      </c>
      <c r="Q1940" s="78" t="s">
        <v>2447</v>
      </c>
      <c r="R1940" s="75">
        <f t="shared" si="176"/>
        <v>1</v>
      </c>
      <c r="S1940" s="263" t="s">
        <v>1991</v>
      </c>
      <c r="T1940" s="263" t="s">
        <v>933</v>
      </c>
      <c r="Y1940" s="576">
        <v>0.78311342592592592</v>
      </c>
      <c r="Z1940" s="576">
        <v>0.7958912037037037</v>
      </c>
      <c r="AA1940" s="576">
        <f t="shared" si="177"/>
        <v>1.2777777777777777E-2</v>
      </c>
      <c r="AB1940" s="722"/>
    </row>
    <row r="1941" spans="1:28" x14ac:dyDescent="0.35">
      <c r="A1941" s="81" t="s">
        <v>6312</v>
      </c>
      <c r="C1941" s="118">
        <v>43909</v>
      </c>
      <c r="D1941" s="318">
        <v>43976</v>
      </c>
      <c r="E1941" s="83">
        <v>43969</v>
      </c>
      <c r="F1941" s="88" t="s">
        <v>6377</v>
      </c>
      <c r="G1941" s="88" t="s">
        <v>154</v>
      </c>
      <c r="H1941" s="98" t="s">
        <v>220</v>
      </c>
      <c r="I1941" s="98" t="s">
        <v>1004</v>
      </c>
      <c r="J1941" s="75">
        <f t="shared" si="175"/>
        <v>1</v>
      </c>
      <c r="K1941" s="263" t="s">
        <v>211</v>
      </c>
      <c r="L1941" s="99"/>
      <c r="N1941" s="78" t="s">
        <v>19</v>
      </c>
      <c r="Q1941" s="78" t="s">
        <v>2447</v>
      </c>
      <c r="R1941" s="75">
        <f t="shared" si="176"/>
        <v>1</v>
      </c>
      <c r="S1941" s="263" t="s">
        <v>1991</v>
      </c>
      <c r="T1941" s="263" t="s">
        <v>932</v>
      </c>
      <c r="Y1941" s="576">
        <v>0.54547453703703697</v>
      </c>
      <c r="Z1941" s="576">
        <v>0.55431712962962965</v>
      </c>
      <c r="AA1941" s="576">
        <f t="shared" si="177"/>
        <v>8.8425925925926796E-3</v>
      </c>
      <c r="AB1941" s="722"/>
    </row>
    <row r="1942" spans="1:28" x14ac:dyDescent="0.35">
      <c r="A1942" s="81" t="s">
        <v>6403</v>
      </c>
      <c r="C1942" s="118">
        <v>43910</v>
      </c>
      <c r="D1942" s="318">
        <v>43977</v>
      </c>
      <c r="E1942" s="83">
        <v>43938</v>
      </c>
      <c r="F1942" s="88" t="s">
        <v>6445</v>
      </c>
      <c r="G1942" s="88" t="s">
        <v>156</v>
      </c>
      <c r="H1942" s="98" t="s">
        <v>220</v>
      </c>
      <c r="I1942" s="98" t="s">
        <v>4359</v>
      </c>
      <c r="J1942" s="75">
        <f t="shared" si="175"/>
        <v>1</v>
      </c>
      <c r="K1942" s="263" t="s">
        <v>211</v>
      </c>
      <c r="L1942" s="99" t="s">
        <v>6772</v>
      </c>
      <c r="N1942" s="78" t="s">
        <v>17</v>
      </c>
      <c r="Q1942" s="78" t="s">
        <v>2130</v>
      </c>
      <c r="R1942" s="75">
        <f t="shared" si="176"/>
        <v>1</v>
      </c>
      <c r="S1942" s="263" t="s">
        <v>1991</v>
      </c>
      <c r="T1942" s="263" t="s">
        <v>933</v>
      </c>
      <c r="U1942" s="304" t="s">
        <v>5592</v>
      </c>
      <c r="V1942" s="304" t="s">
        <v>6773</v>
      </c>
      <c r="X1942" s="304" t="s">
        <v>6836</v>
      </c>
      <c r="Y1942" s="576">
        <v>0.73340277777777774</v>
      </c>
      <c r="Z1942" s="576">
        <v>0.74687500000000007</v>
      </c>
      <c r="AA1942" s="576">
        <f t="shared" si="177"/>
        <v>1.347222222222233E-2</v>
      </c>
      <c r="AB1942" s="722"/>
    </row>
    <row r="1943" spans="1:28" x14ac:dyDescent="0.35">
      <c r="A1943" s="81" t="s">
        <v>6404</v>
      </c>
      <c r="C1943" s="118">
        <v>43910</v>
      </c>
      <c r="D1943" s="318">
        <v>43972</v>
      </c>
      <c r="E1943" s="83">
        <v>43935</v>
      </c>
      <c r="F1943" s="88" t="s">
        <v>6446</v>
      </c>
      <c r="G1943" s="88" t="s">
        <v>162</v>
      </c>
      <c r="H1943" s="98" t="s">
        <v>220</v>
      </c>
      <c r="I1943" s="98" t="s">
        <v>5215</v>
      </c>
      <c r="J1943" s="75">
        <f t="shared" si="175"/>
        <v>1</v>
      </c>
      <c r="K1943" s="76" t="s">
        <v>211</v>
      </c>
      <c r="N1943" s="78" t="s">
        <v>19</v>
      </c>
      <c r="Q1943" s="78" t="s">
        <v>2056</v>
      </c>
      <c r="R1943" s="75">
        <f t="shared" si="176"/>
        <v>1</v>
      </c>
      <c r="S1943" s="263" t="s">
        <v>1991</v>
      </c>
      <c r="T1943" s="263" t="s">
        <v>934</v>
      </c>
      <c r="Y1943" s="576">
        <v>0.64107638888888896</v>
      </c>
      <c r="Z1943" s="576">
        <v>0.64606481481481481</v>
      </c>
      <c r="AA1943" s="576">
        <f t="shared" si="177"/>
        <v>4.9884259259258545E-3</v>
      </c>
      <c r="AB1943" s="722"/>
    </row>
    <row r="1944" spans="1:28" x14ac:dyDescent="0.35">
      <c r="A1944" s="81" t="s">
        <v>6313</v>
      </c>
      <c r="C1944" s="118">
        <v>43910</v>
      </c>
      <c r="D1944" s="318">
        <v>43971</v>
      </c>
      <c r="E1944" s="83">
        <v>43937</v>
      </c>
      <c r="F1944" s="88" t="s">
        <v>6378</v>
      </c>
      <c r="G1944" s="88" t="s">
        <v>149</v>
      </c>
      <c r="H1944" s="98" t="s">
        <v>220</v>
      </c>
      <c r="I1944" s="98" t="s">
        <v>3901</v>
      </c>
      <c r="J1944" s="75">
        <f t="shared" si="175"/>
        <v>1</v>
      </c>
      <c r="K1944" s="76" t="s">
        <v>211</v>
      </c>
      <c r="N1944" s="78" t="s">
        <v>18</v>
      </c>
      <c r="Q1944" s="78" t="s">
        <v>2163</v>
      </c>
      <c r="R1944" s="75">
        <f t="shared" si="176"/>
        <v>1</v>
      </c>
      <c r="S1944" s="263" t="s">
        <v>1991</v>
      </c>
      <c r="T1944" s="263" t="s">
        <v>933</v>
      </c>
      <c r="Y1944" s="576">
        <v>0.4503819444444444</v>
      </c>
      <c r="Z1944" s="576">
        <v>0.45891203703703703</v>
      </c>
      <c r="AA1944" s="576">
        <f t="shared" si="177"/>
        <v>8.5300925925926308E-3</v>
      </c>
      <c r="AB1944" s="722"/>
    </row>
    <row r="1945" spans="1:28" x14ac:dyDescent="0.35">
      <c r="A1945" s="81" t="s">
        <v>6406</v>
      </c>
      <c r="C1945" s="118">
        <v>43910</v>
      </c>
      <c r="D1945" s="318">
        <v>43972</v>
      </c>
      <c r="E1945" s="83">
        <v>43935</v>
      </c>
      <c r="F1945" s="88" t="s">
        <v>6448</v>
      </c>
      <c r="G1945" s="88" t="s">
        <v>156</v>
      </c>
      <c r="H1945" s="98" t="s">
        <v>220</v>
      </c>
      <c r="I1945" s="98" t="s">
        <v>763</v>
      </c>
      <c r="J1945" s="75">
        <f t="shared" si="175"/>
        <v>1</v>
      </c>
      <c r="K1945" s="76" t="s">
        <v>211</v>
      </c>
      <c r="N1945" s="78" t="s">
        <v>18</v>
      </c>
      <c r="Q1945" s="78" t="s">
        <v>2056</v>
      </c>
      <c r="R1945" s="75">
        <f t="shared" si="176"/>
        <v>1</v>
      </c>
      <c r="S1945" s="263" t="s">
        <v>1991</v>
      </c>
      <c r="T1945" s="263" t="s">
        <v>934</v>
      </c>
      <c r="Y1945" s="576">
        <v>0.60751157407407408</v>
      </c>
      <c r="Z1945" s="576">
        <v>0.61763888888888896</v>
      </c>
      <c r="AA1945" s="576">
        <f t="shared" si="177"/>
        <v>1.0127314814814881E-2</v>
      </c>
      <c r="AB1945" s="722"/>
    </row>
    <row r="1946" spans="1:28" x14ac:dyDescent="0.35">
      <c r="A1946" s="98" t="s">
        <v>6410</v>
      </c>
      <c r="C1946" s="118">
        <v>43910</v>
      </c>
      <c r="D1946" s="640">
        <v>43991</v>
      </c>
      <c r="E1946" s="83">
        <v>43969</v>
      </c>
      <c r="F1946" s="88" t="s">
        <v>6452</v>
      </c>
      <c r="G1946" s="88" t="s">
        <v>1393</v>
      </c>
      <c r="H1946" s="98" t="s">
        <v>220</v>
      </c>
      <c r="I1946" s="98" t="s">
        <v>649</v>
      </c>
      <c r="J1946" s="75">
        <f t="shared" si="175"/>
        <v>1</v>
      </c>
      <c r="K1946" s="263" t="s">
        <v>211</v>
      </c>
      <c r="L1946" s="99" t="s">
        <v>6774</v>
      </c>
      <c r="N1946" s="78" t="s">
        <v>18</v>
      </c>
      <c r="Q1946" s="78" t="s">
        <v>2163</v>
      </c>
      <c r="R1946" s="75">
        <f t="shared" si="176"/>
        <v>1</v>
      </c>
      <c r="S1946" s="263" t="s">
        <v>1991</v>
      </c>
      <c r="T1946" s="263" t="s">
        <v>933</v>
      </c>
      <c r="Y1946" s="576">
        <v>0.74776620370370372</v>
      </c>
      <c r="Z1946" s="576">
        <v>0.75906250000000008</v>
      </c>
      <c r="AA1946" s="576">
        <f t="shared" si="177"/>
        <v>1.129629629629636E-2</v>
      </c>
      <c r="AB1946" s="722"/>
    </row>
    <row r="1947" spans="1:28" x14ac:dyDescent="0.35">
      <c r="A1947" s="81" t="s">
        <v>6412</v>
      </c>
      <c r="C1947" s="118">
        <v>43913</v>
      </c>
      <c r="D1947" s="318">
        <v>43973</v>
      </c>
      <c r="E1947" s="83">
        <v>43941</v>
      </c>
      <c r="F1947" s="88" t="s">
        <v>6454</v>
      </c>
      <c r="G1947" s="88" t="s">
        <v>1393</v>
      </c>
      <c r="H1947" s="98" t="s">
        <v>220</v>
      </c>
      <c r="I1947" s="98" t="s">
        <v>3553</v>
      </c>
      <c r="J1947" s="75">
        <f t="shared" si="175"/>
        <v>1</v>
      </c>
      <c r="K1947" s="76" t="s">
        <v>211</v>
      </c>
      <c r="N1947" s="78" t="s">
        <v>19</v>
      </c>
      <c r="Q1947" s="78" t="s">
        <v>2163</v>
      </c>
      <c r="R1947" s="75">
        <f t="shared" si="176"/>
        <v>1</v>
      </c>
      <c r="S1947" s="263" t="s">
        <v>1991</v>
      </c>
      <c r="T1947" s="263" t="s">
        <v>934</v>
      </c>
      <c r="Y1947" s="576">
        <v>0.8884143518518518</v>
      </c>
      <c r="Z1947" s="576">
        <v>0.89396990740740734</v>
      </c>
      <c r="AA1947" s="576">
        <f t="shared" si="177"/>
        <v>5.5555555555555358E-3</v>
      </c>
      <c r="AB1947" s="722"/>
    </row>
    <row r="1948" spans="1:28" x14ac:dyDescent="0.35">
      <c r="A1948" s="81" t="s">
        <v>6414</v>
      </c>
      <c r="C1948" s="118">
        <v>43913</v>
      </c>
      <c r="D1948" s="318">
        <v>43972</v>
      </c>
      <c r="E1948" s="83">
        <v>43935</v>
      </c>
      <c r="F1948" s="88" t="s">
        <v>6456</v>
      </c>
      <c r="G1948" s="88" t="s">
        <v>156</v>
      </c>
      <c r="H1948" s="98" t="s">
        <v>220</v>
      </c>
      <c r="I1948" s="98" t="s">
        <v>663</v>
      </c>
      <c r="J1948" s="75">
        <f t="shared" ref="J1948:J1992" si="178">IF(OR(K1948="Документы готовы",K1948="Запрос в ФО",K1948="ЭЗ",K1948="РЕШ",K1948="РЕШ шаблон"),0.1,IF(OR(K1948="ЭЗ согласование",K1948="РЕШ согласование"),0.3,IF(OR(K1948="ЭЗ согласовано",K1948="РЕШ согласовано",K1948="РЕШ подписано"),0.6,IF(OR(K1948="ЭЗ ПР согласование",K1948="РЕШ УВ согласование"),0.9,IF(OR(K1948="ЭЗ ПР DONE",K1948="РЕШ УВ DONE"),1,0)))))</f>
        <v>1</v>
      </c>
      <c r="K1948" s="76" t="s">
        <v>211</v>
      </c>
      <c r="L1948" s="99" t="s">
        <v>6500</v>
      </c>
      <c r="N1948" s="78" t="s">
        <v>18</v>
      </c>
      <c r="Q1948" s="78" t="s">
        <v>2056</v>
      </c>
      <c r="R1948" s="75">
        <f t="shared" ref="R1948:R1992" si="179">IF(S1948="В работе",0.3,IF(S1948="Отписано",0.6,IF(S1948="На доработку",0.9,IF(S1948="Согласовано",1,0))))</f>
        <v>1</v>
      </c>
      <c r="S1948" s="263" t="s">
        <v>1991</v>
      </c>
      <c r="T1948" s="263" t="s">
        <v>933</v>
      </c>
      <c r="Y1948" s="576">
        <v>0.58070601851851855</v>
      </c>
      <c r="Z1948" s="576">
        <v>0.60703703703703704</v>
      </c>
      <c r="AA1948" s="576">
        <f t="shared" si="177"/>
        <v>2.633101851851849E-2</v>
      </c>
      <c r="AB1948" s="722"/>
    </row>
    <row r="1949" spans="1:28" x14ac:dyDescent="0.35">
      <c r="A1949" s="81" t="s">
        <v>6417</v>
      </c>
      <c r="C1949" s="118">
        <v>43913</v>
      </c>
      <c r="D1949" s="318">
        <v>43972</v>
      </c>
      <c r="E1949" s="83">
        <v>43944</v>
      </c>
      <c r="F1949" s="88" t="s">
        <v>6459</v>
      </c>
      <c r="G1949" s="88" t="s">
        <v>156</v>
      </c>
      <c r="H1949" s="98" t="s">
        <v>220</v>
      </c>
      <c r="I1949" s="98" t="s">
        <v>2516</v>
      </c>
      <c r="J1949" s="75">
        <f t="shared" si="178"/>
        <v>1</v>
      </c>
      <c r="K1949" s="76" t="s">
        <v>211</v>
      </c>
      <c r="L1949" s="99"/>
      <c r="N1949" s="78" t="s">
        <v>17</v>
      </c>
      <c r="Q1949" s="78" t="s">
        <v>2163</v>
      </c>
      <c r="R1949" s="75">
        <f t="shared" si="179"/>
        <v>1</v>
      </c>
      <c r="S1949" s="263" t="s">
        <v>1991</v>
      </c>
      <c r="T1949" s="263" t="s">
        <v>933</v>
      </c>
      <c r="Y1949" s="576">
        <v>0.72864583333333333</v>
      </c>
      <c r="Z1949" s="576">
        <v>0.7414236111111111</v>
      </c>
      <c r="AA1949" s="576">
        <f t="shared" si="177"/>
        <v>1.2777777777777777E-2</v>
      </c>
      <c r="AB1949" s="722"/>
    </row>
    <row r="1950" spans="1:28" x14ac:dyDescent="0.35">
      <c r="A1950" s="81" t="s">
        <v>6418</v>
      </c>
      <c r="C1950" s="118">
        <v>43913</v>
      </c>
      <c r="D1950" s="318">
        <v>43973</v>
      </c>
      <c r="E1950" s="83">
        <v>43938</v>
      </c>
      <c r="F1950" s="88" t="s">
        <v>6460</v>
      </c>
      <c r="G1950" s="88" t="s">
        <v>152</v>
      </c>
      <c r="H1950" s="98" t="s">
        <v>220</v>
      </c>
      <c r="I1950" s="98" t="s">
        <v>730</v>
      </c>
      <c r="J1950" s="75">
        <f t="shared" si="178"/>
        <v>1</v>
      </c>
      <c r="K1950" s="76" t="s">
        <v>211</v>
      </c>
      <c r="N1950" s="78" t="s">
        <v>18</v>
      </c>
      <c r="Q1950" s="78" t="s">
        <v>2097</v>
      </c>
      <c r="R1950" s="75">
        <f t="shared" si="179"/>
        <v>1</v>
      </c>
      <c r="S1950" s="263" t="s">
        <v>1991</v>
      </c>
      <c r="T1950" s="263" t="s">
        <v>934</v>
      </c>
      <c r="Y1950" s="576">
        <v>0.69374999999999998</v>
      </c>
      <c r="Z1950" s="576">
        <v>0.70156249999999998</v>
      </c>
      <c r="AA1950" s="576">
        <f t="shared" si="177"/>
        <v>7.8125E-3</v>
      </c>
      <c r="AB1950" s="722"/>
    </row>
    <row r="1951" spans="1:28" x14ac:dyDescent="0.35">
      <c r="A1951" s="81" t="s">
        <v>6420</v>
      </c>
      <c r="C1951" s="118">
        <v>43913</v>
      </c>
      <c r="D1951" s="318">
        <v>43973</v>
      </c>
      <c r="E1951" s="83">
        <v>43942</v>
      </c>
      <c r="F1951" s="88" t="s">
        <v>6462</v>
      </c>
      <c r="G1951" s="88" t="s">
        <v>154</v>
      </c>
      <c r="H1951" s="98" t="s">
        <v>220</v>
      </c>
      <c r="I1951" s="98" t="s">
        <v>2516</v>
      </c>
      <c r="J1951" s="75">
        <f t="shared" si="178"/>
        <v>1</v>
      </c>
      <c r="K1951" s="76" t="s">
        <v>211</v>
      </c>
      <c r="N1951" s="78" t="s">
        <v>17</v>
      </c>
      <c r="Q1951" s="78" t="s">
        <v>2163</v>
      </c>
      <c r="R1951" s="75">
        <f t="shared" si="179"/>
        <v>1</v>
      </c>
      <c r="S1951" s="263" t="s">
        <v>1991</v>
      </c>
      <c r="T1951" s="263" t="s">
        <v>932</v>
      </c>
      <c r="Y1951" s="576">
        <v>0.70504629629629623</v>
      </c>
      <c r="Z1951" s="576">
        <v>0.72075231481481483</v>
      </c>
      <c r="AA1951" s="576">
        <f t="shared" si="177"/>
        <v>1.5706018518518605E-2</v>
      </c>
      <c r="AB1951" s="722"/>
    </row>
    <row r="1952" spans="1:28" x14ac:dyDescent="0.35">
      <c r="A1952" s="81" t="s">
        <v>6422</v>
      </c>
      <c r="C1952" s="118">
        <v>43913</v>
      </c>
      <c r="D1952" s="318">
        <v>43973</v>
      </c>
      <c r="E1952" s="83">
        <v>43938</v>
      </c>
      <c r="F1952" s="88" t="s">
        <v>6464</v>
      </c>
      <c r="G1952" s="88" t="s">
        <v>154</v>
      </c>
      <c r="H1952" s="98" t="s">
        <v>220</v>
      </c>
      <c r="I1952" s="98" t="s">
        <v>656</v>
      </c>
      <c r="J1952" s="75">
        <f t="shared" si="178"/>
        <v>1</v>
      </c>
      <c r="K1952" s="76" t="s">
        <v>211</v>
      </c>
      <c r="L1952" s="99" t="s">
        <v>6771</v>
      </c>
      <c r="N1952" s="78" t="s">
        <v>18</v>
      </c>
      <c r="Q1952" s="78" t="s">
        <v>2097</v>
      </c>
      <c r="R1952" s="75">
        <f t="shared" si="179"/>
        <v>1</v>
      </c>
      <c r="S1952" s="263" t="s">
        <v>1991</v>
      </c>
      <c r="T1952" s="263" t="s">
        <v>932</v>
      </c>
      <c r="U1952" s="304" t="s">
        <v>5592</v>
      </c>
      <c r="V1952" s="304" t="s">
        <v>6775</v>
      </c>
      <c r="Y1952" s="576">
        <v>0.70185185185185184</v>
      </c>
      <c r="Z1952" s="576">
        <v>0.71122685185185175</v>
      </c>
      <c r="AA1952" s="576">
        <f t="shared" si="177"/>
        <v>9.3749999999999112E-3</v>
      </c>
      <c r="AB1952" s="722"/>
    </row>
    <row r="1953" spans="1:28" x14ac:dyDescent="0.35">
      <c r="A1953" s="81" t="s">
        <v>6423</v>
      </c>
      <c r="C1953" s="118">
        <v>43913</v>
      </c>
      <c r="D1953" s="318">
        <v>43973</v>
      </c>
      <c r="E1953" s="83">
        <v>43941</v>
      </c>
      <c r="F1953" s="88" t="s">
        <v>6465</v>
      </c>
      <c r="G1953" s="88" t="s">
        <v>162</v>
      </c>
      <c r="H1953" s="98" t="s">
        <v>220</v>
      </c>
      <c r="I1953" s="98" t="s">
        <v>2516</v>
      </c>
      <c r="J1953" s="75">
        <f t="shared" si="178"/>
        <v>1</v>
      </c>
      <c r="K1953" s="76" t="s">
        <v>211</v>
      </c>
      <c r="N1953" s="78" t="s">
        <v>17</v>
      </c>
      <c r="Q1953" s="78" t="s">
        <v>2130</v>
      </c>
      <c r="R1953" s="75">
        <f t="shared" si="179"/>
        <v>1</v>
      </c>
      <c r="S1953" s="263" t="s">
        <v>1991</v>
      </c>
      <c r="T1953" s="263" t="s">
        <v>933</v>
      </c>
      <c r="U1953" s="304" t="s">
        <v>5592</v>
      </c>
      <c r="V1953" s="304" t="s">
        <v>6788</v>
      </c>
      <c r="Y1953" s="576">
        <v>0.66355324074074074</v>
      </c>
      <c r="Z1953" s="576">
        <v>0.67666666666666664</v>
      </c>
      <c r="AA1953" s="576">
        <f t="shared" si="177"/>
        <v>1.3113425925925903E-2</v>
      </c>
      <c r="AB1953" s="722"/>
    </row>
    <row r="1954" spans="1:28" x14ac:dyDescent="0.35">
      <c r="A1954" s="81" t="s">
        <v>6424</v>
      </c>
      <c r="C1954" s="118">
        <v>43913</v>
      </c>
      <c r="D1954" s="318">
        <v>43972</v>
      </c>
      <c r="E1954" s="83">
        <v>43937</v>
      </c>
      <c r="F1954" s="88" t="s">
        <v>6466</v>
      </c>
      <c r="G1954" s="88" t="s">
        <v>158</v>
      </c>
      <c r="H1954" s="98" t="s">
        <v>220</v>
      </c>
      <c r="I1954" s="98" t="s">
        <v>1122</v>
      </c>
      <c r="J1954" s="75">
        <f t="shared" si="178"/>
        <v>1</v>
      </c>
      <c r="K1954" s="76" t="s">
        <v>211</v>
      </c>
      <c r="N1954" s="78" t="s">
        <v>18</v>
      </c>
      <c r="Q1954" s="78" t="s">
        <v>2097</v>
      </c>
      <c r="R1954" s="75">
        <f t="shared" si="179"/>
        <v>1</v>
      </c>
      <c r="S1954" s="263" t="s">
        <v>1991</v>
      </c>
      <c r="T1954" s="263" t="s">
        <v>932</v>
      </c>
      <c r="Y1954" s="576">
        <v>0.71350694444444451</v>
      </c>
      <c r="Z1954" s="576">
        <v>0.72173611111111102</v>
      </c>
      <c r="AA1954" s="576">
        <f t="shared" si="177"/>
        <v>8.2291666666665098E-3</v>
      </c>
      <c r="AB1954" s="722"/>
    </row>
    <row r="1955" spans="1:28" x14ac:dyDescent="0.35">
      <c r="A1955" s="81" t="s">
        <v>6425</v>
      </c>
      <c r="C1955" s="118">
        <v>43913</v>
      </c>
      <c r="D1955" s="318">
        <v>43972</v>
      </c>
      <c r="E1955" s="83">
        <v>43945</v>
      </c>
      <c r="F1955" s="88" t="s">
        <v>6467</v>
      </c>
      <c r="G1955" s="88" t="s">
        <v>158</v>
      </c>
      <c r="H1955" s="98" t="s">
        <v>220</v>
      </c>
      <c r="I1955" s="98" t="s">
        <v>722</v>
      </c>
      <c r="J1955" s="75">
        <f t="shared" si="178"/>
        <v>1</v>
      </c>
      <c r="K1955" s="76" t="s">
        <v>211</v>
      </c>
      <c r="N1955" s="78" t="s">
        <v>18</v>
      </c>
      <c r="Q1955" s="78" t="s">
        <v>2097</v>
      </c>
      <c r="R1955" s="75">
        <f t="shared" si="179"/>
        <v>1</v>
      </c>
      <c r="S1955" s="263" t="s">
        <v>1991</v>
      </c>
      <c r="T1955" s="263" t="s">
        <v>933</v>
      </c>
      <c r="Y1955" s="576">
        <v>0.62785879629629626</v>
      </c>
      <c r="Z1955" s="576">
        <v>0.63675925925925925</v>
      </c>
      <c r="AA1955" s="576">
        <f t="shared" si="177"/>
        <v>8.900462962962985E-3</v>
      </c>
      <c r="AB1955" s="722"/>
    </row>
    <row r="1956" spans="1:28" x14ac:dyDescent="0.35">
      <c r="A1956" s="81" t="s">
        <v>6427</v>
      </c>
      <c r="C1956" s="118">
        <v>43913</v>
      </c>
      <c r="D1956" s="318">
        <v>43972</v>
      </c>
      <c r="E1956" s="83">
        <v>43942</v>
      </c>
      <c r="F1956" s="88" t="s">
        <v>6469</v>
      </c>
      <c r="G1956" s="88" t="s">
        <v>195</v>
      </c>
      <c r="H1956" s="98" t="s">
        <v>220</v>
      </c>
      <c r="I1956" s="98" t="s">
        <v>656</v>
      </c>
      <c r="J1956" s="75">
        <f t="shared" si="178"/>
        <v>1</v>
      </c>
      <c r="K1956" s="76" t="s">
        <v>211</v>
      </c>
      <c r="N1956" s="78" t="s">
        <v>18</v>
      </c>
      <c r="Q1956" s="78" t="s">
        <v>2130</v>
      </c>
      <c r="R1956" s="75">
        <f t="shared" si="179"/>
        <v>1</v>
      </c>
      <c r="S1956" s="263" t="s">
        <v>1991</v>
      </c>
      <c r="T1956" s="263" t="s">
        <v>933</v>
      </c>
      <c r="Y1956" s="576">
        <v>0.5767592592592593</v>
      </c>
      <c r="Z1956" s="576">
        <v>0.58122685185185186</v>
      </c>
      <c r="AA1956" s="576">
        <f t="shared" si="177"/>
        <v>4.4675925925925508E-3</v>
      </c>
      <c r="AB1956" s="722"/>
    </row>
    <row r="1957" spans="1:28" x14ac:dyDescent="0.35">
      <c r="A1957" s="81" t="s">
        <v>6431</v>
      </c>
      <c r="C1957" s="118">
        <v>43913</v>
      </c>
      <c r="D1957" s="318">
        <v>43973</v>
      </c>
      <c r="E1957" s="83">
        <v>43937</v>
      </c>
      <c r="F1957" s="88" t="s">
        <v>6473</v>
      </c>
      <c r="G1957" s="88" t="s">
        <v>162</v>
      </c>
      <c r="H1957" s="98" t="s">
        <v>220</v>
      </c>
      <c r="I1957" s="98" t="s">
        <v>5215</v>
      </c>
      <c r="J1957" s="75">
        <f t="shared" si="178"/>
        <v>1</v>
      </c>
      <c r="K1957" s="76" t="s">
        <v>211</v>
      </c>
      <c r="N1957" s="78" t="s">
        <v>19</v>
      </c>
      <c r="Q1957" s="78" t="s">
        <v>2056</v>
      </c>
      <c r="R1957" s="75">
        <f t="shared" si="179"/>
        <v>1</v>
      </c>
      <c r="S1957" s="263" t="s">
        <v>1991</v>
      </c>
      <c r="T1957" s="263" t="s">
        <v>932</v>
      </c>
      <c r="Y1957" s="576">
        <v>0.72701388888888896</v>
      </c>
      <c r="Z1957" s="576">
        <v>0.7322453703703703</v>
      </c>
      <c r="AA1957" s="576">
        <f t="shared" si="177"/>
        <v>5.2314814814813371E-3</v>
      </c>
      <c r="AB1957" s="722"/>
    </row>
    <row r="1958" spans="1:28" x14ac:dyDescent="0.35">
      <c r="A1958" s="81" t="s">
        <v>6432</v>
      </c>
      <c r="C1958" s="118">
        <v>43913</v>
      </c>
      <c r="D1958" s="318">
        <v>43973</v>
      </c>
      <c r="E1958" s="83">
        <v>43938</v>
      </c>
      <c r="F1958" s="88" t="s">
        <v>6474</v>
      </c>
      <c r="G1958" s="88" t="s">
        <v>158</v>
      </c>
      <c r="H1958" s="98" t="s">
        <v>220</v>
      </c>
      <c r="I1958" s="98" t="s">
        <v>5215</v>
      </c>
      <c r="J1958" s="75">
        <f t="shared" si="178"/>
        <v>1</v>
      </c>
      <c r="K1958" s="76" t="s">
        <v>211</v>
      </c>
      <c r="N1958" s="78" t="s">
        <v>19</v>
      </c>
      <c r="Q1958" s="78" t="s">
        <v>2097</v>
      </c>
      <c r="R1958" s="75">
        <f t="shared" si="179"/>
        <v>1</v>
      </c>
      <c r="S1958" s="263" t="s">
        <v>1991</v>
      </c>
      <c r="T1958" s="263" t="s">
        <v>932</v>
      </c>
      <c r="Y1958" s="576">
        <v>0.71166666666666656</v>
      </c>
      <c r="Z1958" s="576">
        <v>0.72032407407407406</v>
      </c>
      <c r="AA1958" s="576">
        <f t="shared" si="177"/>
        <v>8.6574074074075025E-3</v>
      </c>
      <c r="AB1958" s="722"/>
    </row>
    <row r="1959" spans="1:28" x14ac:dyDescent="0.35">
      <c r="A1959" s="81" t="s">
        <v>6433</v>
      </c>
      <c r="C1959" s="118">
        <v>43913</v>
      </c>
      <c r="D1959" s="318">
        <v>43972</v>
      </c>
      <c r="E1959" s="83">
        <v>43938</v>
      </c>
      <c r="F1959" s="88" t="s">
        <v>6475</v>
      </c>
      <c r="G1959" s="88" t="s">
        <v>156</v>
      </c>
      <c r="H1959" s="98" t="s">
        <v>220</v>
      </c>
      <c r="I1959" s="98" t="s">
        <v>730</v>
      </c>
      <c r="J1959" s="75">
        <f t="shared" si="178"/>
        <v>1</v>
      </c>
      <c r="K1959" s="76" t="s">
        <v>211</v>
      </c>
      <c r="N1959" s="78" t="s">
        <v>18</v>
      </c>
      <c r="Q1959" s="78" t="s">
        <v>2163</v>
      </c>
      <c r="R1959" s="75">
        <f t="shared" si="179"/>
        <v>1</v>
      </c>
      <c r="S1959" s="263" t="s">
        <v>1991</v>
      </c>
      <c r="T1959" s="263" t="s">
        <v>932</v>
      </c>
      <c r="Y1959" s="576">
        <v>0.79681712962962958</v>
      </c>
      <c r="Z1959" s="576">
        <v>0.80525462962962957</v>
      </c>
      <c r="AA1959" s="576">
        <f t="shared" ref="AA1959:AA2003" si="180">Z1959-Y1959</f>
        <v>8.4374999999999867E-3</v>
      </c>
      <c r="AB1959" s="722"/>
    </row>
    <row r="1960" spans="1:28" x14ac:dyDescent="0.35">
      <c r="A1960" s="81" t="s">
        <v>6435</v>
      </c>
      <c r="C1960" s="118">
        <v>43913</v>
      </c>
      <c r="D1960" s="318">
        <v>43972</v>
      </c>
      <c r="E1960" s="83">
        <v>43938</v>
      </c>
      <c r="F1960" s="88" t="s">
        <v>6477</v>
      </c>
      <c r="G1960" s="88" t="s">
        <v>162</v>
      </c>
      <c r="H1960" s="98" t="s">
        <v>220</v>
      </c>
      <c r="I1960" s="98" t="s">
        <v>1004</v>
      </c>
      <c r="J1960" s="75">
        <f t="shared" si="178"/>
        <v>1</v>
      </c>
      <c r="K1960" s="76" t="s">
        <v>211</v>
      </c>
      <c r="L1960" s="99" t="s">
        <v>6777</v>
      </c>
      <c r="N1960" s="78" t="s">
        <v>19</v>
      </c>
      <c r="Q1960" s="78" t="s">
        <v>2163</v>
      </c>
      <c r="R1960" s="75">
        <f t="shared" si="179"/>
        <v>1</v>
      </c>
      <c r="S1960" s="263" t="s">
        <v>1991</v>
      </c>
      <c r="T1960" s="263" t="s">
        <v>933</v>
      </c>
      <c r="Y1960" s="576">
        <v>0.77607638888888886</v>
      </c>
      <c r="Z1960" s="576">
        <v>0.79133101851851861</v>
      </c>
      <c r="AA1960" s="576">
        <f t="shared" si="180"/>
        <v>1.5254629629629757E-2</v>
      </c>
      <c r="AB1960" s="722"/>
    </row>
    <row r="1961" spans="1:28" x14ac:dyDescent="0.35">
      <c r="A1961" s="81" t="s">
        <v>6436</v>
      </c>
      <c r="C1961" s="118">
        <v>43914</v>
      </c>
      <c r="D1961" s="318">
        <v>43973</v>
      </c>
      <c r="E1961" s="83">
        <v>43938</v>
      </c>
      <c r="F1961" s="88" t="s">
        <v>6478</v>
      </c>
      <c r="G1961" s="88" t="s">
        <v>156</v>
      </c>
      <c r="H1961" s="98" t="s">
        <v>220</v>
      </c>
      <c r="I1961" s="98" t="s">
        <v>730</v>
      </c>
      <c r="J1961" s="75">
        <f t="shared" si="178"/>
        <v>1</v>
      </c>
      <c r="K1961" s="76" t="s">
        <v>211</v>
      </c>
      <c r="N1961" s="78" t="s">
        <v>18</v>
      </c>
      <c r="Q1961" s="78" t="s">
        <v>2447</v>
      </c>
      <c r="R1961" s="75">
        <f t="shared" si="179"/>
        <v>1</v>
      </c>
      <c r="S1961" s="263" t="s">
        <v>1991</v>
      </c>
      <c r="T1961" s="263" t="s">
        <v>934</v>
      </c>
      <c r="Y1961" s="576">
        <v>0.80953703703703705</v>
      </c>
      <c r="Z1961" s="576">
        <v>0.82435185185185189</v>
      </c>
      <c r="AA1961" s="576">
        <f t="shared" si="180"/>
        <v>1.4814814814814836E-2</v>
      </c>
      <c r="AB1961" s="722"/>
    </row>
    <row r="1962" spans="1:28" x14ac:dyDescent="0.35">
      <c r="A1962" s="81" t="s">
        <v>6438</v>
      </c>
      <c r="C1962" s="118">
        <v>43914</v>
      </c>
      <c r="D1962" s="318">
        <v>43973</v>
      </c>
      <c r="E1962" s="83">
        <v>43941</v>
      </c>
      <c r="F1962" s="88" t="s">
        <v>6480</v>
      </c>
      <c r="G1962" s="88" t="s">
        <v>181</v>
      </c>
      <c r="H1962" s="98" t="s">
        <v>220</v>
      </c>
      <c r="I1962" s="98" t="s">
        <v>656</v>
      </c>
      <c r="J1962" s="75">
        <f t="shared" si="178"/>
        <v>1</v>
      </c>
      <c r="K1962" s="76" t="s">
        <v>211</v>
      </c>
      <c r="N1962" s="78" t="s">
        <v>17</v>
      </c>
      <c r="Q1962" s="78" t="s">
        <v>2130</v>
      </c>
      <c r="R1962" s="75">
        <f t="shared" si="179"/>
        <v>1</v>
      </c>
      <c r="S1962" s="263" t="s">
        <v>1991</v>
      </c>
      <c r="T1962" s="263" t="s">
        <v>934</v>
      </c>
      <c r="Y1962" s="576">
        <v>0.40626157407407404</v>
      </c>
      <c r="Z1962" s="576">
        <v>0.42581018518518521</v>
      </c>
      <c r="AA1962" s="576">
        <f t="shared" si="180"/>
        <v>1.9548611111111169E-2</v>
      </c>
      <c r="AB1962" s="722"/>
    </row>
    <row r="1963" spans="1:28" x14ac:dyDescent="0.35">
      <c r="A1963" s="98" t="s">
        <v>6515</v>
      </c>
      <c r="C1963" s="118">
        <v>43892</v>
      </c>
      <c r="D1963" s="318">
        <v>43993</v>
      </c>
      <c r="E1963" s="83">
        <v>43966</v>
      </c>
      <c r="F1963" s="88" t="s">
        <v>6641</v>
      </c>
      <c r="G1963" s="88" t="s">
        <v>158</v>
      </c>
      <c r="H1963" s="98" t="s">
        <v>220</v>
      </c>
      <c r="I1963" s="98" t="s">
        <v>6782</v>
      </c>
      <c r="J1963" s="75">
        <f t="shared" si="178"/>
        <v>1</v>
      </c>
      <c r="K1963" s="263" t="s">
        <v>211</v>
      </c>
      <c r="L1963" s="99" t="s">
        <v>6783</v>
      </c>
      <c r="N1963" s="78" t="s">
        <v>17</v>
      </c>
      <c r="Q1963" s="78" t="s">
        <v>2056</v>
      </c>
      <c r="R1963" s="75">
        <f t="shared" si="179"/>
        <v>1</v>
      </c>
      <c r="S1963" s="263" t="s">
        <v>1991</v>
      </c>
      <c r="T1963" s="263" t="s">
        <v>932</v>
      </c>
      <c r="U1963" s="304" t="s">
        <v>5592</v>
      </c>
      <c r="V1963" s="304" t="s">
        <v>6784</v>
      </c>
      <c r="Y1963" s="576">
        <v>0.50592592592592589</v>
      </c>
      <c r="Z1963" s="576">
        <v>0.52218750000000003</v>
      </c>
      <c r="AA1963" s="576">
        <f t="shared" si="180"/>
        <v>1.6261574074074137E-2</v>
      </c>
      <c r="AB1963" s="722"/>
    </row>
    <row r="1964" spans="1:28" x14ac:dyDescent="0.35">
      <c r="A1964" s="98" t="s">
        <v>6516</v>
      </c>
      <c r="C1964" s="118">
        <v>43892</v>
      </c>
      <c r="D1964" s="318">
        <v>43976</v>
      </c>
      <c r="E1964" s="83">
        <v>43942</v>
      </c>
      <c r="F1964" s="88" t="s">
        <v>6642</v>
      </c>
      <c r="G1964" s="88" t="s">
        <v>162</v>
      </c>
      <c r="H1964" s="98" t="s">
        <v>220</v>
      </c>
      <c r="I1964" s="98" t="s">
        <v>5215</v>
      </c>
      <c r="J1964" s="75">
        <f t="shared" si="178"/>
        <v>1</v>
      </c>
      <c r="K1964" s="76" t="s">
        <v>211</v>
      </c>
      <c r="N1964" s="78" t="s">
        <v>19</v>
      </c>
      <c r="Q1964" s="78" t="s">
        <v>2163</v>
      </c>
      <c r="R1964" s="75">
        <f t="shared" si="179"/>
        <v>1</v>
      </c>
      <c r="S1964" s="263" t="s">
        <v>1991</v>
      </c>
      <c r="T1964" s="263" t="s">
        <v>933</v>
      </c>
      <c r="Y1964" s="576">
        <v>0.72159722222222233</v>
      </c>
      <c r="Z1964" s="576">
        <v>0.7284722222222223</v>
      </c>
      <c r="AA1964" s="576">
        <f t="shared" si="180"/>
        <v>6.8749999999999645E-3</v>
      </c>
      <c r="AB1964" s="722"/>
    </row>
    <row r="1965" spans="1:28" x14ac:dyDescent="0.35">
      <c r="A1965" s="81" t="s">
        <v>6517</v>
      </c>
      <c r="C1965" s="118">
        <v>43900</v>
      </c>
      <c r="D1965" s="318">
        <v>43976</v>
      </c>
      <c r="E1965" s="83">
        <v>43942</v>
      </c>
      <c r="F1965" s="88" t="s">
        <v>6643</v>
      </c>
      <c r="G1965" s="88" t="s">
        <v>154</v>
      </c>
      <c r="H1965" s="98" t="s">
        <v>220</v>
      </c>
      <c r="I1965" s="98" t="s">
        <v>652</v>
      </c>
      <c r="J1965" s="75">
        <f t="shared" si="178"/>
        <v>1</v>
      </c>
      <c r="K1965" s="76" t="s">
        <v>211</v>
      </c>
      <c r="N1965" s="78" t="s">
        <v>17</v>
      </c>
      <c r="Q1965" s="78" t="s">
        <v>2447</v>
      </c>
      <c r="R1965" s="75">
        <f t="shared" si="179"/>
        <v>1</v>
      </c>
      <c r="S1965" s="263" t="s">
        <v>1991</v>
      </c>
      <c r="T1965" s="263" t="s">
        <v>932</v>
      </c>
      <c r="Y1965" s="576">
        <v>0.46929398148148144</v>
      </c>
      <c r="Z1965" s="576">
        <v>0.48347222222222225</v>
      </c>
      <c r="AA1965" s="576">
        <f t="shared" si="180"/>
        <v>1.4178240740740811E-2</v>
      </c>
      <c r="AB1965" s="722"/>
    </row>
    <row r="1966" spans="1:28" x14ac:dyDescent="0.35">
      <c r="A1966" s="81" t="s">
        <v>6104</v>
      </c>
      <c r="C1966" s="118">
        <v>43900</v>
      </c>
      <c r="D1966" s="318">
        <v>43979</v>
      </c>
      <c r="E1966" s="83">
        <v>43943</v>
      </c>
      <c r="F1966" s="255" t="s">
        <v>6105</v>
      </c>
      <c r="G1966" s="88" t="s">
        <v>160</v>
      </c>
      <c r="H1966" s="98" t="s">
        <v>220</v>
      </c>
      <c r="I1966" s="98" t="s">
        <v>722</v>
      </c>
      <c r="J1966" s="75">
        <f t="shared" si="178"/>
        <v>1</v>
      </c>
      <c r="K1966" s="263" t="s">
        <v>211</v>
      </c>
      <c r="L1966" s="99" t="s">
        <v>6811</v>
      </c>
      <c r="N1966" s="78" t="s">
        <v>17</v>
      </c>
      <c r="Q1966" s="78" t="s">
        <v>2163</v>
      </c>
      <c r="R1966" s="75">
        <f t="shared" si="179"/>
        <v>1</v>
      </c>
      <c r="S1966" s="263" t="s">
        <v>1991</v>
      </c>
      <c r="T1966" s="263" t="s">
        <v>934</v>
      </c>
      <c r="Y1966" s="576">
        <v>0.8208333333333333</v>
      </c>
      <c r="Z1966" s="576">
        <v>0.83206018518518521</v>
      </c>
      <c r="AA1966" s="576">
        <f t="shared" si="180"/>
        <v>1.1226851851851904E-2</v>
      </c>
      <c r="AB1966" s="722"/>
    </row>
    <row r="1967" spans="1:28" x14ac:dyDescent="0.35">
      <c r="A1967" s="81" t="s">
        <v>5722</v>
      </c>
      <c r="C1967" s="118">
        <v>43901</v>
      </c>
      <c r="D1967" s="318">
        <v>43976</v>
      </c>
      <c r="E1967" s="83">
        <v>43941</v>
      </c>
      <c r="F1967" s="88" t="s">
        <v>5872</v>
      </c>
      <c r="G1967" s="88" t="s">
        <v>162</v>
      </c>
      <c r="H1967" s="98" t="s">
        <v>220</v>
      </c>
      <c r="I1967" s="98" t="s">
        <v>649</v>
      </c>
      <c r="J1967" s="75">
        <f t="shared" si="178"/>
        <v>1</v>
      </c>
      <c r="K1967" s="76" t="s">
        <v>211</v>
      </c>
      <c r="N1967" s="78" t="s">
        <v>18</v>
      </c>
      <c r="Q1967" s="78" t="s">
        <v>2130</v>
      </c>
      <c r="R1967" s="75">
        <f t="shared" si="179"/>
        <v>1</v>
      </c>
      <c r="S1967" s="263" t="s">
        <v>1991</v>
      </c>
      <c r="T1967" s="263" t="s">
        <v>934</v>
      </c>
      <c r="Y1967" s="576">
        <v>0.6305439814814815</v>
      </c>
      <c r="Z1967" s="576">
        <v>0.63850694444444445</v>
      </c>
      <c r="AA1967" s="576">
        <f t="shared" si="180"/>
        <v>7.9629629629629495E-3</v>
      </c>
      <c r="AB1967" s="722"/>
    </row>
    <row r="1968" spans="1:28" x14ac:dyDescent="0.35">
      <c r="A1968" s="81" t="s">
        <v>5727</v>
      </c>
      <c r="C1968" s="118">
        <v>43901</v>
      </c>
      <c r="D1968" s="318">
        <v>43977</v>
      </c>
      <c r="E1968" s="83">
        <v>43941</v>
      </c>
      <c r="F1968" s="88" t="s">
        <v>5877</v>
      </c>
      <c r="G1968" s="88" t="s">
        <v>160</v>
      </c>
      <c r="H1968" s="98" t="s">
        <v>220</v>
      </c>
      <c r="I1968" s="98" t="s">
        <v>649</v>
      </c>
      <c r="J1968" s="75">
        <f t="shared" si="178"/>
        <v>1</v>
      </c>
      <c r="K1968" s="76" t="s">
        <v>211</v>
      </c>
      <c r="N1968" s="78" t="s">
        <v>18</v>
      </c>
      <c r="Q1968" s="78" t="s">
        <v>2056</v>
      </c>
      <c r="R1968" s="75">
        <f t="shared" si="179"/>
        <v>1</v>
      </c>
      <c r="S1968" s="263" t="s">
        <v>1991</v>
      </c>
      <c r="T1968" s="263" t="s">
        <v>933</v>
      </c>
      <c r="Y1968" s="576">
        <v>0.47716435185185185</v>
      </c>
      <c r="Z1968" s="576">
        <v>0.48120370370370374</v>
      </c>
      <c r="AA1968" s="576">
        <f t="shared" si="180"/>
        <v>4.0393518518518912E-3</v>
      </c>
      <c r="AB1968" s="722"/>
    </row>
    <row r="1969" spans="1:28" x14ac:dyDescent="0.35">
      <c r="A1969" s="81" t="s">
        <v>5728</v>
      </c>
      <c r="C1969" s="118">
        <v>43901</v>
      </c>
      <c r="D1969" s="318">
        <v>43977</v>
      </c>
      <c r="E1969" s="83">
        <v>43942</v>
      </c>
      <c r="F1969" s="88" t="s">
        <v>5878</v>
      </c>
      <c r="G1969" s="88" t="s">
        <v>1390</v>
      </c>
      <c r="H1969" s="98" t="s">
        <v>220</v>
      </c>
      <c r="I1969" s="98" t="s">
        <v>722</v>
      </c>
      <c r="J1969" s="75">
        <f t="shared" si="178"/>
        <v>1</v>
      </c>
      <c r="K1969" s="76" t="s">
        <v>211</v>
      </c>
      <c r="N1969" s="78" t="s">
        <v>17</v>
      </c>
      <c r="Q1969" s="78" t="s">
        <v>2447</v>
      </c>
      <c r="R1969" s="75">
        <f t="shared" si="179"/>
        <v>1</v>
      </c>
      <c r="S1969" s="263" t="s">
        <v>1991</v>
      </c>
      <c r="T1969" s="263" t="s">
        <v>933</v>
      </c>
      <c r="U1969" s="304" t="s">
        <v>5592</v>
      </c>
      <c r="V1969" s="304" t="s">
        <v>6792</v>
      </c>
      <c r="Y1969" s="576">
        <v>0.48388888888888887</v>
      </c>
      <c r="Z1969" s="576">
        <v>0.49478009259259265</v>
      </c>
      <c r="AA1969" s="576">
        <f t="shared" si="180"/>
        <v>1.0891203703703778E-2</v>
      </c>
      <c r="AB1969" s="722"/>
    </row>
    <row r="1970" spans="1:28" x14ac:dyDescent="0.35">
      <c r="A1970" s="81" t="s">
        <v>6518</v>
      </c>
      <c r="C1970" s="118">
        <v>43901</v>
      </c>
      <c r="D1970" s="318">
        <v>43976</v>
      </c>
      <c r="E1970" s="83">
        <v>43943</v>
      </c>
      <c r="F1970" s="88" t="s">
        <v>6644</v>
      </c>
      <c r="G1970" s="88" t="s">
        <v>149</v>
      </c>
      <c r="H1970" s="98" t="s">
        <v>220</v>
      </c>
      <c r="I1970" s="98" t="s">
        <v>649</v>
      </c>
      <c r="J1970" s="75">
        <f t="shared" si="178"/>
        <v>1</v>
      </c>
      <c r="K1970" s="76" t="s">
        <v>211</v>
      </c>
      <c r="N1970" s="78" t="s">
        <v>18</v>
      </c>
      <c r="Q1970" s="78" t="s">
        <v>2163</v>
      </c>
      <c r="R1970" s="75">
        <f t="shared" si="179"/>
        <v>1</v>
      </c>
      <c r="S1970" s="263" t="s">
        <v>1991</v>
      </c>
      <c r="T1970" s="263" t="s">
        <v>932</v>
      </c>
      <c r="Y1970" s="576">
        <v>0.81520833333333342</v>
      </c>
      <c r="Z1970" s="576">
        <v>0.82027777777777777</v>
      </c>
      <c r="AA1970" s="576">
        <f t="shared" si="180"/>
        <v>5.0694444444443487E-3</v>
      </c>
      <c r="AB1970" s="722"/>
    </row>
    <row r="1971" spans="1:28" x14ac:dyDescent="0.35">
      <c r="A1971" s="98" t="s">
        <v>5732</v>
      </c>
      <c r="C1971" s="118">
        <v>43901</v>
      </c>
      <c r="D1971" s="318">
        <v>43976</v>
      </c>
      <c r="E1971" s="83">
        <v>43943</v>
      </c>
      <c r="F1971" s="88" t="s">
        <v>5882</v>
      </c>
      <c r="G1971" s="88" t="s">
        <v>1390</v>
      </c>
      <c r="H1971" s="98" t="s">
        <v>220</v>
      </c>
      <c r="I1971" s="98" t="s">
        <v>1004</v>
      </c>
      <c r="J1971" s="75">
        <f t="shared" si="178"/>
        <v>1</v>
      </c>
      <c r="K1971" s="76" t="s">
        <v>211</v>
      </c>
      <c r="N1971" s="78" t="s">
        <v>19</v>
      </c>
      <c r="Q1971" s="78" t="s">
        <v>2097</v>
      </c>
      <c r="R1971" s="75">
        <f t="shared" si="179"/>
        <v>1</v>
      </c>
      <c r="S1971" s="263" t="s">
        <v>1991</v>
      </c>
      <c r="T1971" s="263" t="s">
        <v>933</v>
      </c>
      <c r="Y1971" s="576">
        <v>0.55349537037037033</v>
      </c>
      <c r="Z1971" s="576">
        <v>0.57354166666666673</v>
      </c>
      <c r="AA1971" s="576">
        <f t="shared" si="180"/>
        <v>2.0046296296296395E-2</v>
      </c>
      <c r="AB1971" s="722"/>
    </row>
    <row r="1972" spans="1:28" x14ac:dyDescent="0.35">
      <c r="A1972" s="81" t="s">
        <v>5735</v>
      </c>
      <c r="C1972" s="118">
        <v>43901</v>
      </c>
      <c r="D1972" s="318">
        <v>43976</v>
      </c>
      <c r="E1972" s="83">
        <v>43942</v>
      </c>
      <c r="F1972" s="88" t="s">
        <v>5885</v>
      </c>
      <c r="G1972" s="88" t="s">
        <v>1051</v>
      </c>
      <c r="H1972" s="98" t="s">
        <v>220</v>
      </c>
      <c r="I1972" s="98" t="s">
        <v>730</v>
      </c>
      <c r="J1972" s="75">
        <f t="shared" si="178"/>
        <v>1</v>
      </c>
      <c r="K1972" s="76" t="s">
        <v>211</v>
      </c>
      <c r="N1972" s="78" t="s">
        <v>18</v>
      </c>
      <c r="Q1972" s="78" t="s">
        <v>2447</v>
      </c>
      <c r="R1972" s="75">
        <f t="shared" si="179"/>
        <v>1</v>
      </c>
      <c r="S1972" s="263" t="s">
        <v>1991</v>
      </c>
      <c r="T1972" s="263" t="s">
        <v>933</v>
      </c>
      <c r="Y1972" s="576">
        <v>0.37487268518518518</v>
      </c>
      <c r="Z1972" s="576">
        <v>0.38035879629629626</v>
      </c>
      <c r="AA1972" s="576">
        <f t="shared" si="180"/>
        <v>5.4861111111110805E-3</v>
      </c>
      <c r="AB1972" s="722"/>
    </row>
    <row r="1973" spans="1:28" x14ac:dyDescent="0.35">
      <c r="A1973" s="81" t="s">
        <v>5736</v>
      </c>
      <c r="C1973" s="118">
        <v>43901</v>
      </c>
      <c r="D1973" s="318">
        <v>43977</v>
      </c>
      <c r="E1973" s="83">
        <v>43943</v>
      </c>
      <c r="F1973" s="88" t="s">
        <v>5886</v>
      </c>
      <c r="G1973" s="88" t="s">
        <v>149</v>
      </c>
      <c r="H1973" s="98" t="s">
        <v>220</v>
      </c>
      <c r="I1973" s="98" t="s">
        <v>722</v>
      </c>
      <c r="J1973" s="75">
        <f t="shared" si="178"/>
        <v>1</v>
      </c>
      <c r="K1973" s="76" t="s">
        <v>211</v>
      </c>
      <c r="N1973" s="78" t="s">
        <v>17</v>
      </c>
      <c r="Q1973" s="78" t="s">
        <v>2163</v>
      </c>
      <c r="R1973" s="75">
        <f t="shared" si="179"/>
        <v>1</v>
      </c>
      <c r="S1973" s="263" t="s">
        <v>1991</v>
      </c>
      <c r="T1973" s="263" t="s">
        <v>932</v>
      </c>
      <c r="Y1973" s="576">
        <v>0.80885416666666676</v>
      </c>
      <c r="Z1973" s="576">
        <v>0.81488425925925922</v>
      </c>
      <c r="AA1973" s="576">
        <f t="shared" si="180"/>
        <v>6.030092592592462E-3</v>
      </c>
      <c r="AB1973" s="722"/>
    </row>
    <row r="1974" spans="1:28" x14ac:dyDescent="0.35">
      <c r="A1974" s="81" t="s">
        <v>5744</v>
      </c>
      <c r="C1974" s="118">
        <v>43901</v>
      </c>
      <c r="D1974" s="318">
        <v>43976</v>
      </c>
      <c r="E1974" s="83">
        <v>43943</v>
      </c>
      <c r="F1974" s="88" t="s">
        <v>5894</v>
      </c>
      <c r="G1974" s="88" t="s">
        <v>168</v>
      </c>
      <c r="H1974" s="98" t="s">
        <v>220</v>
      </c>
      <c r="I1974" s="98" t="s">
        <v>649</v>
      </c>
      <c r="J1974" s="75">
        <f t="shared" si="178"/>
        <v>1</v>
      </c>
      <c r="K1974" s="76" t="s">
        <v>211</v>
      </c>
      <c r="N1974" s="78" t="s">
        <v>18</v>
      </c>
      <c r="Q1974" s="78" t="s">
        <v>2097</v>
      </c>
      <c r="R1974" s="75">
        <f t="shared" si="179"/>
        <v>1</v>
      </c>
      <c r="S1974" s="263" t="s">
        <v>1991</v>
      </c>
      <c r="T1974" s="263" t="s">
        <v>934</v>
      </c>
      <c r="U1974" s="304" t="s">
        <v>5592</v>
      </c>
      <c r="V1974" s="304" t="s">
        <v>6800</v>
      </c>
      <c r="Y1974" s="576">
        <v>0.53059027777777779</v>
      </c>
      <c r="Z1974" s="576">
        <v>0.54740740740740745</v>
      </c>
      <c r="AA1974" s="576">
        <f t="shared" si="180"/>
        <v>1.6817129629629668E-2</v>
      </c>
      <c r="AB1974" s="722"/>
    </row>
    <row r="1975" spans="1:28" x14ac:dyDescent="0.35">
      <c r="A1975" s="81" t="s">
        <v>5746</v>
      </c>
      <c r="C1975" s="118">
        <v>43902</v>
      </c>
      <c r="D1975" s="318">
        <v>43978</v>
      </c>
      <c r="E1975" s="83">
        <v>43943</v>
      </c>
      <c r="F1975" s="88" t="s">
        <v>5896</v>
      </c>
      <c r="G1975" s="88" t="s">
        <v>3866</v>
      </c>
      <c r="H1975" s="98" t="s">
        <v>220</v>
      </c>
      <c r="I1975" s="98" t="s">
        <v>649</v>
      </c>
      <c r="J1975" s="75">
        <f t="shared" si="178"/>
        <v>1</v>
      </c>
      <c r="K1975" s="76" t="s">
        <v>211</v>
      </c>
      <c r="N1975" s="78" t="s">
        <v>18</v>
      </c>
      <c r="Q1975" s="78" t="s">
        <v>2130</v>
      </c>
      <c r="R1975" s="75">
        <f t="shared" si="179"/>
        <v>1</v>
      </c>
      <c r="S1975" s="263" t="s">
        <v>1991</v>
      </c>
      <c r="T1975" s="263" t="s">
        <v>933</v>
      </c>
      <c r="Y1975" s="576">
        <v>0.72099537037037031</v>
      </c>
      <c r="Z1975" s="576">
        <v>0.72457175925925921</v>
      </c>
      <c r="AA1975" s="576">
        <f t="shared" si="180"/>
        <v>3.5763888888888928E-3</v>
      </c>
      <c r="AB1975" s="722"/>
    </row>
    <row r="1976" spans="1:28" x14ac:dyDescent="0.35">
      <c r="A1976" s="81" t="s">
        <v>6519</v>
      </c>
      <c r="C1976" s="118">
        <v>43902</v>
      </c>
      <c r="D1976" s="318">
        <v>43978</v>
      </c>
      <c r="E1976" s="83">
        <v>43941</v>
      </c>
      <c r="F1976" s="88" t="s">
        <v>6645</v>
      </c>
      <c r="G1976" s="88" t="s">
        <v>162</v>
      </c>
      <c r="H1976" s="98" t="s">
        <v>220</v>
      </c>
      <c r="I1976" s="98" t="s">
        <v>649</v>
      </c>
      <c r="J1976" s="75">
        <f t="shared" si="178"/>
        <v>1</v>
      </c>
      <c r="K1976" s="76" t="s">
        <v>211</v>
      </c>
      <c r="N1976" s="78" t="s">
        <v>18</v>
      </c>
      <c r="Q1976" s="78" t="s">
        <v>2056</v>
      </c>
      <c r="R1976" s="75">
        <f t="shared" si="179"/>
        <v>1</v>
      </c>
      <c r="S1976" s="263" t="s">
        <v>1991</v>
      </c>
      <c r="T1976" s="263" t="s">
        <v>932</v>
      </c>
      <c r="Y1976" s="576">
        <v>0.4926388888888889</v>
      </c>
      <c r="Z1976" s="576">
        <v>0.497037037037037</v>
      </c>
      <c r="AA1976" s="576">
        <f t="shared" si="180"/>
        <v>4.3981481481480955E-3</v>
      </c>
      <c r="AB1976" s="722"/>
    </row>
    <row r="1977" spans="1:28" x14ac:dyDescent="0.35">
      <c r="A1977" s="81" t="s">
        <v>5747</v>
      </c>
      <c r="C1977" s="118">
        <v>43902</v>
      </c>
      <c r="D1977" s="318">
        <v>43978</v>
      </c>
      <c r="E1977" s="83">
        <v>43943</v>
      </c>
      <c r="F1977" s="88" t="s">
        <v>5897</v>
      </c>
      <c r="G1977" s="88" t="s">
        <v>152</v>
      </c>
      <c r="H1977" s="98" t="s">
        <v>220</v>
      </c>
      <c r="I1977" s="98" t="s">
        <v>649</v>
      </c>
      <c r="J1977" s="75">
        <f t="shared" si="178"/>
        <v>1</v>
      </c>
      <c r="K1977" s="76" t="s">
        <v>211</v>
      </c>
      <c r="N1977" s="78" t="s">
        <v>18</v>
      </c>
      <c r="Q1977" s="78" t="s">
        <v>2130</v>
      </c>
      <c r="R1977" s="75">
        <f t="shared" si="179"/>
        <v>1</v>
      </c>
      <c r="S1977" s="263" t="s">
        <v>1991</v>
      </c>
      <c r="T1977" s="263" t="s">
        <v>934</v>
      </c>
      <c r="U1977" s="304" t="s">
        <v>5592</v>
      </c>
      <c r="V1977" s="304" t="s">
        <v>6805</v>
      </c>
      <c r="Y1977" s="576">
        <v>0.71217592592592593</v>
      </c>
      <c r="Z1977" s="576">
        <v>0.72037037037037033</v>
      </c>
      <c r="AA1977" s="576">
        <f t="shared" si="180"/>
        <v>8.1944444444443931E-3</v>
      </c>
      <c r="AB1977" s="722"/>
    </row>
    <row r="1978" spans="1:28" x14ac:dyDescent="0.35">
      <c r="A1978" s="81" t="s">
        <v>5748</v>
      </c>
      <c r="C1978" s="118">
        <v>43902</v>
      </c>
      <c r="D1978" s="318">
        <v>43978</v>
      </c>
      <c r="E1978" s="83">
        <v>43945</v>
      </c>
      <c r="F1978" s="88" t="s">
        <v>5898</v>
      </c>
      <c r="G1978" s="88" t="s">
        <v>160</v>
      </c>
      <c r="H1978" s="98" t="s">
        <v>220</v>
      </c>
      <c r="I1978" s="98" t="s">
        <v>722</v>
      </c>
      <c r="J1978" s="75">
        <f t="shared" si="178"/>
        <v>1</v>
      </c>
      <c r="K1978" s="76" t="s">
        <v>211</v>
      </c>
      <c r="N1978" s="78" t="s">
        <v>18</v>
      </c>
      <c r="Q1978" s="78" t="s">
        <v>2097</v>
      </c>
      <c r="R1978" s="75">
        <f t="shared" si="179"/>
        <v>1</v>
      </c>
      <c r="S1978" s="263" t="s">
        <v>1991</v>
      </c>
      <c r="T1978" s="263" t="s">
        <v>932</v>
      </c>
      <c r="Y1978" s="576">
        <v>0.75063657407407414</v>
      </c>
      <c r="Z1978" s="576">
        <v>0.75962962962962965</v>
      </c>
      <c r="AA1978" s="576">
        <f t="shared" si="180"/>
        <v>8.9930555555555181E-3</v>
      </c>
      <c r="AB1978" s="722"/>
    </row>
    <row r="1979" spans="1:28" x14ac:dyDescent="0.35">
      <c r="A1979" s="81" t="s">
        <v>6520</v>
      </c>
      <c r="C1979" s="118">
        <v>43902</v>
      </c>
      <c r="D1979" s="318">
        <v>43977</v>
      </c>
      <c r="E1979" s="83">
        <v>43942</v>
      </c>
      <c r="F1979" s="88" t="s">
        <v>6646</v>
      </c>
      <c r="G1979" s="88" t="s">
        <v>149</v>
      </c>
      <c r="H1979" s="98" t="s">
        <v>220</v>
      </c>
      <c r="I1979" s="98" t="s">
        <v>652</v>
      </c>
      <c r="J1979" s="75">
        <f t="shared" si="178"/>
        <v>1</v>
      </c>
      <c r="K1979" s="76" t="s">
        <v>211</v>
      </c>
      <c r="L1979" s="99" t="s">
        <v>6798</v>
      </c>
      <c r="N1979" s="78" t="s">
        <v>19</v>
      </c>
      <c r="Q1979" s="78" t="s">
        <v>2447</v>
      </c>
      <c r="R1979" s="75">
        <f t="shared" si="179"/>
        <v>1</v>
      </c>
      <c r="S1979" s="263" t="s">
        <v>1991</v>
      </c>
      <c r="T1979" s="263" t="s">
        <v>932</v>
      </c>
      <c r="Y1979" s="576">
        <v>0.64094907407407409</v>
      </c>
      <c r="Z1979" s="576">
        <v>0.65501157407407407</v>
      </c>
      <c r="AA1979" s="576">
        <f t="shared" si="180"/>
        <v>1.4062499999999978E-2</v>
      </c>
      <c r="AB1979" s="722"/>
    </row>
    <row r="1980" spans="1:28" x14ac:dyDescent="0.35">
      <c r="A1980" s="81" t="s">
        <v>5756</v>
      </c>
      <c r="C1980" s="118">
        <v>43902</v>
      </c>
      <c r="D1980" s="318">
        <v>43977</v>
      </c>
      <c r="E1980" s="83">
        <v>43943</v>
      </c>
      <c r="F1980" s="88" t="s">
        <v>5906</v>
      </c>
      <c r="G1980" s="88" t="s">
        <v>154</v>
      </c>
      <c r="H1980" s="98" t="s">
        <v>220</v>
      </c>
      <c r="I1980" s="98" t="s">
        <v>730</v>
      </c>
      <c r="J1980" s="75">
        <f t="shared" si="178"/>
        <v>1</v>
      </c>
      <c r="K1980" s="263" t="s">
        <v>211</v>
      </c>
      <c r="L1980" s="99" t="s">
        <v>6810</v>
      </c>
      <c r="N1980" s="78" t="s">
        <v>17</v>
      </c>
      <c r="Q1980" s="78" t="s">
        <v>2163</v>
      </c>
      <c r="R1980" s="75">
        <f t="shared" si="179"/>
        <v>1</v>
      </c>
      <c r="S1980" s="263" t="s">
        <v>1991</v>
      </c>
      <c r="T1980" s="263" t="s">
        <v>933</v>
      </c>
      <c r="X1980" s="304" t="s">
        <v>6839</v>
      </c>
      <c r="Y1980" s="576">
        <v>0.80061342592592588</v>
      </c>
      <c r="Z1980" s="576">
        <v>0.80850694444444438</v>
      </c>
      <c r="AA1980" s="576">
        <f t="shared" si="180"/>
        <v>7.8935185185184942E-3</v>
      </c>
      <c r="AB1980" s="722"/>
    </row>
    <row r="1981" spans="1:28" x14ac:dyDescent="0.35">
      <c r="A1981" s="81" t="s">
        <v>5759</v>
      </c>
      <c r="C1981" s="118">
        <v>43902</v>
      </c>
      <c r="D1981" s="318">
        <v>43977</v>
      </c>
      <c r="E1981" s="83">
        <v>43943</v>
      </c>
      <c r="F1981" s="88" t="s">
        <v>5909</v>
      </c>
      <c r="G1981" s="88" t="s">
        <v>154</v>
      </c>
      <c r="H1981" s="98" t="s">
        <v>220</v>
      </c>
      <c r="I1981" s="98" t="s">
        <v>722</v>
      </c>
      <c r="J1981" s="75">
        <f t="shared" si="178"/>
        <v>1</v>
      </c>
      <c r="K1981" s="76" t="s">
        <v>211</v>
      </c>
      <c r="L1981" s="99" t="s">
        <v>6799</v>
      </c>
      <c r="N1981" s="78" t="s">
        <v>17</v>
      </c>
      <c r="Q1981" s="78" t="s">
        <v>2097</v>
      </c>
      <c r="R1981" s="75">
        <f t="shared" si="179"/>
        <v>1</v>
      </c>
      <c r="S1981" s="263" t="s">
        <v>1991</v>
      </c>
      <c r="T1981" s="263" t="s">
        <v>932</v>
      </c>
      <c r="Y1981" s="576">
        <v>0.49471064814814819</v>
      </c>
      <c r="Z1981" s="576">
        <v>0.51218750000000002</v>
      </c>
      <c r="AA1981" s="576">
        <f t="shared" si="180"/>
        <v>1.7476851851851827E-2</v>
      </c>
      <c r="AB1981" s="722"/>
    </row>
    <row r="1982" spans="1:28" x14ac:dyDescent="0.35">
      <c r="A1982" s="81" t="s">
        <v>5762</v>
      </c>
      <c r="C1982" s="118">
        <v>43902</v>
      </c>
      <c r="D1982" s="318">
        <v>43978</v>
      </c>
      <c r="E1982" s="83">
        <v>43944</v>
      </c>
      <c r="F1982" s="88" t="s">
        <v>5912</v>
      </c>
      <c r="G1982" s="88" t="s">
        <v>149</v>
      </c>
      <c r="H1982" s="98" t="s">
        <v>220</v>
      </c>
      <c r="I1982" s="98" t="s">
        <v>649</v>
      </c>
      <c r="J1982" s="75">
        <f t="shared" si="178"/>
        <v>1</v>
      </c>
      <c r="K1982" s="76" t="s">
        <v>211</v>
      </c>
      <c r="N1982" s="78" t="s">
        <v>18</v>
      </c>
      <c r="Q1982" s="78" t="s">
        <v>2163</v>
      </c>
      <c r="R1982" s="75">
        <f t="shared" si="179"/>
        <v>1</v>
      </c>
      <c r="S1982" s="263" t="s">
        <v>1991</v>
      </c>
      <c r="T1982" s="263" t="s">
        <v>934</v>
      </c>
      <c r="Y1982" s="576">
        <v>0.76539351851851845</v>
      </c>
      <c r="Z1982" s="576">
        <v>0.77493055555555557</v>
      </c>
      <c r="AA1982" s="576">
        <f t="shared" si="180"/>
        <v>9.5370370370371216E-3</v>
      </c>
      <c r="AB1982" s="722"/>
    </row>
    <row r="1983" spans="1:28" x14ac:dyDescent="0.35">
      <c r="A1983" s="81" t="s">
        <v>5764</v>
      </c>
      <c r="C1983" s="118">
        <v>43902</v>
      </c>
      <c r="D1983" s="318">
        <v>43977</v>
      </c>
      <c r="E1983" s="83">
        <v>43943</v>
      </c>
      <c r="F1983" s="88" t="s">
        <v>5914</v>
      </c>
      <c r="G1983" s="88" t="s">
        <v>149</v>
      </c>
      <c r="H1983" s="98" t="s">
        <v>220</v>
      </c>
      <c r="I1983" s="98" t="s">
        <v>649</v>
      </c>
      <c r="J1983" s="75">
        <f t="shared" si="178"/>
        <v>1</v>
      </c>
      <c r="K1983" s="76" t="s">
        <v>211</v>
      </c>
      <c r="N1983" s="78" t="s">
        <v>18</v>
      </c>
      <c r="Q1983" s="78" t="s">
        <v>2130</v>
      </c>
      <c r="R1983" s="75">
        <f t="shared" si="179"/>
        <v>1</v>
      </c>
      <c r="S1983" s="263" t="s">
        <v>1991</v>
      </c>
      <c r="T1983" s="263" t="s">
        <v>932</v>
      </c>
      <c r="U1983" s="304" t="s">
        <v>5592</v>
      </c>
      <c r="V1983" s="304" t="s">
        <v>6806</v>
      </c>
      <c r="Y1983" s="576">
        <v>0.72486111111111118</v>
      </c>
      <c r="Z1983" s="576">
        <v>0.73209490740740746</v>
      </c>
      <c r="AA1983" s="576">
        <f t="shared" si="180"/>
        <v>7.2337962962962798E-3</v>
      </c>
      <c r="AB1983" s="722"/>
    </row>
    <row r="1984" spans="1:28" x14ac:dyDescent="0.35">
      <c r="A1984" s="81" t="s">
        <v>5766</v>
      </c>
      <c r="C1984" s="118">
        <v>43902</v>
      </c>
      <c r="D1984" s="318">
        <v>43978</v>
      </c>
      <c r="E1984" s="83">
        <v>43945</v>
      </c>
      <c r="F1984" s="88" t="s">
        <v>5916</v>
      </c>
      <c r="G1984" s="88" t="s">
        <v>154</v>
      </c>
      <c r="H1984" s="98" t="s">
        <v>220</v>
      </c>
      <c r="I1984" s="98" t="s">
        <v>649</v>
      </c>
      <c r="J1984" s="75">
        <f t="shared" si="178"/>
        <v>1</v>
      </c>
      <c r="K1984" s="76" t="s">
        <v>211</v>
      </c>
      <c r="N1984" s="78" t="s">
        <v>18</v>
      </c>
      <c r="Q1984" s="78" t="s">
        <v>2097</v>
      </c>
      <c r="R1984" s="75">
        <f t="shared" si="179"/>
        <v>1</v>
      </c>
      <c r="S1984" s="263" t="s">
        <v>1991</v>
      </c>
      <c r="T1984" s="263" t="s">
        <v>933</v>
      </c>
      <c r="Y1984" s="576">
        <v>0.7455208333333333</v>
      </c>
      <c r="Z1984" s="576">
        <v>0.75013888888888891</v>
      </c>
      <c r="AA1984" s="576">
        <f t="shared" si="180"/>
        <v>4.6180555555556113E-3</v>
      </c>
      <c r="AB1984" s="722"/>
    </row>
    <row r="1985" spans="1:28" x14ac:dyDescent="0.35">
      <c r="A1985" s="81" t="s">
        <v>5767</v>
      </c>
      <c r="C1985" s="118">
        <v>43902</v>
      </c>
      <c r="D1985" s="318">
        <v>43977</v>
      </c>
      <c r="E1985" s="83">
        <v>43941</v>
      </c>
      <c r="F1985" s="88" t="s">
        <v>5917</v>
      </c>
      <c r="G1985" s="88" t="s">
        <v>162</v>
      </c>
      <c r="H1985" s="98" t="s">
        <v>220</v>
      </c>
      <c r="I1985" s="98" t="s">
        <v>1004</v>
      </c>
      <c r="J1985" s="75">
        <f t="shared" si="178"/>
        <v>1</v>
      </c>
      <c r="K1985" s="76" t="s">
        <v>211</v>
      </c>
      <c r="N1985" s="78" t="s">
        <v>19</v>
      </c>
      <c r="Q1985" s="78" t="s">
        <v>2056</v>
      </c>
      <c r="R1985" s="75">
        <f t="shared" si="179"/>
        <v>1</v>
      </c>
      <c r="S1985" s="263" t="s">
        <v>1991</v>
      </c>
      <c r="T1985" s="263" t="s">
        <v>934</v>
      </c>
      <c r="Y1985" s="576">
        <v>0.61902777777777784</v>
      </c>
      <c r="Z1985" s="576">
        <v>0.62993055555555555</v>
      </c>
      <c r="AA1985" s="576">
        <f t="shared" si="180"/>
        <v>1.0902777777777706E-2</v>
      </c>
      <c r="AB1985" s="722"/>
    </row>
    <row r="1986" spans="1:28" x14ac:dyDescent="0.35">
      <c r="A1986" s="81" t="s">
        <v>5769</v>
      </c>
      <c r="C1986" s="118">
        <v>43902</v>
      </c>
      <c r="D1986" s="318">
        <v>43978</v>
      </c>
      <c r="E1986" s="83">
        <v>43942</v>
      </c>
      <c r="F1986" s="88" t="s">
        <v>5919</v>
      </c>
      <c r="G1986" s="88" t="s">
        <v>158</v>
      </c>
      <c r="H1986" s="98" t="s">
        <v>220</v>
      </c>
      <c r="I1986" s="98" t="s">
        <v>722</v>
      </c>
      <c r="J1986" s="75">
        <f t="shared" si="178"/>
        <v>1</v>
      </c>
      <c r="K1986" s="76" t="s">
        <v>211</v>
      </c>
      <c r="N1986" s="78" t="s">
        <v>18</v>
      </c>
      <c r="Q1986" s="78" t="s">
        <v>2056</v>
      </c>
      <c r="R1986" s="75">
        <f t="shared" si="179"/>
        <v>1</v>
      </c>
      <c r="S1986" s="263" t="s">
        <v>1991</v>
      </c>
      <c r="T1986" s="263" t="s">
        <v>932</v>
      </c>
      <c r="Y1986" s="576">
        <v>0.67320601851851858</v>
      </c>
      <c r="Z1986" s="576">
        <v>0.68320601851851848</v>
      </c>
      <c r="AA1986" s="576">
        <f t="shared" si="180"/>
        <v>9.9999999999998979E-3</v>
      </c>
      <c r="AB1986" s="722"/>
    </row>
    <row r="1987" spans="1:28" x14ac:dyDescent="0.35">
      <c r="A1987" s="81" t="s">
        <v>5770</v>
      </c>
      <c r="C1987" s="118">
        <v>43902</v>
      </c>
      <c r="D1987" s="318">
        <v>43977</v>
      </c>
      <c r="E1987" s="83">
        <v>43943</v>
      </c>
      <c r="F1987" s="88" t="s">
        <v>5920</v>
      </c>
      <c r="G1987" s="88" t="s">
        <v>154</v>
      </c>
      <c r="H1987" s="98" t="s">
        <v>220</v>
      </c>
      <c r="I1987" s="98" t="s">
        <v>730</v>
      </c>
      <c r="J1987" s="75">
        <f t="shared" si="178"/>
        <v>1</v>
      </c>
      <c r="K1987" s="76" t="s">
        <v>211</v>
      </c>
      <c r="N1987" s="78" t="s">
        <v>18</v>
      </c>
      <c r="Q1987" s="78" t="s">
        <v>2130</v>
      </c>
      <c r="R1987" s="75">
        <f t="shared" si="179"/>
        <v>1</v>
      </c>
      <c r="S1987" s="263" t="s">
        <v>1991</v>
      </c>
      <c r="T1987" s="263" t="s">
        <v>934</v>
      </c>
      <c r="Y1987" s="576">
        <v>0.73307870370370365</v>
      </c>
      <c r="Z1987" s="576">
        <v>0.7472685185185185</v>
      </c>
      <c r="AA1987" s="576">
        <f t="shared" si="180"/>
        <v>1.418981481481485E-2</v>
      </c>
      <c r="AB1987" s="722"/>
    </row>
    <row r="1988" spans="1:28" x14ac:dyDescent="0.35">
      <c r="A1988" s="81" t="s">
        <v>5771</v>
      </c>
      <c r="C1988" s="118">
        <v>43902</v>
      </c>
      <c r="D1988" s="318">
        <v>43977</v>
      </c>
      <c r="E1988" s="83">
        <v>43941</v>
      </c>
      <c r="F1988" s="88" t="s">
        <v>5921</v>
      </c>
      <c r="G1988" s="88" t="s">
        <v>195</v>
      </c>
      <c r="H1988" s="98" t="s">
        <v>220</v>
      </c>
      <c r="I1988" s="98" t="s">
        <v>691</v>
      </c>
      <c r="J1988" s="75">
        <f t="shared" si="178"/>
        <v>1</v>
      </c>
      <c r="K1988" s="76" t="s">
        <v>211</v>
      </c>
      <c r="N1988" s="78" t="s">
        <v>18</v>
      </c>
      <c r="Q1988" s="78" t="s">
        <v>2056</v>
      </c>
      <c r="R1988" s="75">
        <f t="shared" si="179"/>
        <v>1</v>
      </c>
      <c r="S1988" s="263" t="s">
        <v>1991</v>
      </c>
      <c r="T1988" s="263" t="s">
        <v>934</v>
      </c>
      <c r="U1988" s="304" t="s">
        <v>5592</v>
      </c>
      <c r="V1988" s="304" t="s">
        <v>6780</v>
      </c>
      <c r="Y1988" s="576">
        <v>0.46469907407407413</v>
      </c>
      <c r="Z1988" s="576">
        <v>0.47684027777777777</v>
      </c>
      <c r="AA1988" s="576">
        <f t="shared" si="180"/>
        <v>1.214120370370364E-2</v>
      </c>
      <c r="AB1988" s="722"/>
    </row>
    <row r="1989" spans="1:28" x14ac:dyDescent="0.35">
      <c r="A1989" s="81" t="s">
        <v>6521</v>
      </c>
      <c r="C1989" s="118">
        <v>43903</v>
      </c>
      <c r="D1989" s="318">
        <v>43978</v>
      </c>
      <c r="E1989" s="83">
        <v>43942</v>
      </c>
      <c r="F1989" s="88" t="s">
        <v>6647</v>
      </c>
      <c r="G1989" s="88" t="s">
        <v>176</v>
      </c>
      <c r="H1989" s="98" t="s">
        <v>220</v>
      </c>
      <c r="I1989" s="98" t="s">
        <v>649</v>
      </c>
      <c r="J1989" s="75">
        <f t="shared" si="178"/>
        <v>1</v>
      </c>
      <c r="K1989" s="76" t="s">
        <v>211</v>
      </c>
      <c r="N1989" s="78" t="s">
        <v>18</v>
      </c>
      <c r="Q1989" s="78" t="s">
        <v>2056</v>
      </c>
      <c r="R1989" s="75">
        <f t="shared" si="179"/>
        <v>1</v>
      </c>
      <c r="S1989" s="263" t="s">
        <v>1991</v>
      </c>
      <c r="T1989" s="263" t="s">
        <v>932</v>
      </c>
      <c r="Y1989" s="576">
        <v>0.65533564814814815</v>
      </c>
      <c r="Z1989" s="576">
        <v>0.66224537037037035</v>
      </c>
      <c r="AA1989" s="576">
        <f t="shared" si="180"/>
        <v>6.9097222222221921E-3</v>
      </c>
      <c r="AB1989" s="722"/>
    </row>
    <row r="1990" spans="1:28" x14ac:dyDescent="0.35">
      <c r="A1990" s="81" t="s">
        <v>5774</v>
      </c>
      <c r="C1990" s="118">
        <v>43902</v>
      </c>
      <c r="D1990" s="318">
        <v>43977</v>
      </c>
      <c r="E1990" s="83">
        <v>43942</v>
      </c>
      <c r="F1990" s="88" t="s">
        <v>5924</v>
      </c>
      <c r="G1990" s="88" t="s">
        <v>152</v>
      </c>
      <c r="H1990" s="98" t="s">
        <v>220</v>
      </c>
      <c r="I1990" s="98" t="s">
        <v>649</v>
      </c>
      <c r="J1990" s="75">
        <f t="shared" si="178"/>
        <v>1</v>
      </c>
      <c r="K1990" s="76" t="s">
        <v>211</v>
      </c>
      <c r="N1990" s="78" t="s">
        <v>18</v>
      </c>
      <c r="Q1990" s="78" t="s">
        <v>2097</v>
      </c>
      <c r="R1990" s="75">
        <f t="shared" si="179"/>
        <v>1</v>
      </c>
      <c r="S1990" s="263" t="s">
        <v>1991</v>
      </c>
      <c r="T1990" s="263" t="s">
        <v>934</v>
      </c>
      <c r="U1990" s="304" t="s">
        <v>5592</v>
      </c>
      <c r="V1990" s="304" t="s">
        <v>6796</v>
      </c>
      <c r="Y1990" s="576">
        <v>0.60893518518518519</v>
      </c>
      <c r="Z1990" s="576">
        <v>0.61959490740740741</v>
      </c>
      <c r="AA1990" s="576">
        <f t="shared" si="180"/>
        <v>1.0659722222222223E-2</v>
      </c>
      <c r="AB1990" s="722"/>
    </row>
    <row r="1991" spans="1:28" x14ac:dyDescent="0.35">
      <c r="A1991" s="81" t="s">
        <v>6522</v>
      </c>
      <c r="C1991" s="118">
        <v>43903</v>
      </c>
      <c r="D1991" s="318">
        <v>43978</v>
      </c>
      <c r="E1991" s="83">
        <v>43945</v>
      </c>
      <c r="F1991" s="88" t="s">
        <v>6648</v>
      </c>
      <c r="G1991" s="88" t="s">
        <v>149</v>
      </c>
      <c r="H1991" s="98" t="s">
        <v>220</v>
      </c>
      <c r="I1991" s="98" t="s">
        <v>652</v>
      </c>
      <c r="J1991" s="75">
        <f t="shared" si="178"/>
        <v>1</v>
      </c>
      <c r="K1991" s="76" t="s">
        <v>211</v>
      </c>
      <c r="N1991" s="78" t="s">
        <v>17</v>
      </c>
      <c r="Q1991" s="78" t="s">
        <v>2163</v>
      </c>
      <c r="R1991" s="75">
        <f t="shared" si="179"/>
        <v>1</v>
      </c>
      <c r="S1991" s="263" t="s">
        <v>1991</v>
      </c>
      <c r="T1991" s="263" t="s">
        <v>933</v>
      </c>
      <c r="Y1991" s="576">
        <v>0.80622685185185183</v>
      </c>
      <c r="Z1991" s="576">
        <v>0.81684027777777779</v>
      </c>
      <c r="AA1991" s="576">
        <f t="shared" si="180"/>
        <v>1.0613425925925957E-2</v>
      </c>
      <c r="AB1991" s="722"/>
    </row>
    <row r="1992" spans="1:28" x14ac:dyDescent="0.35">
      <c r="A1992" s="81" t="s">
        <v>6523</v>
      </c>
      <c r="C1992" s="118">
        <v>43914</v>
      </c>
      <c r="D1992" s="318">
        <v>43976</v>
      </c>
      <c r="E1992" s="83">
        <v>43938</v>
      </c>
      <c r="F1992" s="88" t="s">
        <v>6649</v>
      </c>
      <c r="G1992" s="88" t="s">
        <v>152</v>
      </c>
      <c r="H1992" s="98" t="s">
        <v>220</v>
      </c>
      <c r="I1992" s="98" t="s">
        <v>1645</v>
      </c>
      <c r="J1992" s="75">
        <f t="shared" si="178"/>
        <v>1</v>
      </c>
      <c r="K1992" s="76" t="s">
        <v>211</v>
      </c>
      <c r="N1992" s="78" t="s">
        <v>18</v>
      </c>
      <c r="Q1992" s="78" t="s">
        <v>2056</v>
      </c>
      <c r="R1992" s="75">
        <f t="shared" si="179"/>
        <v>1</v>
      </c>
      <c r="S1992" s="263" t="s">
        <v>1991</v>
      </c>
      <c r="T1992" s="263" t="s">
        <v>933</v>
      </c>
      <c r="U1992" s="304" t="s">
        <v>5592</v>
      </c>
      <c r="V1992" s="304" t="s">
        <v>6781</v>
      </c>
      <c r="Y1992" s="576">
        <v>0.45884259259259258</v>
      </c>
      <c r="Z1992" s="576">
        <v>0.46634259259259259</v>
      </c>
      <c r="AA1992" s="576">
        <f t="shared" si="180"/>
        <v>7.5000000000000067E-3</v>
      </c>
      <c r="AB1992" s="722"/>
    </row>
    <row r="1993" spans="1:28" x14ac:dyDescent="0.35">
      <c r="A1993" s="81" t="s">
        <v>6525</v>
      </c>
      <c r="C1993" s="118">
        <v>43914</v>
      </c>
      <c r="D1993" s="318">
        <v>43976</v>
      </c>
      <c r="E1993" s="83">
        <v>43942</v>
      </c>
      <c r="F1993" s="88" t="s">
        <v>6651</v>
      </c>
      <c r="G1993" s="88" t="s">
        <v>149</v>
      </c>
      <c r="H1993" s="98" t="s">
        <v>220</v>
      </c>
      <c r="I1993" s="98" t="s">
        <v>2516</v>
      </c>
      <c r="J1993" s="75">
        <f t="shared" ref="J1993:J2017" si="181">IF(OR(K1993="Документы готовы",K1993="Запрос в ФО",K1993="ЭЗ",K1993="РЕШ",K1993="РЕШ шаблон"),0.1,IF(OR(K1993="ЭЗ согласование",K1993="РЕШ согласование"),0.3,IF(OR(K1993="ЭЗ согласовано",K1993="РЕШ согласовано",K1993="РЕШ подписано"),0.6,IF(OR(K1993="ЭЗ ПР согласование",K1993="РЕШ УВ согласование"),0.9,IF(OR(K1993="ЭЗ ПР DONE",K1993="РЕШ УВ DONE"),1,0)))))</f>
        <v>1</v>
      </c>
      <c r="K1993" s="76" t="s">
        <v>211</v>
      </c>
      <c r="N1993" s="78" t="s">
        <v>17</v>
      </c>
      <c r="Q1993" s="78" t="s">
        <v>2447</v>
      </c>
      <c r="R1993" s="75">
        <f t="shared" ref="R1993:R2017" si="182">IF(S1993="В работе",0.3,IF(S1993="Отписано",0.6,IF(S1993="На доработку",0.9,IF(S1993="Согласовано",1,0))))</f>
        <v>1</v>
      </c>
      <c r="S1993" s="263" t="s">
        <v>1991</v>
      </c>
      <c r="T1993" s="263" t="s">
        <v>933</v>
      </c>
      <c r="Y1993" s="576">
        <v>0.44244212962962964</v>
      </c>
      <c r="Z1993" s="576">
        <v>0.46327546296296296</v>
      </c>
      <c r="AA1993" s="576">
        <f t="shared" si="180"/>
        <v>2.0833333333333315E-2</v>
      </c>
      <c r="AB1993" s="722"/>
    </row>
    <row r="1994" spans="1:28" x14ac:dyDescent="0.35">
      <c r="A1994" s="81" t="s">
        <v>6526</v>
      </c>
      <c r="C1994" s="118">
        <v>43914</v>
      </c>
      <c r="D1994" s="318">
        <v>43976</v>
      </c>
      <c r="E1994" s="83">
        <v>43943</v>
      </c>
      <c r="F1994" s="88" t="s">
        <v>6652</v>
      </c>
      <c r="G1994" s="88" t="s">
        <v>154</v>
      </c>
      <c r="H1994" s="98" t="s">
        <v>220</v>
      </c>
      <c r="I1994" s="98" t="s">
        <v>1122</v>
      </c>
      <c r="J1994" s="75">
        <f t="shared" si="181"/>
        <v>1</v>
      </c>
      <c r="K1994" s="76" t="s">
        <v>211</v>
      </c>
      <c r="N1994" s="78" t="s">
        <v>18</v>
      </c>
      <c r="Q1994" s="78" t="s">
        <v>2097</v>
      </c>
      <c r="R1994" s="75">
        <f t="shared" si="182"/>
        <v>1</v>
      </c>
      <c r="S1994" s="263" t="s">
        <v>1991</v>
      </c>
      <c r="T1994" s="263" t="s">
        <v>933</v>
      </c>
      <c r="Y1994" s="576">
        <v>0.57396990740740739</v>
      </c>
      <c r="Z1994" s="576">
        <v>0.58488425925925924</v>
      </c>
      <c r="AA1994" s="576">
        <f t="shared" si="180"/>
        <v>1.0914351851851856E-2</v>
      </c>
      <c r="AB1994" s="722"/>
    </row>
    <row r="1995" spans="1:28" x14ac:dyDescent="0.35">
      <c r="A1995" s="98" t="s">
        <v>6527</v>
      </c>
      <c r="C1995" s="118">
        <v>43914</v>
      </c>
      <c r="D1995" s="318">
        <v>43979</v>
      </c>
      <c r="E1995" s="83">
        <v>43958</v>
      </c>
      <c r="F1995" s="88" t="s">
        <v>6653</v>
      </c>
      <c r="G1995" s="88" t="s">
        <v>154</v>
      </c>
      <c r="H1995" s="98" t="s">
        <v>220</v>
      </c>
      <c r="I1995" s="98" t="s">
        <v>696</v>
      </c>
      <c r="J1995" s="75">
        <f t="shared" si="181"/>
        <v>1</v>
      </c>
      <c r="K1995" s="263" t="s">
        <v>211</v>
      </c>
      <c r="L1995" s="99" t="s">
        <v>6837</v>
      </c>
      <c r="N1995" s="78" t="s">
        <v>18</v>
      </c>
      <c r="Q1995" s="78" t="s">
        <v>2130</v>
      </c>
      <c r="R1995" s="75">
        <f t="shared" si="182"/>
        <v>1</v>
      </c>
      <c r="S1995" s="263" t="s">
        <v>1991</v>
      </c>
      <c r="T1995" s="263" t="s">
        <v>933</v>
      </c>
      <c r="U1995" s="304" t="s">
        <v>5592</v>
      </c>
      <c r="V1995" s="304" t="s">
        <v>7162</v>
      </c>
      <c r="Y1995" s="576">
        <v>0.84640046296296301</v>
      </c>
      <c r="Z1995" s="576">
        <v>0.88200231481481473</v>
      </c>
      <c r="AA1995" s="576">
        <f t="shared" si="180"/>
        <v>3.5601851851851718E-2</v>
      </c>
      <c r="AB1995" s="722"/>
    </row>
    <row r="1996" spans="1:28" x14ac:dyDescent="0.35">
      <c r="A1996" s="81" t="s">
        <v>6528</v>
      </c>
      <c r="C1996" s="118">
        <v>43914</v>
      </c>
      <c r="D1996" s="318">
        <v>43979</v>
      </c>
      <c r="E1996" s="83">
        <v>43941</v>
      </c>
      <c r="F1996" s="88" t="s">
        <v>6654</v>
      </c>
      <c r="G1996" s="88" t="s">
        <v>152</v>
      </c>
      <c r="H1996" s="98" t="s">
        <v>220</v>
      </c>
      <c r="I1996" s="98" t="s">
        <v>3557</v>
      </c>
      <c r="J1996" s="75">
        <f t="shared" si="181"/>
        <v>1</v>
      </c>
      <c r="K1996" s="263" t="s">
        <v>211</v>
      </c>
      <c r="N1996" s="78" t="s">
        <v>18</v>
      </c>
      <c r="Q1996" s="78" t="s">
        <v>2130</v>
      </c>
      <c r="R1996" s="75">
        <f t="shared" si="182"/>
        <v>1</v>
      </c>
      <c r="S1996" s="263" t="s">
        <v>1991</v>
      </c>
      <c r="T1996" s="263" t="s">
        <v>933</v>
      </c>
      <c r="U1996" s="304" t="s">
        <v>5592</v>
      </c>
      <c r="V1996" s="304" t="s">
        <v>6787</v>
      </c>
      <c r="X1996" s="304" t="s">
        <v>6838</v>
      </c>
      <c r="Y1996" s="576">
        <v>0.64690972222222221</v>
      </c>
      <c r="Z1996" s="576">
        <v>0.66320601851851857</v>
      </c>
      <c r="AA1996" s="576">
        <f t="shared" si="180"/>
        <v>1.6296296296296364E-2</v>
      </c>
      <c r="AB1996" s="722"/>
    </row>
    <row r="1997" spans="1:28" x14ac:dyDescent="0.35">
      <c r="A1997" s="81" t="s">
        <v>6529</v>
      </c>
      <c r="C1997" s="118">
        <v>43914</v>
      </c>
      <c r="D1997" s="318">
        <v>43976</v>
      </c>
      <c r="E1997" s="83">
        <v>43942</v>
      </c>
      <c r="F1997" s="88" t="s">
        <v>6655</v>
      </c>
      <c r="G1997" s="88" t="s">
        <v>186</v>
      </c>
      <c r="H1997" s="98" t="s">
        <v>220</v>
      </c>
      <c r="I1997" s="98" t="s">
        <v>1154</v>
      </c>
      <c r="J1997" s="75">
        <f t="shared" si="181"/>
        <v>1</v>
      </c>
      <c r="K1997" s="76" t="s">
        <v>211</v>
      </c>
      <c r="L1997" s="99" t="s">
        <v>6789</v>
      </c>
      <c r="N1997" s="78" t="s">
        <v>17</v>
      </c>
      <c r="Q1997" s="78" t="s">
        <v>2447</v>
      </c>
      <c r="R1997" s="75">
        <f t="shared" si="182"/>
        <v>1</v>
      </c>
      <c r="S1997" s="263" t="s">
        <v>1991</v>
      </c>
      <c r="T1997" s="263" t="s">
        <v>934</v>
      </c>
      <c r="Y1997" s="576">
        <v>0.35541666666666666</v>
      </c>
      <c r="Z1997" s="576">
        <v>0.37418981481481484</v>
      </c>
      <c r="AA1997" s="576">
        <f t="shared" si="180"/>
        <v>1.8773148148148178E-2</v>
      </c>
      <c r="AB1997" s="722"/>
    </row>
    <row r="1998" spans="1:28" x14ac:dyDescent="0.35">
      <c r="A1998" s="81" t="s">
        <v>6530</v>
      </c>
      <c r="C1998" s="118">
        <v>43914</v>
      </c>
      <c r="D1998" s="318">
        <v>43976</v>
      </c>
      <c r="E1998" s="83">
        <v>43941</v>
      </c>
      <c r="F1998" s="88" t="s">
        <v>6656</v>
      </c>
      <c r="G1998" s="88" t="s">
        <v>179</v>
      </c>
      <c r="H1998" s="98" t="s">
        <v>220</v>
      </c>
      <c r="I1998" s="98" t="s">
        <v>663</v>
      </c>
      <c r="J1998" s="75">
        <f t="shared" si="181"/>
        <v>1</v>
      </c>
      <c r="K1998" s="76" t="s">
        <v>211</v>
      </c>
      <c r="N1998" s="78" t="s">
        <v>18</v>
      </c>
      <c r="Q1998" s="78" t="s">
        <v>2056</v>
      </c>
      <c r="R1998" s="75">
        <f t="shared" si="182"/>
        <v>1</v>
      </c>
      <c r="S1998" s="263" t="s">
        <v>1991</v>
      </c>
      <c r="T1998" s="263" t="s">
        <v>933</v>
      </c>
      <c r="Y1998" s="576">
        <v>0.48574074074074075</v>
      </c>
      <c r="Z1998" s="576">
        <v>0.49243055555555554</v>
      </c>
      <c r="AA1998" s="576">
        <f t="shared" si="180"/>
        <v>6.6898148148147873E-3</v>
      </c>
      <c r="AB1998" s="722"/>
    </row>
    <row r="1999" spans="1:28" x14ac:dyDescent="0.35">
      <c r="A1999" s="81" t="s">
        <v>6531</v>
      </c>
      <c r="C1999" s="118">
        <v>43914</v>
      </c>
      <c r="D1999" s="318">
        <v>43976</v>
      </c>
      <c r="E1999" s="83">
        <v>43943</v>
      </c>
      <c r="F1999" s="88" t="s">
        <v>6657</v>
      </c>
      <c r="G1999" s="88" t="s">
        <v>154</v>
      </c>
      <c r="H1999" s="98" t="s">
        <v>220</v>
      </c>
      <c r="I1999" s="98" t="s">
        <v>656</v>
      </c>
      <c r="J1999" s="75">
        <f t="shared" si="181"/>
        <v>1</v>
      </c>
      <c r="K1999" s="76" t="s">
        <v>211</v>
      </c>
      <c r="N1999" s="78" t="s">
        <v>18</v>
      </c>
      <c r="Q1999" s="78" t="s">
        <v>2097</v>
      </c>
      <c r="R1999" s="75">
        <f t="shared" si="182"/>
        <v>1</v>
      </c>
      <c r="S1999" s="263" t="s">
        <v>1991</v>
      </c>
      <c r="T1999" s="263" t="s">
        <v>934</v>
      </c>
      <c r="Y1999" s="576">
        <v>0.61237268518518517</v>
      </c>
      <c r="Z1999" s="576">
        <v>0.62998842592592597</v>
      </c>
      <c r="AA1999" s="576">
        <f t="shared" si="180"/>
        <v>1.7615740740740793E-2</v>
      </c>
      <c r="AB1999" s="722"/>
    </row>
    <row r="2000" spans="1:28" x14ac:dyDescent="0.35">
      <c r="A2000" s="81" t="s">
        <v>6534</v>
      </c>
      <c r="C2000" s="118">
        <v>43914</v>
      </c>
      <c r="D2000" s="318">
        <v>43976</v>
      </c>
      <c r="E2000" s="83">
        <v>43944</v>
      </c>
      <c r="F2000" s="88" t="s">
        <v>6660</v>
      </c>
      <c r="G2000" s="88" t="s">
        <v>152</v>
      </c>
      <c r="H2000" s="98" t="s">
        <v>220</v>
      </c>
      <c r="I2000" s="98" t="s">
        <v>5215</v>
      </c>
      <c r="J2000" s="75">
        <f t="shared" si="181"/>
        <v>1</v>
      </c>
      <c r="K2000" s="76" t="s">
        <v>211</v>
      </c>
      <c r="N2000" s="78" t="s">
        <v>19</v>
      </c>
      <c r="Q2000" s="78" t="s">
        <v>2163</v>
      </c>
      <c r="R2000" s="75">
        <f t="shared" si="182"/>
        <v>1</v>
      </c>
      <c r="S2000" s="263" t="s">
        <v>1991</v>
      </c>
      <c r="T2000" s="263" t="s">
        <v>933</v>
      </c>
      <c r="Y2000" s="576">
        <v>0.75298611111111102</v>
      </c>
      <c r="Z2000" s="576">
        <v>0.7597222222222223</v>
      </c>
      <c r="AA2000" s="576">
        <f t="shared" si="180"/>
        <v>6.7361111111112759E-3</v>
      </c>
      <c r="AB2000" s="722"/>
    </row>
    <row r="2001" spans="1:28" x14ac:dyDescent="0.35">
      <c r="A2001" s="81" t="s">
        <v>6535</v>
      </c>
      <c r="C2001" s="118">
        <v>43914</v>
      </c>
      <c r="D2001" s="318">
        <v>43976</v>
      </c>
      <c r="E2001" s="83">
        <v>43942</v>
      </c>
      <c r="F2001" s="88" t="s">
        <v>6661</v>
      </c>
      <c r="G2001" s="88" t="s">
        <v>154</v>
      </c>
      <c r="H2001" s="98" t="s">
        <v>220</v>
      </c>
      <c r="I2001" s="98" t="s">
        <v>3893</v>
      </c>
      <c r="J2001" s="75">
        <f t="shared" si="181"/>
        <v>1</v>
      </c>
      <c r="K2001" s="76" t="s">
        <v>211</v>
      </c>
      <c r="L2001" s="99" t="s">
        <v>6790</v>
      </c>
      <c r="N2001" s="78" t="s">
        <v>17</v>
      </c>
      <c r="Q2001" s="78" t="s">
        <v>2447</v>
      </c>
      <c r="R2001" s="75">
        <f t="shared" si="182"/>
        <v>1</v>
      </c>
      <c r="S2001" s="263" t="s">
        <v>1991</v>
      </c>
      <c r="T2001" s="263" t="s">
        <v>932</v>
      </c>
      <c r="U2001" s="304" t="s">
        <v>5592</v>
      </c>
      <c r="V2001" s="304" t="s">
        <v>6791</v>
      </c>
      <c r="Y2001" s="576">
        <v>0.38635416666666672</v>
      </c>
      <c r="Z2001" s="576">
        <v>0.40050925925925923</v>
      </c>
      <c r="AA2001" s="576">
        <f t="shared" si="180"/>
        <v>1.4155092592592511E-2</v>
      </c>
      <c r="AB2001" s="722"/>
    </row>
    <row r="2002" spans="1:28" x14ac:dyDescent="0.35">
      <c r="A2002" s="98" t="s">
        <v>6538</v>
      </c>
      <c r="C2002" s="118">
        <v>43915</v>
      </c>
      <c r="D2002" s="318">
        <v>43976</v>
      </c>
      <c r="E2002" s="83">
        <v>43943</v>
      </c>
      <c r="F2002" s="88" t="s">
        <v>6664</v>
      </c>
      <c r="G2002" s="88" t="s">
        <v>152</v>
      </c>
      <c r="H2002" s="98" t="s">
        <v>220</v>
      </c>
      <c r="I2002" s="98" t="s">
        <v>6801</v>
      </c>
      <c r="J2002" s="75">
        <f t="shared" si="181"/>
        <v>1</v>
      </c>
      <c r="K2002" s="263" t="s">
        <v>211</v>
      </c>
      <c r="L2002" s="99" t="s">
        <v>6803</v>
      </c>
      <c r="N2002" s="78" t="s">
        <v>18</v>
      </c>
      <c r="Q2002" s="78" t="s">
        <v>2097</v>
      </c>
      <c r="R2002" s="75">
        <f t="shared" si="182"/>
        <v>1</v>
      </c>
      <c r="S2002" s="263" t="s">
        <v>1991</v>
      </c>
      <c r="T2002" s="263" t="s">
        <v>932</v>
      </c>
      <c r="U2002" s="304" t="s">
        <v>5592</v>
      </c>
      <c r="V2002" s="304" t="s">
        <v>6802</v>
      </c>
      <c r="W2002" s="304" t="s">
        <v>6831</v>
      </c>
      <c r="Y2002" s="576">
        <v>0.63521990740740741</v>
      </c>
      <c r="Z2002" s="576">
        <v>0.70454861111111111</v>
      </c>
      <c r="AA2002" s="576">
        <f t="shared" si="180"/>
        <v>6.9328703703703698E-2</v>
      </c>
      <c r="AB2002" s="722"/>
    </row>
    <row r="2003" spans="1:28" x14ac:dyDescent="0.35">
      <c r="A2003" s="81" t="s">
        <v>6539</v>
      </c>
      <c r="C2003" s="118">
        <v>43915</v>
      </c>
      <c r="D2003" s="318">
        <v>43976</v>
      </c>
      <c r="E2003" s="83">
        <v>43943</v>
      </c>
      <c r="F2003" s="88" t="s">
        <v>6665</v>
      </c>
      <c r="G2003" s="88" t="s">
        <v>162</v>
      </c>
      <c r="H2003" s="98" t="s">
        <v>220</v>
      </c>
      <c r="I2003" s="98" t="s">
        <v>1122</v>
      </c>
      <c r="J2003" s="75">
        <f t="shared" si="181"/>
        <v>1</v>
      </c>
      <c r="K2003" s="76" t="s">
        <v>211</v>
      </c>
      <c r="N2003" s="78" t="s">
        <v>18</v>
      </c>
      <c r="Q2003" s="78" t="s">
        <v>2097</v>
      </c>
      <c r="R2003" s="75">
        <f t="shared" si="182"/>
        <v>1</v>
      </c>
      <c r="S2003" s="263" t="s">
        <v>1991</v>
      </c>
      <c r="T2003" s="263" t="s">
        <v>932</v>
      </c>
      <c r="U2003" s="304" t="s">
        <v>5592</v>
      </c>
      <c r="V2003" s="304" t="s">
        <v>6804</v>
      </c>
      <c r="Y2003" s="576">
        <v>0.7047106481481481</v>
      </c>
      <c r="Z2003" s="576">
        <v>0.71118055555555548</v>
      </c>
      <c r="AA2003" s="576">
        <f t="shared" si="180"/>
        <v>6.4699074074073826E-3</v>
      </c>
      <c r="AB2003" s="722"/>
    </row>
    <row r="2004" spans="1:28" x14ac:dyDescent="0.35">
      <c r="A2004" s="81" t="s">
        <v>6544</v>
      </c>
      <c r="C2004" s="118">
        <v>43915</v>
      </c>
      <c r="D2004" s="318">
        <v>43976</v>
      </c>
      <c r="E2004" s="83">
        <v>43941</v>
      </c>
      <c r="F2004" s="88" t="s">
        <v>6670</v>
      </c>
      <c r="G2004" s="88" t="s">
        <v>149</v>
      </c>
      <c r="H2004" s="98" t="s">
        <v>220</v>
      </c>
      <c r="I2004" s="98" t="s">
        <v>730</v>
      </c>
      <c r="J2004" s="75">
        <f t="shared" si="181"/>
        <v>1</v>
      </c>
      <c r="K2004" s="76" t="s">
        <v>211</v>
      </c>
      <c r="N2004" s="78" t="s">
        <v>18</v>
      </c>
      <c r="Q2004" s="78" t="s">
        <v>2056</v>
      </c>
      <c r="R2004" s="75">
        <f t="shared" si="182"/>
        <v>1</v>
      </c>
      <c r="S2004" s="263" t="s">
        <v>1991</v>
      </c>
      <c r="T2004" s="263" t="s">
        <v>932</v>
      </c>
      <c r="Y2004" s="576">
        <v>0.49758101851851855</v>
      </c>
      <c r="Z2004" s="576">
        <v>0.5055439814814815</v>
      </c>
      <c r="AA2004" s="576">
        <f t="shared" ref="AA2004:AA2020" si="183">Z2004-Y2004</f>
        <v>7.9629629629629495E-3</v>
      </c>
      <c r="AB2004" s="722"/>
    </row>
    <row r="2005" spans="1:28" x14ac:dyDescent="0.35">
      <c r="A2005" s="81" t="s">
        <v>6555</v>
      </c>
      <c r="C2005" s="118">
        <v>43916</v>
      </c>
      <c r="D2005" s="318">
        <v>43977</v>
      </c>
      <c r="E2005" s="83">
        <v>43943</v>
      </c>
      <c r="F2005" s="88" t="s">
        <v>6681</v>
      </c>
      <c r="G2005" s="88" t="s">
        <v>154</v>
      </c>
      <c r="H2005" s="98" t="s">
        <v>220</v>
      </c>
      <c r="I2005" s="98" t="s">
        <v>3901</v>
      </c>
      <c r="J2005" s="75">
        <f t="shared" si="181"/>
        <v>1</v>
      </c>
      <c r="K2005" s="263" t="s">
        <v>211</v>
      </c>
      <c r="L2005" s="99" t="s">
        <v>6808</v>
      </c>
      <c r="N2005" s="78" t="s">
        <v>18</v>
      </c>
      <c r="Q2005" s="78" t="s">
        <v>2130</v>
      </c>
      <c r="R2005" s="75">
        <f t="shared" si="182"/>
        <v>1</v>
      </c>
      <c r="S2005" s="263" t="s">
        <v>1991</v>
      </c>
      <c r="T2005" s="263" t="s">
        <v>933</v>
      </c>
      <c r="U2005" s="304" t="s">
        <v>5592</v>
      </c>
      <c r="V2005" s="304" t="s">
        <v>6807</v>
      </c>
      <c r="Y2005" s="576">
        <v>0.74762731481481481</v>
      </c>
      <c r="Z2005" s="576">
        <v>0.76045138888888886</v>
      </c>
      <c r="AA2005" s="576">
        <f t="shared" si="183"/>
        <v>1.2824074074074043E-2</v>
      </c>
      <c r="AB2005" s="722"/>
    </row>
    <row r="2006" spans="1:28" x14ac:dyDescent="0.35">
      <c r="A2006" s="81" t="s">
        <v>6556</v>
      </c>
      <c r="C2006" s="118">
        <v>43916</v>
      </c>
      <c r="D2006" s="318">
        <v>43978</v>
      </c>
      <c r="E2006" s="83">
        <v>43941</v>
      </c>
      <c r="F2006" s="88" t="s">
        <v>6682</v>
      </c>
      <c r="G2006" s="88" t="s">
        <v>149</v>
      </c>
      <c r="H2006" s="81" t="s">
        <v>275</v>
      </c>
      <c r="I2006" s="98" t="s">
        <v>6785</v>
      </c>
      <c r="J2006" s="75">
        <f t="shared" si="181"/>
        <v>1</v>
      </c>
      <c r="K2006" s="76" t="s">
        <v>211</v>
      </c>
      <c r="L2006" s="99" t="s">
        <v>6786</v>
      </c>
      <c r="N2006" s="78" t="s">
        <v>18</v>
      </c>
      <c r="Q2006" s="78" t="s">
        <v>2056</v>
      </c>
      <c r="R2006" s="75">
        <f t="shared" si="182"/>
        <v>1</v>
      </c>
      <c r="S2006" s="263" t="s">
        <v>1991</v>
      </c>
      <c r="T2006" s="263" t="s">
        <v>933</v>
      </c>
      <c r="Y2006" s="576">
        <v>0.54631944444444447</v>
      </c>
      <c r="Z2006" s="576">
        <v>0.56082175925925926</v>
      </c>
      <c r="AA2006" s="576">
        <f t="shared" si="183"/>
        <v>1.4502314814814787E-2</v>
      </c>
      <c r="AB2006" s="722"/>
    </row>
    <row r="2007" spans="1:28" x14ac:dyDescent="0.35">
      <c r="A2007" s="81" t="s">
        <v>6559</v>
      </c>
      <c r="C2007" s="118">
        <v>43916</v>
      </c>
      <c r="D2007" s="318">
        <v>43977</v>
      </c>
      <c r="E2007" s="83">
        <v>43942</v>
      </c>
      <c r="F2007" s="88" t="s">
        <v>6685</v>
      </c>
      <c r="G2007" s="88" t="s">
        <v>149</v>
      </c>
      <c r="H2007" s="98" t="s">
        <v>220</v>
      </c>
      <c r="I2007" s="98" t="s">
        <v>6793</v>
      </c>
      <c r="J2007" s="75">
        <f t="shared" si="181"/>
        <v>1</v>
      </c>
      <c r="K2007" s="263" t="s">
        <v>211</v>
      </c>
      <c r="L2007" s="99" t="s">
        <v>6794</v>
      </c>
      <c r="N2007" s="78" t="s">
        <v>17</v>
      </c>
      <c r="Q2007" s="78" t="s">
        <v>2130</v>
      </c>
      <c r="R2007" s="75">
        <f t="shared" si="182"/>
        <v>1</v>
      </c>
      <c r="S2007" s="263" t="s">
        <v>1991</v>
      </c>
      <c r="T2007" s="263" t="s">
        <v>933</v>
      </c>
      <c r="U2007" s="304" t="s">
        <v>5592</v>
      </c>
      <c r="V2007" s="304" t="s">
        <v>6795</v>
      </c>
      <c r="Y2007" s="576">
        <v>0.55398148148148152</v>
      </c>
      <c r="Z2007" s="576">
        <v>0.57032407407407404</v>
      </c>
      <c r="AA2007" s="576">
        <f t="shared" si="183"/>
        <v>1.634259259259252E-2</v>
      </c>
      <c r="AB2007" s="722"/>
    </row>
    <row r="2008" spans="1:28" x14ac:dyDescent="0.35">
      <c r="A2008" s="81" t="s">
        <v>6560</v>
      </c>
      <c r="C2008" s="118">
        <v>43916</v>
      </c>
      <c r="D2008" s="318">
        <v>43978</v>
      </c>
      <c r="E2008" s="83">
        <v>43941</v>
      </c>
      <c r="F2008" s="88" t="s">
        <v>6686</v>
      </c>
      <c r="G2008" s="88" t="s">
        <v>152</v>
      </c>
      <c r="H2008" s="98" t="s">
        <v>220</v>
      </c>
      <c r="I2008" s="98" t="s">
        <v>3893</v>
      </c>
      <c r="J2008" s="75">
        <f t="shared" si="181"/>
        <v>1</v>
      </c>
      <c r="K2008" s="76" t="s">
        <v>211</v>
      </c>
      <c r="N2008" s="78" t="s">
        <v>18</v>
      </c>
      <c r="Q2008" s="78" t="s">
        <v>2056</v>
      </c>
      <c r="R2008" s="75">
        <f t="shared" si="182"/>
        <v>1</v>
      </c>
      <c r="S2008" s="263" t="s">
        <v>1991</v>
      </c>
      <c r="T2008" s="263" t="s">
        <v>933</v>
      </c>
      <c r="Y2008" s="576">
        <v>0.60783564814814817</v>
      </c>
      <c r="Z2008" s="576">
        <v>0.61871527777777779</v>
      </c>
      <c r="AA2008" s="576">
        <f t="shared" si="183"/>
        <v>1.0879629629629628E-2</v>
      </c>
      <c r="AB2008" s="722"/>
    </row>
    <row r="2009" spans="1:28" x14ac:dyDescent="0.35">
      <c r="A2009" s="81" t="s">
        <v>6562</v>
      </c>
      <c r="C2009" s="118">
        <v>43916</v>
      </c>
      <c r="D2009" s="318">
        <v>43978</v>
      </c>
      <c r="E2009" s="83">
        <v>43941</v>
      </c>
      <c r="F2009" s="88" t="s">
        <v>6688</v>
      </c>
      <c r="G2009" s="88" t="s">
        <v>154</v>
      </c>
      <c r="H2009" s="98" t="s">
        <v>220</v>
      </c>
      <c r="I2009" s="98" t="s">
        <v>2516</v>
      </c>
      <c r="J2009" s="75">
        <f t="shared" si="181"/>
        <v>1</v>
      </c>
      <c r="K2009" s="76" t="s">
        <v>211</v>
      </c>
      <c r="N2009" s="78" t="s">
        <v>17</v>
      </c>
      <c r="Q2009" s="78" t="s">
        <v>2056</v>
      </c>
      <c r="R2009" s="75">
        <f t="shared" si="182"/>
        <v>1</v>
      </c>
      <c r="S2009" s="263" t="s">
        <v>1991</v>
      </c>
      <c r="T2009" s="263" t="s">
        <v>934</v>
      </c>
      <c r="Y2009" s="576">
        <v>0.56123842592592588</v>
      </c>
      <c r="Z2009" s="576">
        <v>0.5759143518518518</v>
      </c>
      <c r="AA2009" s="576">
        <f t="shared" si="183"/>
        <v>1.4675925925925926E-2</v>
      </c>
      <c r="AB2009" s="722"/>
    </row>
    <row r="2010" spans="1:28" x14ac:dyDescent="0.35">
      <c r="A2010" s="81" t="s">
        <v>6564</v>
      </c>
      <c r="C2010" s="118">
        <v>43916</v>
      </c>
      <c r="D2010" s="318">
        <v>43977</v>
      </c>
      <c r="E2010" s="83">
        <v>43943</v>
      </c>
      <c r="F2010" s="88" t="s">
        <v>6690</v>
      </c>
      <c r="G2010" s="88" t="s">
        <v>154</v>
      </c>
      <c r="H2010" s="98" t="s">
        <v>220</v>
      </c>
      <c r="I2010" s="98" t="s">
        <v>698</v>
      </c>
      <c r="J2010" s="75">
        <f t="shared" si="181"/>
        <v>1</v>
      </c>
      <c r="K2010" s="76" t="s">
        <v>211</v>
      </c>
      <c r="L2010" s="99" t="s">
        <v>6809</v>
      </c>
      <c r="N2010" s="78" t="s">
        <v>19</v>
      </c>
      <c r="Q2010" s="78" t="s">
        <v>2163</v>
      </c>
      <c r="R2010" s="75">
        <f t="shared" si="182"/>
        <v>1</v>
      </c>
      <c r="S2010" s="263" t="s">
        <v>1991</v>
      </c>
      <c r="T2010" s="263" t="s">
        <v>934</v>
      </c>
      <c r="Y2010" s="576">
        <v>0.79358796296296286</v>
      </c>
      <c r="Z2010" s="576">
        <v>0.80033564814814817</v>
      </c>
      <c r="AA2010" s="576">
        <f t="shared" si="183"/>
        <v>6.7476851851853148E-3</v>
      </c>
      <c r="AB2010" s="722"/>
    </row>
    <row r="2011" spans="1:28" x14ac:dyDescent="0.35">
      <c r="A2011" s="81" t="s">
        <v>6566</v>
      </c>
      <c r="C2011" s="118">
        <v>43916</v>
      </c>
      <c r="D2011" s="318">
        <v>43978</v>
      </c>
      <c r="E2011" s="83">
        <v>43941</v>
      </c>
      <c r="F2011" s="88" t="s">
        <v>6692</v>
      </c>
      <c r="G2011" s="88" t="s">
        <v>154</v>
      </c>
      <c r="H2011" s="98" t="s">
        <v>220</v>
      </c>
      <c r="I2011" s="98" t="s">
        <v>2516</v>
      </c>
      <c r="J2011" s="75">
        <f t="shared" si="181"/>
        <v>1</v>
      </c>
      <c r="K2011" s="76" t="s">
        <v>211</v>
      </c>
      <c r="N2011" s="78" t="s">
        <v>18</v>
      </c>
      <c r="Q2011" s="78" t="s">
        <v>2056</v>
      </c>
      <c r="R2011" s="75">
        <f t="shared" si="182"/>
        <v>1</v>
      </c>
      <c r="S2011" s="263" t="s">
        <v>1991</v>
      </c>
      <c r="T2011" s="263" t="s">
        <v>934</v>
      </c>
      <c r="Y2011" s="576">
        <v>0.59680555555555559</v>
      </c>
      <c r="Z2011" s="576">
        <v>0.60622685185185188</v>
      </c>
      <c r="AA2011" s="576">
        <f t="shared" si="183"/>
        <v>9.4212962962962887E-3</v>
      </c>
      <c r="AB2011" s="722"/>
    </row>
    <row r="2012" spans="1:28" x14ac:dyDescent="0.35">
      <c r="A2012" s="81" t="s">
        <v>6567</v>
      </c>
      <c r="C2012" s="118">
        <v>43916</v>
      </c>
      <c r="D2012" s="318">
        <v>43978</v>
      </c>
      <c r="E2012" s="83">
        <v>43938</v>
      </c>
      <c r="F2012" s="88" t="s">
        <v>2835</v>
      </c>
      <c r="G2012" s="88" t="s">
        <v>417</v>
      </c>
      <c r="H2012" s="98" t="s">
        <v>220</v>
      </c>
      <c r="J2012" s="75">
        <f t="shared" si="181"/>
        <v>1</v>
      </c>
      <c r="K2012" s="76" t="s">
        <v>211</v>
      </c>
      <c r="N2012" s="78" t="s">
        <v>18</v>
      </c>
      <c r="Q2012" s="78" t="s">
        <v>2056</v>
      </c>
      <c r="R2012" s="75">
        <f t="shared" si="182"/>
        <v>1</v>
      </c>
      <c r="S2012" s="263" t="s">
        <v>1991</v>
      </c>
      <c r="T2012" s="263" t="s">
        <v>934</v>
      </c>
      <c r="Y2012" s="576">
        <v>0.48405092592592597</v>
      </c>
      <c r="Z2012" s="576">
        <v>0.4906712962962963</v>
      </c>
      <c r="AA2012" s="576">
        <f t="shared" si="183"/>
        <v>6.620370370370332E-3</v>
      </c>
      <c r="AB2012" s="722"/>
    </row>
    <row r="2013" spans="1:28" x14ac:dyDescent="0.35">
      <c r="A2013" s="81" t="s">
        <v>6568</v>
      </c>
      <c r="C2013" s="118">
        <v>43916</v>
      </c>
      <c r="D2013" s="318">
        <v>43978</v>
      </c>
      <c r="E2013" s="83">
        <v>43941</v>
      </c>
      <c r="F2013" s="88" t="s">
        <v>6693</v>
      </c>
      <c r="G2013" s="88" t="s">
        <v>156</v>
      </c>
      <c r="H2013" s="98" t="s">
        <v>220</v>
      </c>
      <c r="I2013" s="98" t="s">
        <v>2215</v>
      </c>
      <c r="J2013" s="75">
        <f t="shared" si="181"/>
        <v>1</v>
      </c>
      <c r="K2013" s="76" t="s">
        <v>211</v>
      </c>
      <c r="N2013" s="78" t="s">
        <v>17</v>
      </c>
      <c r="Q2013" s="78" t="s">
        <v>2056</v>
      </c>
      <c r="R2013" s="75">
        <f t="shared" si="182"/>
        <v>1</v>
      </c>
      <c r="S2013" s="263" t="s">
        <v>1991</v>
      </c>
      <c r="T2013" s="263" t="s">
        <v>934</v>
      </c>
      <c r="Y2013" s="576">
        <v>0.58546296296296296</v>
      </c>
      <c r="Z2013" s="576">
        <v>0.59646990740740746</v>
      </c>
      <c r="AA2013" s="576">
        <f t="shared" si="183"/>
        <v>1.10069444444445E-2</v>
      </c>
      <c r="AB2013" s="722"/>
    </row>
    <row r="2014" spans="1:28" x14ac:dyDescent="0.35">
      <c r="A2014" s="81" t="s">
        <v>6573</v>
      </c>
      <c r="C2014" s="118">
        <v>43927</v>
      </c>
      <c r="D2014" s="318">
        <v>43978</v>
      </c>
      <c r="E2014" s="83">
        <v>43945</v>
      </c>
      <c r="F2014" s="88" t="s">
        <v>6698</v>
      </c>
      <c r="G2014" s="88" t="s">
        <v>154</v>
      </c>
      <c r="H2014" s="98" t="s">
        <v>220</v>
      </c>
      <c r="I2014" s="98" t="s">
        <v>2516</v>
      </c>
      <c r="J2014" s="75">
        <f t="shared" si="181"/>
        <v>1</v>
      </c>
      <c r="K2014" s="76" t="s">
        <v>211</v>
      </c>
      <c r="N2014" s="78" t="s">
        <v>17</v>
      </c>
      <c r="Q2014" s="78" t="s">
        <v>2097</v>
      </c>
      <c r="R2014" s="75">
        <f t="shared" si="182"/>
        <v>1</v>
      </c>
      <c r="S2014" s="263" t="s">
        <v>1991</v>
      </c>
      <c r="T2014" s="263" t="s">
        <v>934</v>
      </c>
      <c r="Y2014" s="576">
        <v>0.73122685185185177</v>
      </c>
      <c r="Z2014" s="576">
        <v>0.74478009259259259</v>
      </c>
      <c r="AA2014" s="576">
        <f t="shared" si="183"/>
        <v>1.3553240740740824E-2</v>
      </c>
      <c r="AB2014" s="722"/>
    </row>
    <row r="2015" spans="1:28" x14ac:dyDescent="0.35">
      <c r="A2015" s="81" t="s">
        <v>6574</v>
      </c>
      <c r="C2015" s="118">
        <v>43927</v>
      </c>
      <c r="D2015" s="318">
        <v>43978</v>
      </c>
      <c r="E2015" s="83">
        <v>43945</v>
      </c>
      <c r="F2015" s="88" t="s">
        <v>6699</v>
      </c>
      <c r="G2015" s="88" t="s">
        <v>154</v>
      </c>
      <c r="H2015" s="98" t="s">
        <v>220</v>
      </c>
      <c r="I2015" s="98" t="s">
        <v>2516</v>
      </c>
      <c r="J2015" s="75">
        <f t="shared" si="181"/>
        <v>1</v>
      </c>
      <c r="K2015" s="76" t="s">
        <v>211</v>
      </c>
      <c r="N2015" s="78" t="s">
        <v>17</v>
      </c>
      <c r="Q2015" s="78" t="s">
        <v>2097</v>
      </c>
      <c r="R2015" s="75">
        <f t="shared" si="182"/>
        <v>1</v>
      </c>
      <c r="S2015" s="263" t="s">
        <v>1991</v>
      </c>
      <c r="T2015" s="263" t="s">
        <v>932</v>
      </c>
      <c r="Y2015" s="576">
        <v>0.72200231481481481</v>
      </c>
      <c r="Z2015" s="576">
        <v>0.73092592592592587</v>
      </c>
      <c r="AA2015" s="576">
        <f t="shared" si="183"/>
        <v>8.9236111111110628E-3</v>
      </c>
      <c r="AB2015" s="722"/>
    </row>
    <row r="2016" spans="1:28" x14ac:dyDescent="0.35">
      <c r="A2016" s="98" t="s">
        <v>6575</v>
      </c>
      <c r="C2016" s="118">
        <v>43927</v>
      </c>
      <c r="D2016" s="318">
        <v>43978</v>
      </c>
      <c r="E2016" s="83">
        <v>43945</v>
      </c>
      <c r="F2016" s="88" t="s">
        <v>6700</v>
      </c>
      <c r="G2016" s="88" t="s">
        <v>162</v>
      </c>
      <c r="H2016" s="98" t="s">
        <v>220</v>
      </c>
      <c r="I2016" s="98" t="s">
        <v>2516</v>
      </c>
      <c r="J2016" s="75">
        <f t="shared" si="181"/>
        <v>1</v>
      </c>
      <c r="K2016" s="76" t="s">
        <v>211</v>
      </c>
      <c r="N2016" s="78" t="s">
        <v>17</v>
      </c>
      <c r="Q2016" s="78" t="s">
        <v>2097</v>
      </c>
      <c r="R2016" s="75">
        <f t="shared" si="182"/>
        <v>1</v>
      </c>
      <c r="S2016" s="263" t="s">
        <v>1991</v>
      </c>
      <c r="T2016" s="263" t="s">
        <v>932</v>
      </c>
      <c r="Y2016" s="576">
        <v>0.60074074074074069</v>
      </c>
      <c r="Z2016" s="576">
        <v>0.62601851851851853</v>
      </c>
      <c r="AA2016" s="576">
        <f t="shared" si="183"/>
        <v>2.5277777777777843E-2</v>
      </c>
      <c r="AB2016" s="722"/>
    </row>
    <row r="2017" spans="1:28" x14ac:dyDescent="0.35">
      <c r="A2017" s="81" t="s">
        <v>6576</v>
      </c>
      <c r="C2017" s="118">
        <v>43927</v>
      </c>
      <c r="D2017" s="318">
        <v>43978</v>
      </c>
      <c r="E2017" s="83">
        <v>43945</v>
      </c>
      <c r="F2017" s="88" t="s">
        <v>6701</v>
      </c>
      <c r="G2017" s="88" t="s">
        <v>152</v>
      </c>
      <c r="H2017" s="98" t="s">
        <v>220</v>
      </c>
      <c r="I2017" s="98" t="s">
        <v>730</v>
      </c>
      <c r="J2017" s="75">
        <f t="shared" si="181"/>
        <v>1</v>
      </c>
      <c r="K2017" s="76" t="s">
        <v>211</v>
      </c>
      <c r="N2017" s="78" t="s">
        <v>18</v>
      </c>
      <c r="Q2017" s="78" t="s">
        <v>2097</v>
      </c>
      <c r="R2017" s="75">
        <f t="shared" si="182"/>
        <v>1</v>
      </c>
      <c r="S2017" s="263" t="s">
        <v>1991</v>
      </c>
      <c r="T2017" s="263" t="s">
        <v>933</v>
      </c>
      <c r="Y2017" s="576">
        <v>0.71677083333333336</v>
      </c>
      <c r="Z2017" s="576">
        <v>0.72151620370370362</v>
      </c>
      <c r="AA2017" s="576">
        <f t="shared" si="183"/>
        <v>4.745370370370261E-3</v>
      </c>
      <c r="AB2017" s="722"/>
    </row>
    <row r="2018" spans="1:28" x14ac:dyDescent="0.35">
      <c r="A2018" s="81" t="s">
        <v>6580</v>
      </c>
      <c r="C2018" s="118">
        <v>43927</v>
      </c>
      <c r="D2018" s="318">
        <v>43978</v>
      </c>
      <c r="E2018" s="83">
        <v>43945</v>
      </c>
      <c r="F2018" s="88" t="s">
        <v>6705</v>
      </c>
      <c r="G2018" s="88" t="s">
        <v>152</v>
      </c>
      <c r="H2018" s="98" t="s">
        <v>220</v>
      </c>
      <c r="I2018" s="98" t="s">
        <v>1293</v>
      </c>
      <c r="J2018" s="75">
        <f t="shared" ref="J2018:J2028" si="184">IF(OR(K2018="Документы готовы",K2018="Запрос в ФО",K2018="ЭЗ",K2018="РЕШ",K2018="РЕШ шаблон"),0.1,IF(OR(K2018="ЭЗ согласование",K2018="РЕШ согласование"),0.3,IF(OR(K2018="ЭЗ согласовано",K2018="РЕШ согласовано",K2018="РЕШ подписано"),0.6,IF(OR(K2018="ЭЗ ПР согласование",K2018="РЕШ УВ согласование"),0.9,IF(OR(K2018="ЭЗ ПР DONE",K2018="РЕШ УВ DONE"),1,0)))))</f>
        <v>1</v>
      </c>
      <c r="K2018" s="76" t="s">
        <v>211</v>
      </c>
      <c r="N2018" s="78" t="s">
        <v>19</v>
      </c>
      <c r="Q2018" s="78" t="s">
        <v>2097</v>
      </c>
      <c r="R2018" s="75">
        <f t="shared" ref="R2018:R2028" si="185">IF(S2018="В работе",0.3,IF(S2018="Отписано",0.6,IF(S2018="На доработку",0.9,IF(S2018="Согласовано",1,0))))</f>
        <v>1</v>
      </c>
      <c r="S2018" s="263" t="s">
        <v>1991</v>
      </c>
      <c r="T2018" s="263" t="s">
        <v>934</v>
      </c>
      <c r="U2018" s="304" t="s">
        <v>5592</v>
      </c>
      <c r="V2018" s="304" t="s">
        <v>6828</v>
      </c>
      <c r="Y2018" s="576">
        <v>0.71267361111111116</v>
      </c>
      <c r="Z2018" s="576">
        <v>0.7163425925925927</v>
      </c>
      <c r="AA2018" s="576">
        <f t="shared" si="183"/>
        <v>3.6689814814815369E-3</v>
      </c>
      <c r="AB2018" s="722"/>
    </row>
    <row r="2019" spans="1:28" x14ac:dyDescent="0.35">
      <c r="A2019" s="81" t="s">
        <v>6581</v>
      </c>
      <c r="C2019" s="118">
        <v>43927</v>
      </c>
      <c r="D2019" s="318">
        <v>43983</v>
      </c>
      <c r="E2019" s="83">
        <v>43945</v>
      </c>
      <c r="F2019" s="88" t="s">
        <v>6706</v>
      </c>
      <c r="G2019" s="88" t="s">
        <v>154</v>
      </c>
      <c r="H2019" s="98" t="s">
        <v>220</v>
      </c>
      <c r="I2019" s="98" t="s">
        <v>696</v>
      </c>
      <c r="J2019" s="75">
        <f t="shared" si="184"/>
        <v>1</v>
      </c>
      <c r="K2019" s="76" t="s">
        <v>211</v>
      </c>
      <c r="L2019" s="99" t="s">
        <v>6829</v>
      </c>
      <c r="N2019" s="78" t="s">
        <v>18</v>
      </c>
      <c r="Q2019" s="78" t="s">
        <v>2097</v>
      </c>
      <c r="R2019" s="75">
        <f t="shared" si="185"/>
        <v>1</v>
      </c>
      <c r="S2019" s="263" t="s">
        <v>1991</v>
      </c>
      <c r="T2019" s="263" t="s">
        <v>932</v>
      </c>
      <c r="U2019" s="304" t="s">
        <v>5592</v>
      </c>
      <c r="V2019" s="304" t="s">
        <v>6830</v>
      </c>
      <c r="Y2019" s="576">
        <v>0.76008101851851861</v>
      </c>
      <c r="Z2019" s="576">
        <v>0.76612268518518523</v>
      </c>
      <c r="AA2019" s="576">
        <f t="shared" si="183"/>
        <v>6.0416666666666119E-3</v>
      </c>
      <c r="AB2019" s="722"/>
    </row>
    <row r="2020" spans="1:28" x14ac:dyDescent="0.35">
      <c r="A2020" s="98" t="s">
        <v>6591</v>
      </c>
      <c r="C2020" s="118">
        <v>43928</v>
      </c>
      <c r="D2020" s="318">
        <v>43983</v>
      </c>
      <c r="E2020" s="83">
        <v>43945</v>
      </c>
      <c r="F2020" s="88" t="s">
        <v>6716</v>
      </c>
      <c r="G2020" s="88" t="s">
        <v>168</v>
      </c>
      <c r="H2020" s="98" t="s">
        <v>220</v>
      </c>
      <c r="I2020" s="98" t="s">
        <v>6817</v>
      </c>
      <c r="J2020" s="75">
        <f t="shared" si="184"/>
        <v>1</v>
      </c>
      <c r="K2020" s="263" t="s">
        <v>211</v>
      </c>
      <c r="L2020" s="99" t="s">
        <v>6818</v>
      </c>
      <c r="N2020" s="78" t="s">
        <v>17</v>
      </c>
      <c r="Q2020" s="78" t="s">
        <v>2130</v>
      </c>
      <c r="R2020" s="75">
        <f t="shared" si="185"/>
        <v>1</v>
      </c>
      <c r="S2020" s="263" t="s">
        <v>1991</v>
      </c>
      <c r="T2020" s="263" t="s">
        <v>933</v>
      </c>
      <c r="U2020" s="304" t="s">
        <v>5592</v>
      </c>
      <c r="V2020" s="304" t="s">
        <v>6819</v>
      </c>
      <c r="X2020" s="304" t="s">
        <v>7240</v>
      </c>
      <c r="Y2020" s="576">
        <v>0.47876157407407405</v>
      </c>
      <c r="Z2020" s="576">
        <v>0.50695601851851857</v>
      </c>
      <c r="AA2020" s="576">
        <f t="shared" si="183"/>
        <v>2.8194444444444522E-2</v>
      </c>
      <c r="AB2020" s="722"/>
    </row>
    <row r="2021" spans="1:28" x14ac:dyDescent="0.35">
      <c r="A2021" s="81" t="s">
        <v>6607</v>
      </c>
      <c r="C2021" s="118">
        <v>43928</v>
      </c>
      <c r="D2021" s="318">
        <v>43978</v>
      </c>
      <c r="E2021" s="83">
        <v>43943</v>
      </c>
      <c r="F2021" s="88" t="s">
        <v>6732</v>
      </c>
      <c r="G2021" s="88" t="s">
        <v>156</v>
      </c>
      <c r="H2021" s="98" t="s">
        <v>220</v>
      </c>
      <c r="I2021" s="98" t="s">
        <v>3557</v>
      </c>
      <c r="J2021" s="75">
        <f t="shared" si="184"/>
        <v>1</v>
      </c>
      <c r="K2021" s="76" t="s">
        <v>211</v>
      </c>
      <c r="N2021" s="78" t="s">
        <v>18</v>
      </c>
      <c r="Q2021" s="78" t="s">
        <v>2130</v>
      </c>
      <c r="R2021" s="75">
        <f t="shared" si="185"/>
        <v>1</v>
      </c>
      <c r="S2021" s="263" t="s">
        <v>1991</v>
      </c>
      <c r="T2021" s="263" t="s">
        <v>934</v>
      </c>
      <c r="Y2021" s="576">
        <v>0.77244212962962966</v>
      </c>
      <c r="Z2021" s="576">
        <v>0.78405092592592596</v>
      </c>
      <c r="AA2021" s="576">
        <f t="shared" ref="AA2021:AA2030" si="186">Z2021-Y2021</f>
        <v>1.1608796296296298E-2</v>
      </c>
      <c r="AB2021" s="722"/>
    </row>
    <row r="2022" spans="1:28" x14ac:dyDescent="0.35">
      <c r="A2022" s="81" t="s">
        <v>6621</v>
      </c>
      <c r="C2022" s="118">
        <v>43929</v>
      </c>
      <c r="D2022" s="318">
        <v>43978</v>
      </c>
      <c r="E2022" s="83">
        <v>43945</v>
      </c>
      <c r="F2022" s="88" t="s">
        <v>6746</v>
      </c>
      <c r="G2022" s="88" t="s">
        <v>162</v>
      </c>
      <c r="H2022" s="98" t="s">
        <v>220</v>
      </c>
      <c r="I2022" s="98" t="s">
        <v>698</v>
      </c>
      <c r="J2022" s="75">
        <f t="shared" si="184"/>
        <v>1</v>
      </c>
      <c r="K2022" s="76" t="s">
        <v>211</v>
      </c>
      <c r="N2022" s="78" t="s">
        <v>19</v>
      </c>
      <c r="Q2022" s="78" t="s">
        <v>2097</v>
      </c>
      <c r="R2022" s="75">
        <f t="shared" si="185"/>
        <v>1</v>
      </c>
      <c r="S2022" s="263" t="s">
        <v>1991</v>
      </c>
      <c r="T2022" s="263" t="s">
        <v>933</v>
      </c>
      <c r="Y2022" s="576">
        <v>0.77686342592592583</v>
      </c>
      <c r="Z2022" s="576">
        <v>0.78454861111111107</v>
      </c>
      <c r="AA2022" s="576">
        <f t="shared" si="186"/>
        <v>7.6851851851852393E-3</v>
      </c>
      <c r="AB2022" s="722"/>
    </row>
    <row r="2023" spans="1:28" x14ac:dyDescent="0.35">
      <c r="A2023" s="81" t="s">
        <v>6630</v>
      </c>
      <c r="C2023" s="118">
        <v>43929</v>
      </c>
      <c r="D2023" s="318">
        <v>43978</v>
      </c>
      <c r="E2023" s="83">
        <v>43942</v>
      </c>
      <c r="F2023" s="88" t="s">
        <v>6756</v>
      </c>
      <c r="G2023" s="88" t="s">
        <v>162</v>
      </c>
      <c r="H2023" s="98" t="s">
        <v>220</v>
      </c>
      <c r="I2023" s="98" t="s">
        <v>2516</v>
      </c>
      <c r="J2023" s="75">
        <f t="shared" si="184"/>
        <v>1</v>
      </c>
      <c r="K2023" s="76" t="s">
        <v>211</v>
      </c>
      <c r="N2023" s="78" t="s">
        <v>17</v>
      </c>
      <c r="Q2023" s="78" t="s">
        <v>2056</v>
      </c>
      <c r="R2023" s="75">
        <f t="shared" si="185"/>
        <v>1</v>
      </c>
      <c r="S2023" s="263" t="s">
        <v>1991</v>
      </c>
      <c r="T2023" s="263" t="s">
        <v>933</v>
      </c>
      <c r="Y2023" s="576">
        <v>0.66256944444444443</v>
      </c>
      <c r="Z2023" s="576">
        <v>0.67283564814814811</v>
      </c>
      <c r="AA2023" s="576">
        <f t="shared" si="186"/>
        <v>1.026620370370368E-2</v>
      </c>
      <c r="AB2023" s="722"/>
    </row>
    <row r="2024" spans="1:28" x14ac:dyDescent="0.35">
      <c r="A2024" s="81" t="s">
        <v>6631</v>
      </c>
      <c r="C2024" s="118">
        <v>43930</v>
      </c>
      <c r="D2024" s="318">
        <v>43978</v>
      </c>
      <c r="E2024" s="83">
        <v>43945</v>
      </c>
      <c r="F2024" s="88" t="s">
        <v>6757</v>
      </c>
      <c r="G2024" s="88" t="s">
        <v>158</v>
      </c>
      <c r="H2024" s="98" t="s">
        <v>220</v>
      </c>
      <c r="I2024" s="98" t="s">
        <v>6817</v>
      </c>
      <c r="J2024" s="75">
        <f t="shared" si="184"/>
        <v>1</v>
      </c>
      <c r="K2024" s="76" t="s">
        <v>211</v>
      </c>
      <c r="L2024" s="99" t="s">
        <v>6826</v>
      </c>
      <c r="N2024" s="78" t="s">
        <v>17</v>
      </c>
      <c r="Q2024" s="78" t="s">
        <v>2097</v>
      </c>
      <c r="R2024" s="75">
        <f t="shared" si="185"/>
        <v>1</v>
      </c>
      <c r="S2024" s="263" t="s">
        <v>1991</v>
      </c>
      <c r="T2024" s="263" t="s">
        <v>933</v>
      </c>
      <c r="U2024" s="304" t="s">
        <v>5592</v>
      </c>
      <c r="V2024" s="304" t="s">
        <v>6827</v>
      </c>
      <c r="X2024" s="304" t="s">
        <v>6955</v>
      </c>
      <c r="Y2024" s="576">
        <v>0.65758101851851858</v>
      </c>
      <c r="Z2024" s="576">
        <v>0.71111111111111114</v>
      </c>
      <c r="AA2024" s="576">
        <f t="shared" si="186"/>
        <v>5.353009259259256E-2</v>
      </c>
      <c r="AB2024" s="722"/>
    </row>
    <row r="2025" spans="1:28" x14ac:dyDescent="0.35">
      <c r="A2025" s="81" t="s">
        <v>6635</v>
      </c>
      <c r="C2025" s="118">
        <v>43930</v>
      </c>
      <c r="D2025" s="318">
        <v>43978</v>
      </c>
      <c r="E2025" s="83">
        <v>43945</v>
      </c>
      <c r="F2025" s="88" t="s">
        <v>6761</v>
      </c>
      <c r="G2025" s="88" t="s">
        <v>154</v>
      </c>
      <c r="H2025" s="98" t="s">
        <v>220</v>
      </c>
      <c r="I2025" s="98" t="s">
        <v>2516</v>
      </c>
      <c r="J2025" s="75">
        <f t="shared" si="184"/>
        <v>1</v>
      </c>
      <c r="K2025" s="76" t="s">
        <v>211</v>
      </c>
      <c r="L2025" s="99" t="s">
        <v>6825</v>
      </c>
      <c r="N2025" s="78" t="s">
        <v>17</v>
      </c>
      <c r="Q2025" s="78" t="s">
        <v>2097</v>
      </c>
      <c r="R2025" s="75">
        <f t="shared" si="185"/>
        <v>1</v>
      </c>
      <c r="S2025" s="263" t="s">
        <v>1991</v>
      </c>
      <c r="T2025" s="263" t="s">
        <v>934</v>
      </c>
      <c r="U2025" s="304" t="s">
        <v>5592</v>
      </c>
      <c r="V2025" s="304" t="s">
        <v>6824</v>
      </c>
      <c r="Y2025" s="576">
        <v>0.63722222222222225</v>
      </c>
      <c r="Z2025" s="576">
        <v>0.65519675925925924</v>
      </c>
      <c r="AA2025" s="576">
        <f t="shared" si="186"/>
        <v>1.7974537037036997E-2</v>
      </c>
      <c r="AB2025" s="722"/>
    </row>
    <row r="2026" spans="1:28" x14ac:dyDescent="0.35">
      <c r="A2026" s="81" t="s">
        <v>6636</v>
      </c>
      <c r="C2026" s="118">
        <v>43930</v>
      </c>
      <c r="D2026" s="318">
        <v>43978</v>
      </c>
      <c r="E2026" s="83">
        <v>43945</v>
      </c>
      <c r="F2026" s="88" t="s">
        <v>6762</v>
      </c>
      <c r="G2026" s="88" t="s">
        <v>154</v>
      </c>
      <c r="H2026" s="98" t="s">
        <v>220</v>
      </c>
      <c r="I2026" s="98" t="s">
        <v>6822</v>
      </c>
      <c r="J2026" s="75">
        <f t="shared" si="184"/>
        <v>1</v>
      </c>
      <c r="K2026" s="76" t="s">
        <v>211</v>
      </c>
      <c r="L2026" s="99" t="s">
        <v>6823</v>
      </c>
      <c r="N2026" s="78" t="s">
        <v>18</v>
      </c>
      <c r="Q2026" s="78" t="s">
        <v>2097</v>
      </c>
      <c r="R2026" s="75">
        <f t="shared" si="185"/>
        <v>1</v>
      </c>
      <c r="S2026" s="263" t="s">
        <v>1991</v>
      </c>
      <c r="T2026" s="263" t="s">
        <v>932</v>
      </c>
      <c r="Y2026" s="576">
        <v>0.53623842592592597</v>
      </c>
      <c r="Z2026" s="576">
        <v>0.60040509259259256</v>
      </c>
      <c r="AA2026" s="576">
        <f t="shared" si="186"/>
        <v>6.4166666666666594E-2</v>
      </c>
      <c r="AB2026" s="722"/>
    </row>
    <row r="2027" spans="1:28" x14ac:dyDescent="0.35">
      <c r="A2027" s="81" t="s">
        <v>6638</v>
      </c>
      <c r="C2027" s="118">
        <v>43930</v>
      </c>
      <c r="D2027" s="318">
        <v>43978</v>
      </c>
      <c r="E2027" s="83">
        <v>43943</v>
      </c>
      <c r="F2027" s="88" t="s">
        <v>6764</v>
      </c>
      <c r="G2027" s="88" t="s">
        <v>152</v>
      </c>
      <c r="H2027" s="98" t="s">
        <v>220</v>
      </c>
      <c r="I2027" s="98" t="s">
        <v>730</v>
      </c>
      <c r="J2027" s="75">
        <f t="shared" si="184"/>
        <v>1</v>
      </c>
      <c r="K2027" s="76" t="s">
        <v>211</v>
      </c>
      <c r="N2027" s="78" t="s">
        <v>18</v>
      </c>
      <c r="Q2027" s="78" t="s">
        <v>2130</v>
      </c>
      <c r="R2027" s="75">
        <f t="shared" si="185"/>
        <v>1</v>
      </c>
      <c r="S2027" s="263" t="s">
        <v>1991</v>
      </c>
      <c r="T2027" s="263" t="s">
        <v>932</v>
      </c>
      <c r="Y2027" s="576">
        <v>0.78431712962962974</v>
      </c>
      <c r="Z2027" s="576">
        <v>0.79287037037037045</v>
      </c>
      <c r="AA2027" s="576">
        <f t="shared" si="186"/>
        <v>8.5532407407407085E-3</v>
      </c>
      <c r="AB2027" s="722"/>
    </row>
    <row r="2028" spans="1:28" x14ac:dyDescent="0.35">
      <c r="A2028" s="98" t="s">
        <v>6640</v>
      </c>
      <c r="C2028" s="118">
        <v>43930</v>
      </c>
      <c r="D2028" s="318">
        <v>43983</v>
      </c>
      <c r="E2028" s="83">
        <v>43945</v>
      </c>
      <c r="F2028" s="255" t="s">
        <v>6766</v>
      </c>
      <c r="G2028" s="88" t="s">
        <v>160</v>
      </c>
      <c r="H2028" s="98" t="s">
        <v>220</v>
      </c>
      <c r="I2028" s="98" t="s">
        <v>1293</v>
      </c>
      <c r="J2028" s="75">
        <f t="shared" si="184"/>
        <v>1</v>
      </c>
      <c r="K2028" s="76" t="s">
        <v>211</v>
      </c>
      <c r="L2028" s="99" t="s">
        <v>6821</v>
      </c>
      <c r="N2028" s="78" t="s">
        <v>19</v>
      </c>
      <c r="Q2028" s="78" t="s">
        <v>2130</v>
      </c>
      <c r="R2028" s="75">
        <f t="shared" si="185"/>
        <v>1</v>
      </c>
      <c r="S2028" s="263" t="s">
        <v>1991</v>
      </c>
      <c r="T2028" s="263" t="s">
        <v>932</v>
      </c>
      <c r="U2028" s="304" t="s">
        <v>5592</v>
      </c>
      <c r="V2028" s="304" t="s">
        <v>6820</v>
      </c>
      <c r="Y2028" s="576">
        <v>0.51269675925925928</v>
      </c>
      <c r="Z2028" s="576">
        <v>0.52918981481481475</v>
      </c>
      <c r="AA2028" s="576">
        <f t="shared" si="186"/>
        <v>1.6493055555555469E-2</v>
      </c>
      <c r="AB2028" s="722"/>
    </row>
    <row r="2029" spans="1:28" x14ac:dyDescent="0.35">
      <c r="A2029" s="81" t="s">
        <v>6840</v>
      </c>
      <c r="C2029" s="118">
        <v>43917</v>
      </c>
      <c r="D2029" s="318">
        <v>43983</v>
      </c>
      <c r="E2029" s="83">
        <v>43954</v>
      </c>
      <c r="F2029" s="88" t="s">
        <v>6868</v>
      </c>
      <c r="G2029" s="88" t="s">
        <v>162</v>
      </c>
      <c r="H2029" s="98" t="s">
        <v>220</v>
      </c>
      <c r="I2029" s="98" t="s">
        <v>722</v>
      </c>
      <c r="J2029" s="75">
        <f t="shared" ref="J2029:J2038" si="187">IF(OR(K2029="Документы готовы",K2029="Запрос в ФО",K2029="ЭЗ",K2029="РЕШ",K2029="РЕШ шаблон"),0.1,IF(OR(K2029="ЭЗ согласование",K2029="РЕШ согласование"),0.3,IF(OR(K2029="ЭЗ согласовано",K2029="РЕШ согласовано",K2029="РЕШ подписано"),0.6,IF(OR(K2029="ЭЗ ПР согласование",K2029="РЕШ УВ согласование"),0.9,IF(OR(K2029="ЭЗ ПР DONE",K2029="РЕШ УВ DONE"),1,0)))))</f>
        <v>1</v>
      </c>
      <c r="K2029" s="76" t="s">
        <v>211</v>
      </c>
      <c r="N2029" s="78" t="s">
        <v>18</v>
      </c>
      <c r="Q2029" s="78" t="s">
        <v>2163</v>
      </c>
      <c r="R2029" s="75">
        <f t="shared" ref="R2029:R2038" si="188">IF(S2029="В работе",0.3,IF(S2029="Отписано",0.6,IF(S2029="На доработку",0.9,IF(S2029="Согласовано",1,0))))</f>
        <v>1</v>
      </c>
      <c r="S2029" s="263" t="s">
        <v>1991</v>
      </c>
      <c r="T2029" s="263" t="s">
        <v>932</v>
      </c>
      <c r="Y2029" s="576">
        <v>0.87296296296296294</v>
      </c>
      <c r="Z2029" s="576">
        <v>0.8772106481481482</v>
      </c>
      <c r="AA2029" s="576">
        <f t="shared" si="186"/>
        <v>4.2476851851852571E-3</v>
      </c>
      <c r="AB2029" s="722"/>
    </row>
    <row r="2030" spans="1:28" x14ac:dyDescent="0.35">
      <c r="A2030" s="81" t="s">
        <v>6571</v>
      </c>
      <c r="C2030" s="118">
        <v>43927</v>
      </c>
      <c r="D2030" s="118">
        <v>43978</v>
      </c>
      <c r="F2030" s="88" t="s">
        <v>6696</v>
      </c>
      <c r="G2030" s="88" t="s">
        <v>162</v>
      </c>
      <c r="H2030" s="98" t="s">
        <v>220</v>
      </c>
      <c r="J2030" s="75">
        <f t="shared" si="187"/>
        <v>1</v>
      </c>
      <c r="K2030" s="76" t="s">
        <v>211</v>
      </c>
      <c r="Q2030" s="78" t="s">
        <v>2097</v>
      </c>
      <c r="R2030" s="75">
        <f t="shared" si="188"/>
        <v>1</v>
      </c>
      <c r="S2030" s="263" t="s">
        <v>1991</v>
      </c>
      <c r="T2030" s="263"/>
      <c r="AA2030" s="576">
        <f t="shared" si="186"/>
        <v>0</v>
      </c>
      <c r="AB2030" s="722"/>
    </row>
    <row r="2031" spans="1:28" x14ac:dyDescent="0.35">
      <c r="A2031" s="81" t="s">
        <v>6595</v>
      </c>
      <c r="C2031" s="118">
        <v>43928</v>
      </c>
      <c r="D2031" s="118">
        <v>43978</v>
      </c>
      <c r="F2031" s="88" t="s">
        <v>6720</v>
      </c>
      <c r="G2031" s="88" t="s">
        <v>158</v>
      </c>
      <c r="H2031" s="98" t="s">
        <v>220</v>
      </c>
      <c r="J2031" s="75">
        <f t="shared" si="187"/>
        <v>1</v>
      </c>
      <c r="K2031" s="76" t="s">
        <v>211</v>
      </c>
      <c r="Q2031" s="78" t="s">
        <v>2163</v>
      </c>
      <c r="R2031" s="75">
        <f t="shared" si="188"/>
        <v>1</v>
      </c>
      <c r="S2031" s="263" t="s">
        <v>1991</v>
      </c>
      <c r="T2031" s="263"/>
      <c r="AA2031" s="576">
        <f t="shared" ref="AA2031:AA2043" si="189">Z2031-Y2031</f>
        <v>0</v>
      </c>
      <c r="AB2031" s="722"/>
    </row>
    <row r="2032" spans="1:28" x14ac:dyDescent="0.35">
      <c r="A2032" s="81" t="s">
        <v>6598</v>
      </c>
      <c r="C2032" s="118">
        <v>43928</v>
      </c>
      <c r="D2032" s="118">
        <v>43978</v>
      </c>
      <c r="F2032" s="88" t="s">
        <v>6723</v>
      </c>
      <c r="G2032" s="88" t="s">
        <v>168</v>
      </c>
      <c r="H2032" s="98" t="s">
        <v>220</v>
      </c>
      <c r="J2032" s="75">
        <f t="shared" si="187"/>
        <v>1</v>
      </c>
      <c r="K2032" s="76" t="s">
        <v>211</v>
      </c>
      <c r="Q2032" s="78" t="s">
        <v>2163</v>
      </c>
      <c r="R2032" s="75">
        <f t="shared" si="188"/>
        <v>1</v>
      </c>
      <c r="S2032" s="263" t="s">
        <v>1991</v>
      </c>
      <c r="T2032" s="263"/>
      <c r="AA2032" s="576">
        <f t="shared" si="189"/>
        <v>0</v>
      </c>
      <c r="AB2032" s="722"/>
    </row>
    <row r="2033" spans="1:28" x14ac:dyDescent="0.35">
      <c r="A2033" s="81" t="s">
        <v>6599</v>
      </c>
      <c r="C2033" s="118">
        <v>43928</v>
      </c>
      <c r="D2033" s="118">
        <v>43978</v>
      </c>
      <c r="F2033" s="88" t="s">
        <v>6724</v>
      </c>
      <c r="G2033" s="88" t="s">
        <v>152</v>
      </c>
      <c r="H2033" s="98" t="s">
        <v>220</v>
      </c>
      <c r="J2033" s="75">
        <f t="shared" si="187"/>
        <v>1</v>
      </c>
      <c r="K2033" s="76" t="s">
        <v>211</v>
      </c>
      <c r="Q2033" s="78" t="s">
        <v>2163</v>
      </c>
      <c r="R2033" s="75">
        <f t="shared" si="188"/>
        <v>1</v>
      </c>
      <c r="S2033" s="263" t="s">
        <v>1991</v>
      </c>
      <c r="T2033" s="263"/>
      <c r="AA2033" s="576">
        <f t="shared" si="189"/>
        <v>0</v>
      </c>
      <c r="AB2033" s="722"/>
    </row>
    <row r="2034" spans="1:28" x14ac:dyDescent="0.35">
      <c r="A2034" s="81" t="s">
        <v>6604</v>
      </c>
      <c r="C2034" s="118">
        <v>43928</v>
      </c>
      <c r="D2034" s="118">
        <v>43978</v>
      </c>
      <c r="F2034" s="88" t="s">
        <v>6729</v>
      </c>
      <c r="G2034" s="88" t="s">
        <v>154</v>
      </c>
      <c r="H2034" s="98" t="s">
        <v>220</v>
      </c>
      <c r="J2034" s="75">
        <f t="shared" si="187"/>
        <v>1</v>
      </c>
      <c r="K2034" s="76" t="s">
        <v>211</v>
      </c>
      <c r="Q2034" s="78" t="s">
        <v>2163</v>
      </c>
      <c r="R2034" s="75">
        <f t="shared" si="188"/>
        <v>1</v>
      </c>
      <c r="S2034" s="263" t="s">
        <v>1991</v>
      </c>
      <c r="T2034" s="263"/>
      <c r="AA2034" s="576">
        <f t="shared" si="189"/>
        <v>0</v>
      </c>
      <c r="AB2034" s="722"/>
    </row>
    <row r="2035" spans="1:28" x14ac:dyDescent="0.35">
      <c r="A2035" s="81" t="s">
        <v>6609</v>
      </c>
      <c r="C2035" s="118">
        <v>43928</v>
      </c>
      <c r="D2035" s="118">
        <v>43978</v>
      </c>
      <c r="F2035" s="88" t="s">
        <v>6734</v>
      </c>
      <c r="G2035" s="88" t="s">
        <v>152</v>
      </c>
      <c r="H2035" s="98" t="s">
        <v>220</v>
      </c>
      <c r="J2035" s="75">
        <f t="shared" si="187"/>
        <v>1</v>
      </c>
      <c r="K2035" s="76" t="s">
        <v>211</v>
      </c>
      <c r="Q2035" s="78" t="s">
        <v>2163</v>
      </c>
      <c r="R2035" s="75">
        <f t="shared" si="188"/>
        <v>1</v>
      </c>
      <c r="S2035" s="263" t="s">
        <v>1991</v>
      </c>
      <c r="T2035" s="263"/>
      <c r="AA2035" s="576">
        <f t="shared" si="189"/>
        <v>0</v>
      </c>
      <c r="AB2035" s="722"/>
    </row>
    <row r="2036" spans="1:28" x14ac:dyDescent="0.35">
      <c r="A2036" s="81" t="s">
        <v>6611</v>
      </c>
      <c r="C2036" s="118">
        <v>43928</v>
      </c>
      <c r="D2036" s="118">
        <v>43978</v>
      </c>
      <c r="F2036" s="88" t="s">
        <v>6736</v>
      </c>
      <c r="G2036" s="88" t="s">
        <v>417</v>
      </c>
      <c r="H2036" s="98" t="s">
        <v>220</v>
      </c>
      <c r="J2036" s="75">
        <f t="shared" si="187"/>
        <v>1</v>
      </c>
      <c r="K2036" s="76" t="s">
        <v>211</v>
      </c>
      <c r="Q2036" s="78" t="s">
        <v>2163</v>
      </c>
      <c r="R2036" s="75">
        <f t="shared" si="188"/>
        <v>1</v>
      </c>
      <c r="S2036" s="263" t="s">
        <v>1991</v>
      </c>
      <c r="T2036" s="263"/>
      <c r="AA2036" s="576">
        <f t="shared" si="189"/>
        <v>0</v>
      </c>
      <c r="AB2036" s="722"/>
    </row>
    <row r="2037" spans="1:28" x14ac:dyDescent="0.35">
      <c r="A2037" s="81" t="s">
        <v>6620</v>
      </c>
      <c r="C2037" s="118">
        <v>43928</v>
      </c>
      <c r="D2037" s="118">
        <v>43978</v>
      </c>
      <c r="F2037" s="88" t="s">
        <v>6745</v>
      </c>
      <c r="G2037" s="88" t="s">
        <v>158</v>
      </c>
      <c r="H2037" s="98" t="s">
        <v>220</v>
      </c>
      <c r="J2037" s="75">
        <f t="shared" si="187"/>
        <v>1</v>
      </c>
      <c r="K2037" s="76" t="s">
        <v>211</v>
      </c>
      <c r="Q2037" s="78" t="s">
        <v>2163</v>
      </c>
      <c r="R2037" s="75">
        <f t="shared" si="188"/>
        <v>1</v>
      </c>
      <c r="S2037" s="263" t="s">
        <v>1991</v>
      </c>
      <c r="T2037" s="263"/>
      <c r="AA2037" s="576">
        <f t="shared" si="189"/>
        <v>0</v>
      </c>
      <c r="AB2037" s="722"/>
    </row>
    <row r="2038" spans="1:28" x14ac:dyDescent="0.35">
      <c r="A2038" s="81" t="s">
        <v>6627</v>
      </c>
      <c r="C2038" s="118">
        <v>43929</v>
      </c>
      <c r="D2038" s="118">
        <v>43978</v>
      </c>
      <c r="F2038" s="88" t="s">
        <v>6752</v>
      </c>
      <c r="G2038" s="88" t="s">
        <v>154</v>
      </c>
      <c r="H2038" s="81" t="s">
        <v>275</v>
      </c>
      <c r="J2038" s="75">
        <f t="shared" si="187"/>
        <v>1</v>
      </c>
      <c r="K2038" s="76" t="s">
        <v>211</v>
      </c>
      <c r="Q2038" s="78" t="s">
        <v>2163</v>
      </c>
      <c r="R2038" s="75">
        <f t="shared" si="188"/>
        <v>1</v>
      </c>
      <c r="S2038" s="263" t="s">
        <v>1991</v>
      </c>
      <c r="T2038" s="263"/>
      <c r="AA2038" s="576">
        <f t="shared" si="189"/>
        <v>0</v>
      </c>
      <c r="AB2038" s="722"/>
    </row>
    <row r="2039" spans="1:28" x14ac:dyDescent="0.35">
      <c r="A2039" s="81" t="s">
        <v>6843</v>
      </c>
      <c r="C2039" s="118">
        <v>43931</v>
      </c>
      <c r="D2039" s="118">
        <v>43978</v>
      </c>
      <c r="F2039" s="88" t="s">
        <v>6871</v>
      </c>
      <c r="G2039" s="88" t="s">
        <v>176</v>
      </c>
      <c r="H2039" s="98" t="s">
        <v>220</v>
      </c>
      <c r="J2039" s="75">
        <f t="shared" ref="J2039:J2046" si="190">IF(OR(K2039="Документы готовы",K2039="Запрос в ФО",K2039="ЭЗ",K2039="РЕШ",K2039="РЕШ шаблон"),0.1,IF(OR(K2039="ЭЗ согласование",K2039="РЕШ согласование"),0.3,IF(OR(K2039="ЭЗ согласовано",K2039="РЕШ согласовано",K2039="РЕШ подписано"),0.6,IF(OR(K2039="ЭЗ ПР согласование",K2039="РЕШ УВ согласование"),0.9,IF(OR(K2039="ЭЗ ПР DONE",K2039="РЕШ УВ DONE"),1,0)))))</f>
        <v>1</v>
      </c>
      <c r="K2039" s="76" t="s">
        <v>211</v>
      </c>
      <c r="Q2039" s="78" t="s">
        <v>2097</v>
      </c>
      <c r="R2039" s="75">
        <f t="shared" ref="R2039:R2046" si="191">IF(S2039="В работе",0.3,IF(S2039="Отписано",0.6,IF(S2039="На доработку",0.9,IF(S2039="Согласовано",1,0))))</f>
        <v>1</v>
      </c>
      <c r="S2039" s="263" t="s">
        <v>1991</v>
      </c>
      <c r="T2039" s="263"/>
      <c r="AA2039" s="576">
        <f t="shared" si="189"/>
        <v>0</v>
      </c>
      <c r="AB2039" s="722"/>
    </row>
    <row r="2040" spans="1:28" x14ac:dyDescent="0.35">
      <c r="A2040" s="81" t="s">
        <v>6846</v>
      </c>
      <c r="C2040" s="118">
        <v>43931</v>
      </c>
      <c r="D2040" s="318">
        <v>43983</v>
      </c>
      <c r="E2040" s="83">
        <v>43953</v>
      </c>
      <c r="F2040" s="88" t="s">
        <v>6874</v>
      </c>
      <c r="G2040" s="88" t="s">
        <v>186</v>
      </c>
      <c r="H2040" s="98" t="s">
        <v>220</v>
      </c>
      <c r="I2040" s="98" t="s">
        <v>730</v>
      </c>
      <c r="J2040" s="75">
        <f t="shared" si="190"/>
        <v>1</v>
      </c>
      <c r="K2040" s="76" t="s">
        <v>211</v>
      </c>
      <c r="N2040" s="78" t="s">
        <v>18</v>
      </c>
      <c r="Q2040" s="78" t="s">
        <v>2056</v>
      </c>
      <c r="R2040" s="75">
        <f t="shared" si="191"/>
        <v>1</v>
      </c>
      <c r="S2040" s="263" t="s">
        <v>1991</v>
      </c>
      <c r="T2040" s="263" t="s">
        <v>933</v>
      </c>
      <c r="Y2040" s="576">
        <v>0.76222222222222225</v>
      </c>
      <c r="Z2040" s="576">
        <v>0.76946759259259256</v>
      </c>
      <c r="AA2040" s="576">
        <f t="shared" si="189"/>
        <v>7.2453703703703187E-3</v>
      </c>
      <c r="AB2040" s="722"/>
    </row>
    <row r="2041" spans="1:28" x14ac:dyDescent="0.35">
      <c r="A2041" s="81" t="s">
        <v>6847</v>
      </c>
      <c r="C2041" s="118">
        <v>43931</v>
      </c>
      <c r="D2041" s="118">
        <v>43978</v>
      </c>
      <c r="F2041" s="88" t="s">
        <v>6875</v>
      </c>
      <c r="G2041" s="88" t="s">
        <v>152</v>
      </c>
      <c r="H2041" s="98" t="s">
        <v>220</v>
      </c>
      <c r="J2041" s="75">
        <f t="shared" si="190"/>
        <v>1</v>
      </c>
      <c r="K2041" s="76" t="s">
        <v>211</v>
      </c>
      <c r="Q2041" s="78" t="s">
        <v>2163</v>
      </c>
      <c r="R2041" s="75">
        <f t="shared" si="191"/>
        <v>1</v>
      </c>
      <c r="S2041" s="263" t="s">
        <v>1991</v>
      </c>
      <c r="T2041" s="263"/>
      <c r="AA2041" s="576">
        <f t="shared" si="189"/>
        <v>0</v>
      </c>
      <c r="AB2041" s="722"/>
    </row>
    <row r="2042" spans="1:28" x14ac:dyDescent="0.35">
      <c r="A2042" s="81" t="s">
        <v>6848</v>
      </c>
      <c r="C2042" s="118">
        <v>43934</v>
      </c>
      <c r="D2042" s="318">
        <v>43983</v>
      </c>
      <c r="E2042" s="83">
        <v>43953</v>
      </c>
      <c r="F2042" s="88" t="s">
        <v>6876</v>
      </c>
      <c r="G2042" s="88" t="s">
        <v>158</v>
      </c>
      <c r="H2042" s="98" t="s">
        <v>220</v>
      </c>
      <c r="I2042" s="98" t="s">
        <v>2516</v>
      </c>
      <c r="J2042" s="75">
        <f t="shared" si="190"/>
        <v>1</v>
      </c>
      <c r="K2042" s="76" t="s">
        <v>211</v>
      </c>
      <c r="L2042" s="99" t="s">
        <v>6896</v>
      </c>
      <c r="N2042" s="78" t="s">
        <v>18</v>
      </c>
      <c r="Q2042" s="78" t="s">
        <v>2056</v>
      </c>
      <c r="R2042" s="75">
        <f t="shared" si="191"/>
        <v>1</v>
      </c>
      <c r="S2042" s="263" t="s">
        <v>1991</v>
      </c>
      <c r="T2042" s="263" t="s">
        <v>932</v>
      </c>
      <c r="U2042" s="304" t="s">
        <v>5592</v>
      </c>
      <c r="V2042" s="304" t="s">
        <v>6897</v>
      </c>
      <c r="Y2042" s="576">
        <v>0.76974537037037039</v>
      </c>
      <c r="Z2042" s="576">
        <v>0.79677083333333332</v>
      </c>
      <c r="AA2042" s="576">
        <f t="shared" si="189"/>
        <v>2.7025462962962932E-2</v>
      </c>
      <c r="AB2042" s="722"/>
    </row>
    <row r="2043" spans="1:28" x14ac:dyDescent="0.35">
      <c r="A2043" s="81" t="s">
        <v>6858</v>
      </c>
      <c r="C2043" s="118">
        <v>43935</v>
      </c>
      <c r="D2043" s="118">
        <v>43978</v>
      </c>
      <c r="F2043" s="88" t="s">
        <v>6886</v>
      </c>
      <c r="G2043" s="88" t="s">
        <v>154</v>
      </c>
      <c r="H2043" s="98" t="s">
        <v>220</v>
      </c>
      <c r="J2043" s="75">
        <f t="shared" si="190"/>
        <v>1</v>
      </c>
      <c r="K2043" s="76" t="s">
        <v>211</v>
      </c>
      <c r="Q2043" s="78" t="s">
        <v>2097</v>
      </c>
      <c r="R2043" s="75">
        <f t="shared" si="191"/>
        <v>1</v>
      </c>
      <c r="S2043" s="263" t="s">
        <v>1991</v>
      </c>
      <c r="T2043" s="263"/>
      <c r="AA2043" s="576">
        <f t="shared" si="189"/>
        <v>0</v>
      </c>
      <c r="AB2043" s="722"/>
    </row>
    <row r="2044" spans="1:28" x14ac:dyDescent="0.35">
      <c r="A2044" s="81" t="s">
        <v>6863</v>
      </c>
      <c r="C2044" s="118">
        <v>43935</v>
      </c>
      <c r="D2044" s="118">
        <v>43978</v>
      </c>
      <c r="F2044" s="88" t="s">
        <v>6891</v>
      </c>
      <c r="G2044" s="88" t="s">
        <v>154</v>
      </c>
      <c r="H2044" s="98" t="s">
        <v>220</v>
      </c>
      <c r="J2044" s="75">
        <f t="shared" si="190"/>
        <v>1</v>
      </c>
      <c r="K2044" s="76" t="s">
        <v>211</v>
      </c>
      <c r="Q2044" s="78" t="s">
        <v>2097</v>
      </c>
      <c r="R2044" s="75">
        <f t="shared" si="191"/>
        <v>1</v>
      </c>
      <c r="S2044" s="263" t="s">
        <v>1991</v>
      </c>
      <c r="T2044" s="263"/>
      <c r="AA2044" s="576">
        <f t="shared" ref="AA2044:AA2046" si="192">Z2044-Y2044</f>
        <v>0</v>
      </c>
      <c r="AB2044" s="722"/>
    </row>
    <row r="2045" spans="1:28" x14ac:dyDescent="0.35">
      <c r="A2045" s="81" t="s">
        <v>6866</v>
      </c>
      <c r="C2045" s="118">
        <v>43935</v>
      </c>
      <c r="D2045" s="118">
        <v>43978</v>
      </c>
      <c r="F2045" s="88" t="s">
        <v>6894</v>
      </c>
      <c r="G2045" s="88" t="s">
        <v>154</v>
      </c>
      <c r="H2045" s="81" t="s">
        <v>275</v>
      </c>
      <c r="J2045" s="75">
        <f t="shared" si="190"/>
        <v>1</v>
      </c>
      <c r="K2045" s="76" t="s">
        <v>211</v>
      </c>
      <c r="Q2045" s="78" t="s">
        <v>2097</v>
      </c>
      <c r="R2045" s="75">
        <f t="shared" si="191"/>
        <v>1</v>
      </c>
      <c r="S2045" s="263" t="s">
        <v>1991</v>
      </c>
      <c r="T2045" s="263"/>
      <c r="AA2045" s="576">
        <f t="shared" si="192"/>
        <v>0</v>
      </c>
      <c r="AB2045" s="722"/>
    </row>
    <row r="2046" spans="1:28" x14ac:dyDescent="0.35">
      <c r="A2046" s="81" t="s">
        <v>6867</v>
      </c>
      <c r="C2046" s="118">
        <v>43935</v>
      </c>
      <c r="D2046" s="118">
        <v>43978</v>
      </c>
      <c r="F2046" s="255" t="s">
        <v>6895</v>
      </c>
      <c r="G2046" s="88" t="s">
        <v>156</v>
      </c>
      <c r="H2046" s="98" t="s">
        <v>220</v>
      </c>
      <c r="J2046" s="75">
        <f t="shared" si="190"/>
        <v>1</v>
      </c>
      <c r="K2046" s="76" t="s">
        <v>211</v>
      </c>
      <c r="Q2046" s="78" t="s">
        <v>2097</v>
      </c>
      <c r="R2046" s="75">
        <f t="shared" si="191"/>
        <v>1</v>
      </c>
      <c r="S2046" s="263" t="s">
        <v>1991</v>
      </c>
      <c r="T2046" s="263"/>
      <c r="AA2046" s="576">
        <f t="shared" si="192"/>
        <v>0</v>
      </c>
      <c r="AB2046" s="722"/>
    </row>
    <row r="2047" spans="1:28" x14ac:dyDescent="0.35">
      <c r="A2047" s="81" t="s">
        <v>6901</v>
      </c>
      <c r="C2047" s="118">
        <v>43917</v>
      </c>
      <c r="D2047" s="318">
        <v>43963</v>
      </c>
      <c r="E2047" s="83">
        <v>43957</v>
      </c>
      <c r="F2047" s="88" t="s">
        <v>6930</v>
      </c>
      <c r="G2047" s="88" t="s">
        <v>193</v>
      </c>
      <c r="H2047" s="98" t="s">
        <v>220</v>
      </c>
      <c r="I2047" s="98" t="s">
        <v>5589</v>
      </c>
      <c r="J2047" s="75">
        <f t="shared" ref="J2047" si="193">IF(OR(K2047="Документы готовы",K2047="Запрос в ФО",K2047="ЭЗ",K2047="РЕШ",K2047="РЕШ шаблон"),0.1,IF(OR(K2047="ЭЗ согласование",K2047="РЕШ согласование"),0.3,IF(OR(K2047="ЭЗ согласовано",K2047="РЕШ согласовано",K2047="РЕШ подписано"),0.6,IF(OR(K2047="ЭЗ ПР согласование",K2047="РЕШ УВ согласование"),0.9,IF(OR(K2047="ЭЗ ПР DONE",K2047="РЕШ УВ DONE"),1,0)))))</f>
        <v>1</v>
      </c>
      <c r="K2047" s="263" t="s">
        <v>211</v>
      </c>
      <c r="N2047" s="78" t="s">
        <v>19</v>
      </c>
      <c r="Q2047" s="78" t="s">
        <v>2056</v>
      </c>
      <c r="R2047" s="75">
        <f t="shared" ref="R2047" si="194">IF(S2047="В работе",0.3,IF(S2047="Отписано",0.6,IF(S2047="На доработку",0.9,IF(S2047="Согласовано",1,0))))</f>
        <v>1</v>
      </c>
      <c r="S2047" s="263" t="s">
        <v>1991</v>
      </c>
      <c r="T2047" s="263" t="s">
        <v>933</v>
      </c>
      <c r="Y2047" s="576">
        <v>0.38471064814814815</v>
      </c>
      <c r="Z2047" s="576">
        <v>0.38738425925925929</v>
      </c>
      <c r="AA2047" s="576">
        <f t="shared" ref="AA2047" si="195">Z2047-Y2047</f>
        <v>2.6736111111111405E-3</v>
      </c>
      <c r="AB2047" s="722"/>
    </row>
    <row r="2048" spans="1:28" x14ac:dyDescent="0.35">
      <c r="A2048" s="81" t="s">
        <v>6924</v>
      </c>
      <c r="C2048" s="118">
        <v>43942</v>
      </c>
      <c r="D2048" s="318">
        <v>43983</v>
      </c>
      <c r="E2048" s="83">
        <v>43955</v>
      </c>
      <c r="F2048" s="88" t="s">
        <v>6953</v>
      </c>
      <c r="G2048" s="88" t="s">
        <v>149</v>
      </c>
      <c r="H2048" s="98" t="s">
        <v>220</v>
      </c>
      <c r="I2048" s="98" t="s">
        <v>6960</v>
      </c>
      <c r="J2048" s="75">
        <f t="shared" ref="J2048:J2055" si="196">IF(OR(K2048="Документы готовы",K2048="Запрос в ФО",K2048="ЭЗ",K2048="РЕШ",K2048="РЕШ шаблон"),0.1,IF(OR(K2048="ЭЗ согласование",K2048="РЕШ согласование"),0.3,IF(OR(K2048="ЭЗ согласовано",K2048="РЕШ согласовано",K2048="РЕШ подписано"),0.6,IF(OR(K2048="ЭЗ ПР согласование",K2048="РЕШ УВ согласование"),0.9,IF(OR(K2048="ЭЗ ПР DONE",K2048="РЕШ УВ DONE"),1,0)))))</f>
        <v>1</v>
      </c>
      <c r="K2048" s="76" t="s">
        <v>211</v>
      </c>
      <c r="N2048" s="78" t="s">
        <v>17</v>
      </c>
      <c r="Q2048" s="78" t="s">
        <v>2056</v>
      </c>
      <c r="R2048" s="75">
        <f t="shared" ref="R2048:R2055" si="197">IF(S2048="В работе",0.3,IF(S2048="Отписано",0.6,IF(S2048="На доработку",0.9,IF(S2048="Согласовано",1,0))))</f>
        <v>1</v>
      </c>
      <c r="S2048" s="263" t="s">
        <v>1991</v>
      </c>
      <c r="T2048" s="263" t="s">
        <v>932</v>
      </c>
      <c r="Y2048" s="576">
        <v>0.91038194444444442</v>
      </c>
      <c r="Z2048" s="576">
        <v>0.9415162037037037</v>
      </c>
      <c r="AA2048" s="576">
        <f t="shared" ref="AA2048:AA2063" si="198">Z2048-Y2048</f>
        <v>3.1134259259259278E-2</v>
      </c>
      <c r="AB2048" s="722"/>
    </row>
    <row r="2049" spans="1:28" x14ac:dyDescent="0.35">
      <c r="A2049" s="98" t="s">
        <v>6958</v>
      </c>
      <c r="C2049" s="83">
        <v>43944</v>
      </c>
      <c r="D2049" s="112">
        <v>43983</v>
      </c>
      <c r="E2049" s="83">
        <v>43955</v>
      </c>
      <c r="F2049" s="127" t="s">
        <v>6959</v>
      </c>
      <c r="G2049" s="99" t="s">
        <v>417</v>
      </c>
      <c r="H2049" s="98" t="s">
        <v>220</v>
      </c>
      <c r="I2049" s="98" t="s">
        <v>730</v>
      </c>
      <c r="J2049" s="75">
        <f t="shared" si="196"/>
        <v>1</v>
      </c>
      <c r="K2049" s="76" t="s">
        <v>211</v>
      </c>
      <c r="N2049" s="78" t="s">
        <v>18</v>
      </c>
      <c r="Q2049" s="304" t="s">
        <v>2056</v>
      </c>
      <c r="R2049" s="75">
        <f t="shared" si="197"/>
        <v>1</v>
      </c>
      <c r="S2049" s="263" t="s">
        <v>1991</v>
      </c>
      <c r="T2049" s="263" t="s">
        <v>933</v>
      </c>
      <c r="Y2049" s="576">
        <v>0.90312500000000007</v>
      </c>
      <c r="Z2049" s="576">
        <v>0.90986111111111112</v>
      </c>
      <c r="AA2049" s="576">
        <f t="shared" si="198"/>
        <v>6.7361111111110539E-3</v>
      </c>
      <c r="AB2049" s="722"/>
    </row>
    <row r="2050" spans="1:28" x14ac:dyDescent="0.35">
      <c r="A2050" s="81" t="s">
        <v>6262</v>
      </c>
      <c r="C2050" s="118">
        <v>43907</v>
      </c>
      <c r="D2050" s="318">
        <v>43986</v>
      </c>
      <c r="E2050" s="83">
        <v>43957</v>
      </c>
      <c r="F2050" s="88" t="s">
        <v>6328</v>
      </c>
      <c r="G2050" s="88" t="s">
        <v>195</v>
      </c>
      <c r="H2050" s="98" t="s">
        <v>220</v>
      </c>
      <c r="I2050" s="98" t="s">
        <v>722</v>
      </c>
      <c r="J2050" s="75">
        <f t="shared" si="196"/>
        <v>1</v>
      </c>
      <c r="K2050" s="263" t="s">
        <v>211</v>
      </c>
      <c r="N2050" s="78" t="s">
        <v>18</v>
      </c>
      <c r="Q2050" s="78" t="s">
        <v>2056</v>
      </c>
      <c r="R2050" s="75">
        <f t="shared" si="197"/>
        <v>1</v>
      </c>
      <c r="S2050" s="263" t="s">
        <v>1991</v>
      </c>
      <c r="T2050" s="263" t="s">
        <v>933</v>
      </c>
      <c r="Y2050" s="576">
        <v>0.92392361111111121</v>
      </c>
      <c r="Z2050" s="576">
        <v>0.92714120370370379</v>
      </c>
      <c r="AA2050" s="576">
        <f t="shared" si="198"/>
        <v>3.2175925925925775E-3</v>
      </c>
      <c r="AB2050" s="722"/>
    </row>
    <row r="2051" spans="1:28" x14ac:dyDescent="0.35">
      <c r="A2051" s="81" t="s">
        <v>6272</v>
      </c>
      <c r="C2051" s="118">
        <v>43907</v>
      </c>
      <c r="D2051" s="318">
        <v>43986</v>
      </c>
      <c r="E2051" s="83">
        <v>43957</v>
      </c>
      <c r="F2051" s="88" t="s">
        <v>6338</v>
      </c>
      <c r="G2051" s="88" t="s">
        <v>152</v>
      </c>
      <c r="H2051" s="98" t="s">
        <v>220</v>
      </c>
      <c r="I2051" s="98" t="s">
        <v>722</v>
      </c>
      <c r="J2051" s="75">
        <f t="shared" si="196"/>
        <v>1</v>
      </c>
      <c r="K2051" s="263" t="s">
        <v>211</v>
      </c>
      <c r="N2051" s="78" t="s">
        <v>18</v>
      </c>
      <c r="Q2051" s="78" t="s">
        <v>2056</v>
      </c>
      <c r="R2051" s="75">
        <f t="shared" si="197"/>
        <v>1</v>
      </c>
      <c r="S2051" s="263" t="s">
        <v>1991</v>
      </c>
      <c r="T2051" s="263" t="s">
        <v>934</v>
      </c>
      <c r="Y2051" s="576">
        <v>0.92001157407407408</v>
      </c>
      <c r="Z2051" s="576">
        <v>0.92347222222222225</v>
      </c>
      <c r="AA2051" s="576">
        <f t="shared" si="198"/>
        <v>3.460648148148171E-3</v>
      </c>
      <c r="AB2051" s="722"/>
    </row>
    <row r="2052" spans="1:28" x14ac:dyDescent="0.35">
      <c r="A2052" s="81" t="s">
        <v>6277</v>
      </c>
      <c r="C2052" s="118">
        <v>43908</v>
      </c>
      <c r="D2052" s="318">
        <v>43987</v>
      </c>
      <c r="E2052" s="83">
        <v>43958</v>
      </c>
      <c r="F2052" s="88" t="s">
        <v>6343</v>
      </c>
      <c r="G2052" s="88" t="s">
        <v>162</v>
      </c>
      <c r="H2052" s="98" t="s">
        <v>220</v>
      </c>
      <c r="I2052" s="98" t="s">
        <v>649</v>
      </c>
      <c r="J2052" s="75">
        <f t="shared" si="196"/>
        <v>1</v>
      </c>
      <c r="K2052" s="263" t="s">
        <v>211</v>
      </c>
      <c r="N2052" s="78" t="s">
        <v>18</v>
      </c>
      <c r="Q2052" s="78" t="s">
        <v>2056</v>
      </c>
      <c r="R2052" s="75">
        <f t="shared" si="197"/>
        <v>1</v>
      </c>
      <c r="S2052" s="263" t="s">
        <v>1991</v>
      </c>
      <c r="T2052" s="263" t="s">
        <v>933</v>
      </c>
      <c r="Y2052" s="576">
        <v>0.53521990740740744</v>
      </c>
      <c r="Z2052" s="576">
        <v>0.55273148148148155</v>
      </c>
      <c r="AA2052" s="576">
        <f t="shared" si="198"/>
        <v>1.751157407407411E-2</v>
      </c>
      <c r="AB2052" s="722"/>
    </row>
    <row r="2053" spans="1:28" x14ac:dyDescent="0.35">
      <c r="A2053" s="81" t="s">
        <v>6287</v>
      </c>
      <c r="C2053" s="118">
        <v>43908</v>
      </c>
      <c r="D2053" s="318">
        <v>43987</v>
      </c>
      <c r="E2053" s="83">
        <v>43958</v>
      </c>
      <c r="F2053" s="88" t="s">
        <v>6352</v>
      </c>
      <c r="G2053" s="88" t="s">
        <v>154</v>
      </c>
      <c r="H2053" s="98" t="s">
        <v>220</v>
      </c>
      <c r="I2053" s="98" t="s">
        <v>648</v>
      </c>
      <c r="J2053" s="75">
        <f t="shared" si="196"/>
        <v>1</v>
      </c>
      <c r="K2053" s="263" t="s">
        <v>211</v>
      </c>
      <c r="N2053" s="78" t="s">
        <v>17</v>
      </c>
      <c r="Q2053" s="78" t="s">
        <v>2056</v>
      </c>
      <c r="R2053" s="75">
        <f t="shared" si="197"/>
        <v>1</v>
      </c>
      <c r="S2053" s="263" t="s">
        <v>1991</v>
      </c>
      <c r="T2053" s="263" t="s">
        <v>934</v>
      </c>
      <c r="U2053" s="304" t="s">
        <v>5592</v>
      </c>
      <c r="V2053" s="304" t="s">
        <v>7156</v>
      </c>
      <c r="Y2053" s="576">
        <v>0.55331018518518515</v>
      </c>
      <c r="Z2053" s="576">
        <v>0.57328703703703698</v>
      </c>
      <c r="AA2053" s="576">
        <f t="shared" si="198"/>
        <v>1.9976851851851829E-2</v>
      </c>
      <c r="AB2053" s="722"/>
    </row>
    <row r="2054" spans="1:28" x14ac:dyDescent="0.35">
      <c r="A2054" s="81" t="s">
        <v>6308</v>
      </c>
      <c r="C2054" s="118">
        <v>43909</v>
      </c>
      <c r="D2054" s="318">
        <v>43990</v>
      </c>
      <c r="E2054" s="83">
        <v>43959</v>
      </c>
      <c r="F2054" s="88" t="s">
        <v>6373</v>
      </c>
      <c r="G2054" s="88" t="s">
        <v>195</v>
      </c>
      <c r="H2054" s="98" t="s">
        <v>220</v>
      </c>
      <c r="I2054" s="98" t="s">
        <v>722</v>
      </c>
      <c r="J2054" s="75">
        <f t="shared" si="196"/>
        <v>1</v>
      </c>
      <c r="K2054" s="263" t="s">
        <v>211</v>
      </c>
      <c r="N2054" s="78" t="s">
        <v>18</v>
      </c>
      <c r="Q2054" s="78" t="s">
        <v>2056</v>
      </c>
      <c r="R2054" s="75">
        <f t="shared" si="197"/>
        <v>1</v>
      </c>
      <c r="S2054" s="263" t="s">
        <v>1991</v>
      </c>
      <c r="T2054" s="263" t="s">
        <v>932</v>
      </c>
      <c r="Y2054" s="576">
        <v>0.40484953703703702</v>
      </c>
      <c r="Z2054" s="576">
        <v>0.41212962962962968</v>
      </c>
      <c r="AA2054" s="576">
        <f t="shared" si="198"/>
        <v>7.2800925925926574E-3</v>
      </c>
      <c r="AB2054" s="722"/>
    </row>
    <row r="2055" spans="1:28" x14ac:dyDescent="0.35">
      <c r="A2055" s="81" t="s">
        <v>6310</v>
      </c>
      <c r="C2055" s="118">
        <v>43909</v>
      </c>
      <c r="D2055" s="318">
        <v>43990</v>
      </c>
      <c r="E2055" s="83">
        <v>43959</v>
      </c>
      <c r="F2055" s="88" t="s">
        <v>6375</v>
      </c>
      <c r="G2055" s="88" t="s">
        <v>158</v>
      </c>
      <c r="H2055" s="98" t="s">
        <v>220</v>
      </c>
      <c r="I2055" s="98" t="s">
        <v>722</v>
      </c>
      <c r="J2055" s="75">
        <f t="shared" si="196"/>
        <v>1</v>
      </c>
      <c r="K2055" s="263" t="s">
        <v>211</v>
      </c>
      <c r="N2055" s="78" t="s">
        <v>17</v>
      </c>
      <c r="Q2055" s="78" t="s">
        <v>2056</v>
      </c>
      <c r="R2055" s="75">
        <f t="shared" si="197"/>
        <v>1</v>
      </c>
      <c r="S2055" s="263" t="s">
        <v>1991</v>
      </c>
      <c r="T2055" s="263" t="s">
        <v>932</v>
      </c>
      <c r="Y2055" s="576">
        <v>0.39390046296296299</v>
      </c>
      <c r="Z2055" s="576">
        <v>0.4042013888888889</v>
      </c>
      <c r="AA2055" s="576">
        <f t="shared" si="198"/>
        <v>1.0300925925925908E-2</v>
      </c>
      <c r="AB2055" s="722"/>
    </row>
    <row r="2056" spans="1:28" x14ac:dyDescent="0.35">
      <c r="A2056" s="81" t="s">
        <v>6550</v>
      </c>
      <c r="C2056" s="118">
        <v>43916</v>
      </c>
      <c r="D2056" s="318">
        <v>43998</v>
      </c>
      <c r="E2056" s="83">
        <v>43970</v>
      </c>
      <c r="F2056" s="88" t="s">
        <v>6676</v>
      </c>
      <c r="G2056" s="88" t="s">
        <v>158</v>
      </c>
      <c r="H2056" s="98" t="s">
        <v>220</v>
      </c>
      <c r="I2056" s="98" t="s">
        <v>1308</v>
      </c>
      <c r="J2056" s="75">
        <f t="shared" ref="J2056:J2071" si="199">IF(OR(K2056="Документы готовы",K2056="Запрос в ФО",K2056="ЭЗ",K2056="РЕШ",K2056="РЕШ шаблон"),0.1,IF(OR(K2056="ЭЗ согласование",K2056="РЕШ согласование"),0.3,IF(OR(K2056="ЭЗ согласовано",K2056="РЕШ согласовано",K2056="РЕШ подписано"),0.6,IF(OR(K2056="ЭЗ ПР согласование",K2056="РЕШ УВ согласование"),0.9,IF(OR(K2056="ЭЗ ПР DONE",K2056="РЕШ УВ DONE"),1,0)))))</f>
        <v>1</v>
      </c>
      <c r="K2056" s="263" t="s">
        <v>211</v>
      </c>
      <c r="L2056" s="99" t="s">
        <v>7518</v>
      </c>
      <c r="N2056" s="78" t="s">
        <v>17</v>
      </c>
      <c r="Q2056" s="78" t="s">
        <v>2056</v>
      </c>
      <c r="R2056" s="75">
        <f t="shared" ref="R2056:R2071" si="200">IF(S2056="В работе",0.3,IF(S2056="Отписано",0.6,IF(S2056="На доработку",0.9,IF(S2056="Согласовано",1,0))))</f>
        <v>1</v>
      </c>
      <c r="S2056" s="263" t="s">
        <v>1991</v>
      </c>
      <c r="T2056" s="263" t="s">
        <v>934</v>
      </c>
      <c r="U2056" s="304" t="s">
        <v>5592</v>
      </c>
      <c r="V2056" s="304" t="s">
        <v>7266</v>
      </c>
      <c r="Y2056" s="576">
        <v>0.46344907407407404</v>
      </c>
      <c r="Z2056" s="576">
        <v>0.4740625</v>
      </c>
      <c r="AA2056" s="576">
        <f t="shared" si="198"/>
        <v>1.0613425925925957E-2</v>
      </c>
      <c r="AB2056" s="722"/>
    </row>
    <row r="2057" spans="1:28" x14ac:dyDescent="0.35">
      <c r="A2057" s="81" t="s">
        <v>6553</v>
      </c>
      <c r="C2057" s="118">
        <v>43916</v>
      </c>
      <c r="D2057" s="318">
        <v>43998</v>
      </c>
      <c r="E2057" s="83">
        <v>43970</v>
      </c>
      <c r="F2057" s="88" t="s">
        <v>6679</v>
      </c>
      <c r="G2057" s="88" t="s">
        <v>158</v>
      </c>
      <c r="H2057" s="98" t="s">
        <v>220</v>
      </c>
      <c r="I2057" s="98" t="s">
        <v>3737</v>
      </c>
      <c r="J2057" s="75">
        <f t="shared" si="199"/>
        <v>1</v>
      </c>
      <c r="K2057" s="263" t="s">
        <v>211</v>
      </c>
      <c r="N2057" s="78" t="s">
        <v>17</v>
      </c>
      <c r="Q2057" s="78" t="s">
        <v>2056</v>
      </c>
      <c r="R2057" s="75">
        <f t="shared" si="200"/>
        <v>1</v>
      </c>
      <c r="S2057" s="263" t="s">
        <v>1991</v>
      </c>
      <c r="T2057" s="263" t="s">
        <v>932</v>
      </c>
      <c r="Y2057" s="576">
        <v>0.44684027777777779</v>
      </c>
      <c r="Z2057" s="576">
        <v>0.46307870370370369</v>
      </c>
      <c r="AA2057" s="576">
        <f t="shared" si="198"/>
        <v>1.6238425925925892E-2</v>
      </c>
      <c r="AB2057" s="722"/>
    </row>
    <row r="2058" spans="1:28" x14ac:dyDescent="0.35">
      <c r="A2058" s="81" t="s">
        <v>6558</v>
      </c>
      <c r="C2058" s="118">
        <v>43916</v>
      </c>
      <c r="D2058" s="318">
        <v>43998</v>
      </c>
      <c r="E2058" s="83">
        <v>43970</v>
      </c>
      <c r="F2058" s="88" t="s">
        <v>6684</v>
      </c>
      <c r="G2058" s="88" t="s">
        <v>156</v>
      </c>
      <c r="H2058" s="98" t="s">
        <v>220</v>
      </c>
      <c r="I2058" s="98" t="s">
        <v>722</v>
      </c>
      <c r="J2058" s="75">
        <f t="shared" si="199"/>
        <v>1</v>
      </c>
      <c r="K2058" s="263" t="s">
        <v>211</v>
      </c>
      <c r="L2058" s="99" t="s">
        <v>7513</v>
      </c>
      <c r="N2058" s="78" t="s">
        <v>17</v>
      </c>
      <c r="Q2058" s="78" t="s">
        <v>2056</v>
      </c>
      <c r="R2058" s="75">
        <f t="shared" si="200"/>
        <v>1</v>
      </c>
      <c r="S2058" s="263" t="s">
        <v>1991</v>
      </c>
      <c r="T2058" s="263" t="s">
        <v>932</v>
      </c>
      <c r="U2058" s="304" t="s">
        <v>5592</v>
      </c>
      <c r="V2058" s="304" t="s">
        <v>7265</v>
      </c>
      <c r="Y2058" s="576">
        <v>0.41556712962962966</v>
      </c>
      <c r="Z2058" s="576">
        <v>0.42223379629629632</v>
      </c>
      <c r="AA2058" s="576">
        <f t="shared" si="198"/>
        <v>6.6666666666666541E-3</v>
      </c>
      <c r="AB2058" s="722"/>
    </row>
    <row r="2059" spans="1:28" x14ac:dyDescent="0.35">
      <c r="A2059" s="81" t="s">
        <v>6561</v>
      </c>
      <c r="C2059" s="118">
        <v>43916</v>
      </c>
      <c r="D2059" s="318">
        <v>43998</v>
      </c>
      <c r="E2059" s="83">
        <v>43970</v>
      </c>
      <c r="F2059" s="88" t="s">
        <v>6687</v>
      </c>
      <c r="G2059" s="88" t="s">
        <v>176</v>
      </c>
      <c r="H2059" s="98" t="s">
        <v>220</v>
      </c>
      <c r="I2059" s="98" t="s">
        <v>722</v>
      </c>
      <c r="J2059" s="75">
        <f t="shared" si="199"/>
        <v>1</v>
      </c>
      <c r="K2059" s="263" t="s">
        <v>211</v>
      </c>
      <c r="N2059" s="78" t="s">
        <v>17</v>
      </c>
      <c r="Q2059" s="78" t="s">
        <v>2056</v>
      </c>
      <c r="R2059" s="75">
        <f t="shared" si="200"/>
        <v>1</v>
      </c>
      <c r="S2059" s="263" t="s">
        <v>1991</v>
      </c>
      <c r="T2059" s="263" t="s">
        <v>933</v>
      </c>
      <c r="Y2059" s="576">
        <v>0.43738425925925922</v>
      </c>
      <c r="Z2059" s="576">
        <v>0.44634259259259257</v>
      </c>
      <c r="AA2059" s="576">
        <f t="shared" si="198"/>
        <v>8.9583333333333459E-3</v>
      </c>
      <c r="AB2059" s="722"/>
    </row>
    <row r="2060" spans="1:28" x14ac:dyDescent="0.35">
      <c r="A2060" s="81" t="s">
        <v>6563</v>
      </c>
      <c r="C2060" s="118">
        <v>43916</v>
      </c>
      <c r="D2060" s="318">
        <v>43998</v>
      </c>
      <c r="E2060" s="83">
        <v>43970</v>
      </c>
      <c r="F2060" s="88" t="s">
        <v>6689</v>
      </c>
      <c r="G2060" s="88" t="s">
        <v>168</v>
      </c>
      <c r="H2060" s="98" t="s">
        <v>220</v>
      </c>
      <c r="I2060" s="98" t="s">
        <v>722</v>
      </c>
      <c r="J2060" s="75">
        <f t="shared" si="199"/>
        <v>1</v>
      </c>
      <c r="K2060" s="263" t="s">
        <v>211</v>
      </c>
      <c r="L2060" s="99" t="s">
        <v>7267</v>
      </c>
      <c r="N2060" s="78" t="s">
        <v>18</v>
      </c>
      <c r="Q2060" s="78" t="s">
        <v>2056</v>
      </c>
      <c r="R2060" s="75">
        <f t="shared" si="200"/>
        <v>1</v>
      </c>
      <c r="S2060" s="263" t="s">
        <v>1991</v>
      </c>
      <c r="T2060" s="263" t="s">
        <v>934</v>
      </c>
      <c r="Y2060" s="576">
        <v>0.49516203703703704</v>
      </c>
      <c r="Z2060" s="576">
        <v>0.50483796296296302</v>
      </c>
      <c r="AA2060" s="576">
        <f t="shared" si="198"/>
        <v>9.6759259259259767E-3</v>
      </c>
      <c r="AB2060" s="722"/>
    </row>
    <row r="2061" spans="1:28" x14ac:dyDescent="0.35">
      <c r="A2061" s="81" t="s">
        <v>6565</v>
      </c>
      <c r="C2061" s="118">
        <v>43916</v>
      </c>
      <c r="D2061" s="318">
        <v>43998</v>
      </c>
      <c r="E2061" s="83">
        <v>43970</v>
      </c>
      <c r="F2061" s="88" t="s">
        <v>6691</v>
      </c>
      <c r="G2061" s="88" t="s">
        <v>1337</v>
      </c>
      <c r="H2061" s="98" t="s">
        <v>220</v>
      </c>
      <c r="I2061" s="98" t="s">
        <v>649</v>
      </c>
      <c r="J2061" s="75">
        <f t="shared" si="199"/>
        <v>1</v>
      </c>
      <c r="K2061" s="263" t="s">
        <v>211</v>
      </c>
      <c r="N2061" s="78" t="s">
        <v>18</v>
      </c>
      <c r="Q2061" s="78" t="s">
        <v>2056</v>
      </c>
      <c r="R2061" s="75">
        <f t="shared" si="200"/>
        <v>1</v>
      </c>
      <c r="S2061" s="263" t="s">
        <v>1991</v>
      </c>
      <c r="T2061" s="263" t="s">
        <v>933</v>
      </c>
      <c r="Y2061" s="576">
        <v>0.48834490740740738</v>
      </c>
      <c r="Z2061" s="576">
        <v>0.49350694444444443</v>
      </c>
      <c r="AA2061" s="576">
        <f t="shared" si="198"/>
        <v>5.1620370370370483E-3</v>
      </c>
      <c r="AB2061" s="722"/>
    </row>
    <row r="2062" spans="1:28" x14ac:dyDescent="0.35">
      <c r="A2062" s="81" t="s">
        <v>6628</v>
      </c>
      <c r="C2062" s="118">
        <v>43929</v>
      </c>
      <c r="D2062" s="318">
        <v>43998</v>
      </c>
      <c r="E2062" s="83">
        <v>43970</v>
      </c>
      <c r="F2062" s="88" t="s">
        <v>6753</v>
      </c>
      <c r="G2062" s="88" t="s">
        <v>162</v>
      </c>
      <c r="H2062" s="98" t="s">
        <v>220</v>
      </c>
      <c r="I2062" s="98" t="s">
        <v>649</v>
      </c>
      <c r="J2062" s="75">
        <f t="shared" si="199"/>
        <v>1</v>
      </c>
      <c r="K2062" s="263" t="s">
        <v>211</v>
      </c>
      <c r="N2062" s="78" t="s">
        <v>18</v>
      </c>
      <c r="Q2062" s="78" t="s">
        <v>2056</v>
      </c>
      <c r="R2062" s="75">
        <f t="shared" si="200"/>
        <v>1</v>
      </c>
      <c r="S2062" s="263" t="s">
        <v>1991</v>
      </c>
      <c r="T2062" s="263" t="s">
        <v>932</v>
      </c>
      <c r="Y2062" s="576">
        <v>0.50520833333333337</v>
      </c>
      <c r="Z2062" s="576">
        <v>0.51153935185185184</v>
      </c>
      <c r="AA2062" s="576">
        <f t="shared" si="198"/>
        <v>6.331018518518472E-3</v>
      </c>
      <c r="AB2062" s="722"/>
    </row>
    <row r="2063" spans="1:28" x14ac:dyDescent="0.35">
      <c r="A2063" s="81" t="s">
        <v>6634</v>
      </c>
      <c r="C2063" s="118">
        <v>43930</v>
      </c>
      <c r="D2063" s="318">
        <v>43998</v>
      </c>
      <c r="E2063" s="83">
        <v>43970</v>
      </c>
      <c r="F2063" s="88" t="s">
        <v>6760</v>
      </c>
      <c r="G2063" s="88" t="s">
        <v>160</v>
      </c>
      <c r="H2063" s="98" t="s">
        <v>220</v>
      </c>
      <c r="I2063" s="98" t="s">
        <v>649</v>
      </c>
      <c r="J2063" s="75">
        <f t="shared" si="199"/>
        <v>1</v>
      </c>
      <c r="K2063" s="263" t="s">
        <v>211</v>
      </c>
      <c r="N2063" s="78" t="s">
        <v>18</v>
      </c>
      <c r="Q2063" s="78" t="s">
        <v>2056</v>
      </c>
      <c r="R2063" s="75">
        <f t="shared" si="200"/>
        <v>1</v>
      </c>
      <c r="S2063" s="263" t="s">
        <v>1991</v>
      </c>
      <c r="T2063" s="263" t="s">
        <v>933</v>
      </c>
      <c r="Y2063" s="576">
        <v>0.51202546296296292</v>
      </c>
      <c r="Z2063" s="576">
        <v>0.51606481481481481</v>
      </c>
      <c r="AA2063" s="576">
        <f t="shared" si="198"/>
        <v>4.0393518518518912E-3</v>
      </c>
      <c r="AB2063" s="722"/>
    </row>
    <row r="2064" spans="1:28" x14ac:dyDescent="0.35">
      <c r="A2064" s="81" t="s">
        <v>6905</v>
      </c>
      <c r="C2064" s="118">
        <v>43937</v>
      </c>
      <c r="D2064" s="318">
        <v>43983</v>
      </c>
      <c r="E2064" s="83">
        <v>43983</v>
      </c>
      <c r="F2064" s="88" t="s">
        <v>6934</v>
      </c>
      <c r="G2064" s="88" t="s">
        <v>177</v>
      </c>
      <c r="H2064" s="98" t="s">
        <v>220</v>
      </c>
      <c r="I2064" s="98" t="s">
        <v>1004</v>
      </c>
      <c r="J2064" s="75">
        <f t="shared" si="199"/>
        <v>1</v>
      </c>
      <c r="K2064" s="76" t="s">
        <v>211</v>
      </c>
      <c r="L2064" s="99" t="s">
        <v>7822</v>
      </c>
      <c r="N2064" s="78" t="s">
        <v>19</v>
      </c>
      <c r="Q2064" s="78" t="s">
        <v>2056</v>
      </c>
      <c r="R2064" s="75">
        <f t="shared" si="200"/>
        <v>1</v>
      </c>
      <c r="S2064" s="263" t="s">
        <v>1991</v>
      </c>
      <c r="T2064" s="263" t="s">
        <v>934</v>
      </c>
      <c r="U2064" s="304" t="s">
        <v>5592</v>
      </c>
      <c r="V2064" s="304" t="s">
        <v>7823</v>
      </c>
      <c r="Y2064" s="576">
        <v>0.40231481481481479</v>
      </c>
      <c r="Z2064" s="576">
        <v>0.41097222222222224</v>
      </c>
      <c r="AA2064" s="576">
        <f t="shared" ref="AA2064:AA2071" si="201">Z2064-Y2064</f>
        <v>8.657407407407447E-3</v>
      </c>
      <c r="AB2064" s="722"/>
    </row>
    <row r="2065" spans="1:28" x14ac:dyDescent="0.35">
      <c r="A2065" s="81" t="s">
        <v>6906</v>
      </c>
      <c r="C2065" s="118">
        <v>43937</v>
      </c>
      <c r="D2065" s="118">
        <v>43983</v>
      </c>
      <c r="F2065" s="88" t="s">
        <v>6935</v>
      </c>
      <c r="G2065" s="88" t="s">
        <v>156</v>
      </c>
      <c r="H2065" s="98" t="s">
        <v>220</v>
      </c>
      <c r="J2065" s="75">
        <f t="shared" si="199"/>
        <v>1</v>
      </c>
      <c r="K2065" s="76" t="s">
        <v>211</v>
      </c>
      <c r="Q2065" s="78" t="s">
        <v>2056</v>
      </c>
      <c r="R2065" s="75">
        <f t="shared" si="200"/>
        <v>1</v>
      </c>
      <c r="S2065" s="263" t="s">
        <v>1991</v>
      </c>
      <c r="T2065" s="263"/>
      <c r="AA2065" s="576">
        <f t="shared" si="201"/>
        <v>0</v>
      </c>
      <c r="AB2065" s="722"/>
    </row>
    <row r="2066" spans="1:28" x14ac:dyDescent="0.35">
      <c r="A2066" s="81" t="s">
        <v>6961</v>
      </c>
      <c r="C2066" s="118">
        <v>43944</v>
      </c>
      <c r="D2066" s="318">
        <v>43983</v>
      </c>
      <c r="E2066" s="83">
        <v>43956</v>
      </c>
      <c r="F2066" s="88" t="s">
        <v>6980</v>
      </c>
      <c r="G2066" s="88" t="s">
        <v>160</v>
      </c>
      <c r="H2066" s="98" t="s">
        <v>220</v>
      </c>
      <c r="I2066" s="98" t="s">
        <v>3893</v>
      </c>
      <c r="J2066" s="75">
        <f t="shared" si="199"/>
        <v>1</v>
      </c>
      <c r="K2066" s="76" t="s">
        <v>211</v>
      </c>
      <c r="L2066" s="99" t="s">
        <v>7140</v>
      </c>
      <c r="N2066" s="78" t="s">
        <v>17</v>
      </c>
      <c r="Q2066" s="78" t="s">
        <v>2056</v>
      </c>
      <c r="R2066" s="75">
        <f t="shared" si="200"/>
        <v>1</v>
      </c>
      <c r="S2066" s="263" t="s">
        <v>1991</v>
      </c>
      <c r="T2066" s="263" t="s">
        <v>934</v>
      </c>
      <c r="Y2066" s="576">
        <v>0.45936342592592588</v>
      </c>
      <c r="Z2066" s="576">
        <v>0.48159722222222223</v>
      </c>
      <c r="AA2066" s="576">
        <f t="shared" si="201"/>
        <v>2.2233796296296349E-2</v>
      </c>
      <c r="AB2066" s="722"/>
    </row>
    <row r="2067" spans="1:28" x14ac:dyDescent="0.35">
      <c r="A2067" s="81" t="s">
        <v>6962</v>
      </c>
      <c r="C2067" s="118">
        <v>43944</v>
      </c>
      <c r="D2067" s="318">
        <v>43983</v>
      </c>
      <c r="E2067" s="83">
        <v>43957</v>
      </c>
      <c r="F2067" s="88" t="s">
        <v>6981</v>
      </c>
      <c r="G2067" s="88" t="s">
        <v>154</v>
      </c>
      <c r="H2067" s="98" t="s">
        <v>220</v>
      </c>
      <c r="I2067" s="98" t="s">
        <v>2516</v>
      </c>
      <c r="J2067" s="75">
        <f t="shared" si="199"/>
        <v>1</v>
      </c>
      <c r="K2067" s="76" t="s">
        <v>211</v>
      </c>
      <c r="L2067" s="99" t="s">
        <v>7131</v>
      </c>
      <c r="N2067" s="78" t="s">
        <v>17</v>
      </c>
      <c r="Q2067" s="78" t="s">
        <v>2056</v>
      </c>
      <c r="R2067" s="75">
        <f t="shared" si="200"/>
        <v>1</v>
      </c>
      <c r="S2067" s="263" t="s">
        <v>1991</v>
      </c>
      <c r="T2067" s="263" t="s">
        <v>932</v>
      </c>
      <c r="X2067" s="304" t="s">
        <v>7163</v>
      </c>
      <c r="Y2067" s="576">
        <v>0.37616898148148148</v>
      </c>
      <c r="Z2067" s="576">
        <v>0.38413194444444443</v>
      </c>
      <c r="AA2067" s="576">
        <f t="shared" si="201"/>
        <v>7.9629629629629495E-3</v>
      </c>
      <c r="AB2067" s="722"/>
    </row>
    <row r="2068" spans="1:28" x14ac:dyDescent="0.35">
      <c r="A2068" s="81" t="s">
        <v>6968</v>
      </c>
      <c r="C2068" s="118">
        <v>43944</v>
      </c>
      <c r="D2068" s="318">
        <v>43983</v>
      </c>
      <c r="E2068" s="83">
        <v>43957</v>
      </c>
      <c r="F2068" s="88" t="s">
        <v>6987</v>
      </c>
      <c r="G2068" s="88" t="s">
        <v>166</v>
      </c>
      <c r="H2068" s="98" t="s">
        <v>220</v>
      </c>
      <c r="I2068" s="98" t="s">
        <v>2516</v>
      </c>
      <c r="J2068" s="75">
        <f t="shared" si="199"/>
        <v>1</v>
      </c>
      <c r="K2068" s="76" t="s">
        <v>211</v>
      </c>
      <c r="N2068" s="78" t="s">
        <v>17</v>
      </c>
      <c r="Q2068" s="78" t="s">
        <v>2056</v>
      </c>
      <c r="R2068" s="75">
        <f t="shared" si="200"/>
        <v>1</v>
      </c>
      <c r="S2068" s="263" t="s">
        <v>1991</v>
      </c>
      <c r="T2068" s="263" t="s">
        <v>934</v>
      </c>
      <c r="Y2068" s="576">
        <v>0.36778935185185185</v>
      </c>
      <c r="Z2068" s="576">
        <v>0.37550925925925926</v>
      </c>
      <c r="AA2068" s="576">
        <f t="shared" si="201"/>
        <v>7.7199074074074114E-3</v>
      </c>
      <c r="AB2068" s="722"/>
    </row>
    <row r="2069" spans="1:28" x14ac:dyDescent="0.35">
      <c r="A2069" s="81" t="s">
        <v>6971</v>
      </c>
      <c r="C2069" s="118">
        <v>43944</v>
      </c>
      <c r="D2069" s="318">
        <v>43983</v>
      </c>
      <c r="E2069" s="83">
        <v>43957</v>
      </c>
      <c r="F2069" s="88" t="s">
        <v>6990</v>
      </c>
      <c r="G2069" s="88" t="s">
        <v>149</v>
      </c>
      <c r="H2069" s="98" t="s">
        <v>220</v>
      </c>
      <c r="I2069" s="98" t="s">
        <v>3557</v>
      </c>
      <c r="J2069" s="75">
        <f t="shared" si="199"/>
        <v>1</v>
      </c>
      <c r="K2069" s="76" t="s">
        <v>211</v>
      </c>
      <c r="N2069" s="78" t="s">
        <v>18</v>
      </c>
      <c r="Q2069" s="78" t="s">
        <v>2056</v>
      </c>
      <c r="R2069" s="75">
        <f t="shared" si="200"/>
        <v>1</v>
      </c>
      <c r="S2069" s="263" t="s">
        <v>1991</v>
      </c>
      <c r="T2069" s="263" t="s">
        <v>933</v>
      </c>
      <c r="Y2069" s="576">
        <v>0.35944444444444446</v>
      </c>
      <c r="Z2069" s="576">
        <v>0.3651388888888889</v>
      </c>
      <c r="AA2069" s="576">
        <f t="shared" si="201"/>
        <v>5.6944444444444464E-3</v>
      </c>
      <c r="AB2069" s="722"/>
    </row>
    <row r="2070" spans="1:28" x14ac:dyDescent="0.35">
      <c r="A2070" s="81" t="s">
        <v>6974</v>
      </c>
      <c r="C2070" s="118">
        <v>43944</v>
      </c>
      <c r="D2070" s="318">
        <v>43983</v>
      </c>
      <c r="E2070" s="83">
        <v>43957</v>
      </c>
      <c r="F2070" s="88" t="s">
        <v>6993</v>
      </c>
      <c r="G2070" s="88" t="s">
        <v>158</v>
      </c>
      <c r="H2070" s="98" t="s">
        <v>220</v>
      </c>
      <c r="I2070" s="98" t="s">
        <v>2516</v>
      </c>
      <c r="J2070" s="75">
        <f t="shared" si="199"/>
        <v>1</v>
      </c>
      <c r="K2070" s="76" t="s">
        <v>211</v>
      </c>
      <c r="N2070" s="78" t="s">
        <v>17</v>
      </c>
      <c r="Q2070" s="78" t="s">
        <v>2056</v>
      </c>
      <c r="R2070" s="75">
        <f t="shared" si="200"/>
        <v>1</v>
      </c>
      <c r="S2070" s="263" t="s">
        <v>1991</v>
      </c>
      <c r="T2070" s="263" t="s">
        <v>934</v>
      </c>
      <c r="U2070" s="304" t="s">
        <v>5592</v>
      </c>
      <c r="V2070" s="304" t="s">
        <v>7130</v>
      </c>
      <c r="Y2070" s="576">
        <v>0.34554398148148152</v>
      </c>
      <c r="Z2070" s="576">
        <v>0.35869212962962965</v>
      </c>
      <c r="AA2070" s="576">
        <f t="shared" si="201"/>
        <v>1.3148148148148131E-2</v>
      </c>
      <c r="AB2070" s="722"/>
    </row>
    <row r="2071" spans="1:28" x14ac:dyDescent="0.35">
      <c r="A2071" s="81" t="s">
        <v>6979</v>
      </c>
      <c r="C2071" s="118">
        <v>43944</v>
      </c>
      <c r="D2071" s="318">
        <v>43983</v>
      </c>
      <c r="E2071" s="83">
        <v>43957</v>
      </c>
      <c r="F2071" s="88" t="s">
        <v>6998</v>
      </c>
      <c r="G2071" s="88" t="s">
        <v>149</v>
      </c>
      <c r="H2071" s="98" t="s">
        <v>220</v>
      </c>
      <c r="I2071" s="98" t="s">
        <v>656</v>
      </c>
      <c r="J2071" s="75">
        <f t="shared" si="199"/>
        <v>1</v>
      </c>
      <c r="K2071" s="76" t="s">
        <v>211</v>
      </c>
      <c r="N2071" s="78" t="s">
        <v>17</v>
      </c>
      <c r="Q2071" s="78" t="s">
        <v>2056</v>
      </c>
      <c r="R2071" s="75">
        <f t="shared" si="200"/>
        <v>1</v>
      </c>
      <c r="S2071" s="263" t="s">
        <v>1991</v>
      </c>
      <c r="T2071" s="263" t="s">
        <v>933</v>
      </c>
      <c r="Y2071" s="576">
        <v>0.33356481481481487</v>
      </c>
      <c r="Z2071" s="576">
        <v>0.34511574074074075</v>
      </c>
      <c r="AA2071" s="576">
        <f t="shared" si="201"/>
        <v>1.1550925925925881E-2</v>
      </c>
      <c r="AB2071" s="722"/>
    </row>
    <row r="2072" spans="1:28" x14ac:dyDescent="0.35">
      <c r="A2072" s="81" t="s">
        <v>6583</v>
      </c>
      <c r="C2072" s="118">
        <v>43928</v>
      </c>
      <c r="D2072" s="318">
        <v>43983</v>
      </c>
      <c r="E2072" s="83">
        <v>43959</v>
      </c>
      <c r="F2072" s="88" t="s">
        <v>6708</v>
      </c>
      <c r="G2072" s="88" t="s">
        <v>158</v>
      </c>
      <c r="H2072" s="98" t="s">
        <v>220</v>
      </c>
      <c r="I2072" s="98" t="s">
        <v>656</v>
      </c>
      <c r="J2072" s="75">
        <f t="shared" ref="J2072:J2080" si="202">IF(OR(K2072="Документы готовы",K2072="Запрос в ФО",K2072="ЭЗ",K2072="РЕШ",K2072="РЕШ шаблон"),0.1,IF(OR(K2072="ЭЗ согласование",K2072="РЕШ согласование"),0.3,IF(OR(K2072="ЭЗ согласовано",K2072="РЕШ согласовано",K2072="РЕШ подписано"),0.6,IF(OR(K2072="ЭЗ ПР согласование",K2072="РЕШ УВ согласование"),0.9,IF(OR(K2072="ЭЗ ПР DONE",K2072="РЕШ УВ DONE"),1,0)))))</f>
        <v>1</v>
      </c>
      <c r="K2072" s="76" t="s">
        <v>211</v>
      </c>
      <c r="N2072" s="78" t="s">
        <v>17</v>
      </c>
      <c r="Q2072" s="78" t="s">
        <v>2447</v>
      </c>
      <c r="R2072" s="75">
        <f t="shared" ref="R2072:R2080" si="203">IF(S2072="В работе",0.3,IF(S2072="Отписано",0.6,IF(S2072="На доработку",0.9,IF(S2072="Согласовано",1,0))))</f>
        <v>1</v>
      </c>
      <c r="S2072" s="263" t="s">
        <v>1991</v>
      </c>
      <c r="T2072" s="263" t="s">
        <v>934</v>
      </c>
      <c r="Y2072" s="576">
        <v>0.43444444444444441</v>
      </c>
      <c r="Z2072" s="576">
        <v>0.46849537037037042</v>
      </c>
      <c r="AA2072" s="576">
        <f t="shared" ref="AA2072:AA2082" si="204">Z2072-Y2072</f>
        <v>3.4050925925926012E-2</v>
      </c>
      <c r="AB2072" s="722"/>
    </row>
    <row r="2073" spans="1:28" x14ac:dyDescent="0.35">
      <c r="A2073" s="81" t="s">
        <v>6587</v>
      </c>
      <c r="C2073" s="118">
        <v>43928</v>
      </c>
      <c r="D2073" s="318">
        <v>43983</v>
      </c>
      <c r="E2073" s="83">
        <v>43959</v>
      </c>
      <c r="F2073" s="88" t="s">
        <v>6712</v>
      </c>
      <c r="G2073" s="88" t="s">
        <v>154</v>
      </c>
      <c r="H2073" s="98" t="s">
        <v>220</v>
      </c>
      <c r="I2073" s="98" t="s">
        <v>7168</v>
      </c>
      <c r="J2073" s="75">
        <f t="shared" si="202"/>
        <v>1</v>
      </c>
      <c r="K2073" s="76" t="s">
        <v>211</v>
      </c>
      <c r="L2073" s="99" t="s">
        <v>7169</v>
      </c>
      <c r="N2073" s="78" t="s">
        <v>19</v>
      </c>
      <c r="Q2073" s="78" t="s">
        <v>2130</v>
      </c>
      <c r="R2073" s="75">
        <f t="shared" si="203"/>
        <v>1</v>
      </c>
      <c r="S2073" s="263" t="s">
        <v>1991</v>
      </c>
      <c r="T2073" s="263" t="s">
        <v>933</v>
      </c>
      <c r="U2073" s="304" t="s">
        <v>5592</v>
      </c>
      <c r="V2073" s="304" t="s">
        <v>7170</v>
      </c>
      <c r="Y2073" s="576">
        <v>0.63042824074074078</v>
      </c>
      <c r="Z2073" s="576">
        <v>0.67843749999999992</v>
      </c>
      <c r="AA2073" s="576">
        <f t="shared" si="204"/>
        <v>4.8009259259259141E-2</v>
      </c>
      <c r="AB2073" s="722"/>
    </row>
    <row r="2074" spans="1:28" x14ac:dyDescent="0.35">
      <c r="A2074" s="81" t="s">
        <v>6588</v>
      </c>
      <c r="C2074" s="118">
        <v>43928</v>
      </c>
      <c r="D2074" s="318">
        <v>43983</v>
      </c>
      <c r="E2074" s="83">
        <v>43959</v>
      </c>
      <c r="F2074" s="88" t="s">
        <v>6713</v>
      </c>
      <c r="G2074" s="88" t="s">
        <v>162</v>
      </c>
      <c r="H2074" s="98" t="s">
        <v>220</v>
      </c>
      <c r="I2074" s="98" t="s">
        <v>2516</v>
      </c>
      <c r="J2074" s="75">
        <f t="shared" si="202"/>
        <v>1</v>
      </c>
      <c r="K2074" s="76" t="s">
        <v>211</v>
      </c>
      <c r="N2074" s="78" t="s">
        <v>17</v>
      </c>
      <c r="Q2074" s="78" t="s">
        <v>2447</v>
      </c>
      <c r="R2074" s="75">
        <f t="shared" si="203"/>
        <v>1</v>
      </c>
      <c r="S2074" s="263" t="s">
        <v>1991</v>
      </c>
      <c r="T2074" s="263" t="s">
        <v>933</v>
      </c>
      <c r="Y2074" s="576">
        <v>0.46901620370370373</v>
      </c>
      <c r="Z2074" s="576">
        <v>0.47568287037037038</v>
      </c>
      <c r="AA2074" s="576">
        <f t="shared" si="204"/>
        <v>6.6666666666666541E-3</v>
      </c>
      <c r="AB2074" s="722"/>
    </row>
    <row r="2075" spans="1:28" x14ac:dyDescent="0.35">
      <c r="A2075" s="81" t="s">
        <v>6590</v>
      </c>
      <c r="C2075" s="118">
        <v>43928</v>
      </c>
      <c r="D2075" s="318">
        <v>43998</v>
      </c>
      <c r="E2075" s="83">
        <v>43965</v>
      </c>
      <c r="F2075" s="88" t="s">
        <v>6715</v>
      </c>
      <c r="G2075" s="88" t="s">
        <v>195</v>
      </c>
      <c r="H2075" s="98" t="s">
        <v>220</v>
      </c>
      <c r="I2075" s="98" t="s">
        <v>649</v>
      </c>
      <c r="J2075" s="75">
        <f t="shared" si="202"/>
        <v>1</v>
      </c>
      <c r="K2075" s="263" t="s">
        <v>211</v>
      </c>
      <c r="N2075" s="78" t="s">
        <v>18</v>
      </c>
      <c r="Q2075" s="78" t="s">
        <v>2447</v>
      </c>
      <c r="R2075" s="75">
        <f t="shared" si="203"/>
        <v>1</v>
      </c>
      <c r="S2075" s="263" t="s">
        <v>1991</v>
      </c>
      <c r="T2075" s="263" t="s">
        <v>933</v>
      </c>
      <c r="Y2075" s="576">
        <v>0.8548958333333333</v>
      </c>
      <c r="Z2075" s="576">
        <v>0.86041666666666661</v>
      </c>
      <c r="AA2075" s="576">
        <f t="shared" si="204"/>
        <v>5.5208333333333082E-3</v>
      </c>
      <c r="AB2075" s="722"/>
    </row>
    <row r="2076" spans="1:28" x14ac:dyDescent="0.35">
      <c r="A2076" s="81" t="s">
        <v>6594</v>
      </c>
      <c r="C2076" s="118">
        <v>43928</v>
      </c>
      <c r="D2076" s="318">
        <v>43983</v>
      </c>
      <c r="E2076" s="83">
        <v>43963</v>
      </c>
      <c r="F2076" s="88" t="s">
        <v>6719</v>
      </c>
      <c r="G2076" s="88" t="s">
        <v>170</v>
      </c>
      <c r="H2076" s="98" t="s">
        <v>220</v>
      </c>
      <c r="I2076" s="98" t="s">
        <v>2516</v>
      </c>
      <c r="J2076" s="75">
        <f t="shared" si="202"/>
        <v>1</v>
      </c>
      <c r="K2076" s="76" t="s">
        <v>211</v>
      </c>
      <c r="N2076" s="78" t="s">
        <v>17</v>
      </c>
      <c r="Q2076" s="78" t="s">
        <v>2447</v>
      </c>
      <c r="R2076" s="75">
        <f t="shared" si="203"/>
        <v>1</v>
      </c>
      <c r="S2076" s="263" t="s">
        <v>1991</v>
      </c>
      <c r="T2076" s="263" t="s">
        <v>932</v>
      </c>
      <c r="U2076" s="304" t="s">
        <v>5592</v>
      </c>
      <c r="V2076" s="304" t="s">
        <v>7179</v>
      </c>
      <c r="Y2076" s="576">
        <v>0.40564814814814815</v>
      </c>
      <c r="Z2076" s="576">
        <v>0.41748842592592594</v>
      </c>
      <c r="AA2076" s="576">
        <f t="shared" si="204"/>
        <v>1.1840277777777797E-2</v>
      </c>
      <c r="AB2076" s="722"/>
    </row>
    <row r="2077" spans="1:28" x14ac:dyDescent="0.35">
      <c r="A2077" s="81" t="s">
        <v>6610</v>
      </c>
      <c r="C2077" s="118">
        <v>43928</v>
      </c>
      <c r="D2077" s="118">
        <v>43983</v>
      </c>
      <c r="F2077" s="88" t="s">
        <v>6735</v>
      </c>
      <c r="G2077" s="88" t="s">
        <v>156</v>
      </c>
      <c r="H2077" s="98" t="s">
        <v>220</v>
      </c>
      <c r="J2077" s="75">
        <f t="shared" si="202"/>
        <v>1</v>
      </c>
      <c r="K2077" s="76" t="s">
        <v>211</v>
      </c>
      <c r="Q2077" s="78" t="s">
        <v>2163</v>
      </c>
      <c r="R2077" s="75">
        <f t="shared" si="203"/>
        <v>1</v>
      </c>
      <c r="S2077" s="263" t="s">
        <v>1991</v>
      </c>
      <c r="T2077" s="263"/>
      <c r="AA2077" s="576">
        <f t="shared" si="204"/>
        <v>0</v>
      </c>
      <c r="AB2077" s="722"/>
    </row>
    <row r="2078" spans="1:28" x14ac:dyDescent="0.35">
      <c r="A2078" s="81" t="s">
        <v>6616</v>
      </c>
      <c r="C2078" s="118">
        <v>43928</v>
      </c>
      <c r="D2078" s="318">
        <v>43983</v>
      </c>
      <c r="E2078" s="83">
        <v>43963</v>
      </c>
      <c r="F2078" s="88" t="s">
        <v>6741</v>
      </c>
      <c r="G2078" s="88" t="s">
        <v>158</v>
      </c>
      <c r="H2078" s="98" t="s">
        <v>220</v>
      </c>
      <c r="I2078" s="98" t="s">
        <v>656</v>
      </c>
      <c r="J2078" s="75">
        <f t="shared" si="202"/>
        <v>1</v>
      </c>
      <c r="K2078" s="76" t="s">
        <v>211</v>
      </c>
      <c r="N2078" s="78" t="s">
        <v>17</v>
      </c>
      <c r="Q2078" s="78" t="s">
        <v>2447</v>
      </c>
      <c r="R2078" s="75">
        <f t="shared" si="203"/>
        <v>1</v>
      </c>
      <c r="S2078" s="263" t="s">
        <v>1991</v>
      </c>
      <c r="T2078" s="263" t="s">
        <v>933</v>
      </c>
      <c r="Y2078" s="576">
        <v>0.39910879629629631</v>
      </c>
      <c r="Z2078" s="576">
        <v>0.40494212962962961</v>
      </c>
      <c r="AA2078" s="576">
        <f t="shared" si="204"/>
        <v>5.8333333333333015E-3</v>
      </c>
      <c r="AB2078" s="722"/>
    </row>
    <row r="2079" spans="1:28" x14ac:dyDescent="0.35">
      <c r="A2079" s="81" t="s">
        <v>6623</v>
      </c>
      <c r="C2079" s="118">
        <v>43929</v>
      </c>
      <c r="D2079" s="318">
        <v>43983</v>
      </c>
      <c r="E2079" s="83">
        <v>43962</v>
      </c>
      <c r="F2079" s="88" t="s">
        <v>6748</v>
      </c>
      <c r="G2079" s="88" t="s">
        <v>154</v>
      </c>
      <c r="H2079" s="98" t="s">
        <v>220</v>
      </c>
      <c r="I2079" s="98" t="s">
        <v>691</v>
      </c>
      <c r="J2079" s="75">
        <f t="shared" si="202"/>
        <v>1</v>
      </c>
      <c r="K2079" s="76" t="s">
        <v>211</v>
      </c>
      <c r="N2079" s="78" t="s">
        <v>18</v>
      </c>
      <c r="Q2079" s="78" t="s">
        <v>2163</v>
      </c>
      <c r="R2079" s="75">
        <f t="shared" si="203"/>
        <v>1</v>
      </c>
      <c r="S2079" s="263" t="s">
        <v>1991</v>
      </c>
      <c r="T2079" s="263" t="s">
        <v>934</v>
      </c>
      <c r="Y2079" s="576">
        <v>0.93225694444444451</v>
      </c>
      <c r="Z2079" s="576">
        <v>0.94281250000000005</v>
      </c>
      <c r="AA2079" s="576">
        <f t="shared" si="204"/>
        <v>1.055555555555554E-2</v>
      </c>
      <c r="AB2079" s="722"/>
    </row>
    <row r="2080" spans="1:28" x14ac:dyDescent="0.35">
      <c r="A2080" s="81" t="s">
        <v>6629</v>
      </c>
      <c r="C2080" s="118">
        <v>43929</v>
      </c>
      <c r="D2080" s="318">
        <v>43983</v>
      </c>
      <c r="E2080" s="83">
        <v>43964</v>
      </c>
      <c r="F2080" s="88" t="s">
        <v>6754</v>
      </c>
      <c r="G2080" s="88" t="s">
        <v>6755</v>
      </c>
      <c r="H2080" s="98" t="s">
        <v>220</v>
      </c>
      <c r="I2080" s="98" t="s">
        <v>7217</v>
      </c>
      <c r="J2080" s="75">
        <f t="shared" si="202"/>
        <v>1</v>
      </c>
      <c r="K2080" s="76" t="s">
        <v>211</v>
      </c>
      <c r="L2080" s="99"/>
      <c r="N2080" s="78" t="s">
        <v>19</v>
      </c>
      <c r="Q2080" s="78" t="s">
        <v>2163</v>
      </c>
      <c r="R2080" s="75">
        <f t="shared" si="203"/>
        <v>1</v>
      </c>
      <c r="S2080" s="263" t="s">
        <v>1991</v>
      </c>
      <c r="T2080" s="263" t="s">
        <v>934</v>
      </c>
      <c r="Y2080" s="576">
        <v>0.53452546296296299</v>
      </c>
      <c r="Z2080" s="576">
        <v>0.5412731481481482</v>
      </c>
      <c r="AA2080" s="576">
        <f t="shared" si="204"/>
        <v>6.7476851851852038E-3</v>
      </c>
      <c r="AB2080" s="722"/>
    </row>
    <row r="2081" spans="1:28" x14ac:dyDescent="0.35">
      <c r="A2081" s="81" t="s">
        <v>6853</v>
      </c>
      <c r="C2081" s="118">
        <v>43934</v>
      </c>
      <c r="D2081" s="318">
        <v>43983</v>
      </c>
      <c r="E2081" s="83">
        <v>43957</v>
      </c>
      <c r="F2081" s="88" t="s">
        <v>6881</v>
      </c>
      <c r="G2081" s="88" t="s">
        <v>170</v>
      </c>
      <c r="H2081" s="98" t="s">
        <v>220</v>
      </c>
      <c r="I2081" s="98" t="s">
        <v>981</v>
      </c>
      <c r="J2081" s="75">
        <f t="shared" ref="J2081:J2083" si="205">IF(OR(K2081="Документы готовы",K2081="Запрос в ФО",K2081="ЭЗ",K2081="РЕШ",K2081="РЕШ шаблон"),0.1,IF(OR(K2081="ЭЗ согласование",K2081="РЕШ согласование"),0.3,IF(OR(K2081="ЭЗ согласовано",K2081="РЕШ согласовано",K2081="РЕШ подписано"),0.6,IF(OR(K2081="ЭЗ ПР согласование",K2081="РЕШ УВ согласование"),0.9,IF(OR(K2081="ЭЗ ПР DONE",K2081="РЕШ УВ DONE"),1,0)))))</f>
        <v>1</v>
      </c>
      <c r="K2081" s="76" t="s">
        <v>211</v>
      </c>
      <c r="N2081" s="78" t="s">
        <v>17</v>
      </c>
      <c r="Q2081" s="78" t="s">
        <v>2163</v>
      </c>
      <c r="R2081" s="75">
        <f t="shared" ref="R2081:R2083" si="206">IF(S2081="В работе",0.3,IF(S2081="Отписано",0.6,IF(S2081="На доработку",0.9,IF(S2081="Согласовано",1,0))))</f>
        <v>1</v>
      </c>
      <c r="S2081" s="263" t="s">
        <v>1991</v>
      </c>
      <c r="T2081" s="263" t="s">
        <v>933</v>
      </c>
      <c r="Y2081" s="576">
        <v>0.60089120370370364</v>
      </c>
      <c r="Z2081" s="576">
        <v>0.60877314814814809</v>
      </c>
      <c r="AA2081" s="576">
        <f t="shared" si="204"/>
        <v>7.8819444444444553E-3</v>
      </c>
      <c r="AB2081" s="722"/>
    </row>
    <row r="2082" spans="1:28" x14ac:dyDescent="0.35">
      <c r="A2082" s="98" t="s">
        <v>6855</v>
      </c>
      <c r="C2082" s="118">
        <v>43934</v>
      </c>
      <c r="D2082" s="318">
        <v>43983</v>
      </c>
      <c r="E2082" s="83">
        <v>43956</v>
      </c>
      <c r="F2082" s="88" t="s">
        <v>6883</v>
      </c>
      <c r="G2082" s="88" t="s">
        <v>170</v>
      </c>
      <c r="H2082" s="98" t="s">
        <v>220</v>
      </c>
      <c r="I2082" s="98" t="s">
        <v>652</v>
      </c>
      <c r="J2082" s="75">
        <f t="shared" si="205"/>
        <v>1</v>
      </c>
      <c r="K2082" s="76" t="s">
        <v>211</v>
      </c>
      <c r="L2082" s="99" t="s">
        <v>7159</v>
      </c>
      <c r="N2082" s="78" t="s">
        <v>19</v>
      </c>
      <c r="Q2082" s="78" t="s">
        <v>2163</v>
      </c>
      <c r="R2082" s="75">
        <f t="shared" si="206"/>
        <v>1</v>
      </c>
      <c r="S2082" s="263" t="s">
        <v>1991</v>
      </c>
      <c r="T2082" s="263" t="s">
        <v>933</v>
      </c>
      <c r="U2082" s="304"/>
      <c r="V2082" s="304"/>
      <c r="Y2082" s="576">
        <v>0.74861111111111101</v>
      </c>
      <c r="Z2082" s="576">
        <v>0.75730324074074085</v>
      </c>
      <c r="AA2082" s="576">
        <f t="shared" si="204"/>
        <v>8.6921296296298411E-3</v>
      </c>
      <c r="AB2082" s="722"/>
    </row>
    <row r="2083" spans="1:28" x14ac:dyDescent="0.35">
      <c r="A2083" s="81" t="s">
        <v>6918</v>
      </c>
      <c r="C2083" s="118">
        <v>43938</v>
      </c>
      <c r="D2083" s="318">
        <v>43983</v>
      </c>
      <c r="E2083" s="83">
        <v>43956</v>
      </c>
      <c r="F2083" s="88" t="s">
        <v>6947</v>
      </c>
      <c r="G2083" s="88" t="s">
        <v>156</v>
      </c>
      <c r="H2083" s="98" t="s">
        <v>220</v>
      </c>
      <c r="I2083" s="98" t="s">
        <v>981</v>
      </c>
      <c r="J2083" s="75">
        <f t="shared" si="205"/>
        <v>1</v>
      </c>
      <c r="K2083" s="76" t="s">
        <v>211</v>
      </c>
      <c r="N2083" s="78" t="s">
        <v>17</v>
      </c>
      <c r="Q2083" s="78" t="s">
        <v>2163</v>
      </c>
      <c r="R2083" s="75">
        <f t="shared" si="206"/>
        <v>1</v>
      </c>
      <c r="S2083" s="263" t="s">
        <v>1991</v>
      </c>
      <c r="T2083" s="263" t="s">
        <v>933</v>
      </c>
      <c r="Y2083" s="576">
        <v>0.48200231481481487</v>
      </c>
      <c r="Z2083" s="576">
        <v>0.49093750000000003</v>
      </c>
      <c r="AA2083" s="576">
        <f t="shared" ref="AA2083:AA2104" si="207">Z2083-Y2083</f>
        <v>8.9351851851851571E-3</v>
      </c>
      <c r="AB2083" s="722"/>
    </row>
    <row r="2084" spans="1:28" x14ac:dyDescent="0.35">
      <c r="A2084" s="81" t="s">
        <v>6921</v>
      </c>
      <c r="C2084" s="118">
        <v>43938</v>
      </c>
      <c r="D2084" s="318">
        <v>43983</v>
      </c>
      <c r="E2084" s="83">
        <v>43957</v>
      </c>
      <c r="F2084" s="88" t="s">
        <v>6950</v>
      </c>
      <c r="G2084" s="88" t="s">
        <v>154</v>
      </c>
      <c r="H2084" s="98" t="s">
        <v>220</v>
      </c>
      <c r="I2084" s="98" t="s">
        <v>656</v>
      </c>
      <c r="J2084" s="75">
        <f t="shared" ref="J2084:J2111" si="208">IF(OR(K2084="Документы готовы",K2084="Запрос в ФО",K2084="ЭЗ",K2084="РЕШ",K2084="РЕШ шаблон"),0.1,IF(OR(K2084="ЭЗ согласование",K2084="РЕШ согласование"),0.3,IF(OR(K2084="ЭЗ согласовано",K2084="РЕШ согласовано",K2084="РЕШ подписано"),0.6,IF(OR(K2084="ЭЗ ПР согласование",K2084="РЕШ УВ согласование"),0.9,IF(OR(K2084="ЭЗ ПР DONE",K2084="РЕШ УВ DONE"),1,0)))))</f>
        <v>1</v>
      </c>
      <c r="K2084" s="76" t="s">
        <v>211</v>
      </c>
      <c r="N2084" s="78" t="s">
        <v>18</v>
      </c>
      <c r="Q2084" s="78" t="s">
        <v>2097</v>
      </c>
      <c r="R2084" s="75">
        <f t="shared" ref="R2084:R2111" si="209">IF(S2084="В работе",0.3,IF(S2084="Отписано",0.6,IF(S2084="На доработку",0.9,IF(S2084="Согласовано",1,0))))</f>
        <v>1</v>
      </c>
      <c r="S2084" s="263" t="s">
        <v>1991</v>
      </c>
      <c r="T2084" s="263" t="s">
        <v>934</v>
      </c>
      <c r="U2084" s="304" t="s">
        <v>5592</v>
      </c>
      <c r="V2084" s="304" t="s">
        <v>7134</v>
      </c>
      <c r="Y2084" s="576">
        <v>0.49662037037037038</v>
      </c>
      <c r="Z2084" s="576">
        <v>0.50559027777777776</v>
      </c>
      <c r="AA2084" s="576">
        <f t="shared" si="207"/>
        <v>8.9699074074073848E-3</v>
      </c>
      <c r="AB2084" s="722"/>
    </row>
    <row r="2085" spans="1:28" x14ac:dyDescent="0.35">
      <c r="A2085" s="81" t="s">
        <v>7000</v>
      </c>
      <c r="C2085" s="118">
        <v>43948</v>
      </c>
      <c r="D2085" s="318">
        <v>43983</v>
      </c>
      <c r="E2085" s="83">
        <v>43958</v>
      </c>
      <c r="F2085" s="88" t="s">
        <v>7065</v>
      </c>
      <c r="G2085" s="88" t="s">
        <v>417</v>
      </c>
      <c r="H2085" s="98" t="s">
        <v>220</v>
      </c>
      <c r="I2085" s="98" t="s">
        <v>665</v>
      </c>
      <c r="J2085" s="75">
        <f t="shared" si="208"/>
        <v>1</v>
      </c>
      <c r="K2085" s="76" t="s">
        <v>211</v>
      </c>
      <c r="N2085" s="78" t="s">
        <v>18</v>
      </c>
      <c r="Q2085" s="78" t="s">
        <v>2163</v>
      </c>
      <c r="R2085" s="75">
        <f t="shared" si="209"/>
        <v>1</v>
      </c>
      <c r="S2085" s="263" t="s">
        <v>1991</v>
      </c>
      <c r="T2085" s="263" t="s">
        <v>934</v>
      </c>
      <c r="Y2085" s="576">
        <v>0.35151620370370368</v>
      </c>
      <c r="Z2085" s="576">
        <v>0.36103009259259261</v>
      </c>
      <c r="AA2085" s="576">
        <f t="shared" si="207"/>
        <v>9.5138888888889328E-3</v>
      </c>
      <c r="AB2085" s="722"/>
    </row>
    <row r="2086" spans="1:28" x14ac:dyDescent="0.35">
      <c r="A2086" s="81" t="s">
        <v>7001</v>
      </c>
      <c r="C2086" s="118">
        <v>43948</v>
      </c>
      <c r="D2086" s="318">
        <v>43983</v>
      </c>
      <c r="E2086" s="83">
        <v>43962</v>
      </c>
      <c r="F2086" s="88" t="s">
        <v>7066</v>
      </c>
      <c r="G2086" s="88" t="s">
        <v>152</v>
      </c>
      <c r="H2086" s="98" t="s">
        <v>220</v>
      </c>
      <c r="I2086" s="98" t="s">
        <v>656</v>
      </c>
      <c r="J2086" s="75">
        <f t="shared" si="208"/>
        <v>1</v>
      </c>
      <c r="K2086" s="76" t="s">
        <v>211</v>
      </c>
      <c r="N2086" s="78" t="s">
        <v>18</v>
      </c>
      <c r="Q2086" s="78" t="s">
        <v>2163</v>
      </c>
      <c r="R2086" s="75">
        <f t="shared" si="209"/>
        <v>1</v>
      </c>
      <c r="S2086" s="263" t="s">
        <v>1991</v>
      </c>
      <c r="T2086" s="263" t="s">
        <v>932</v>
      </c>
      <c r="Y2086" s="576">
        <v>0.9252893518518519</v>
      </c>
      <c r="Z2086" s="576">
        <v>0.9318749999999999</v>
      </c>
      <c r="AA2086" s="576">
        <f t="shared" si="207"/>
        <v>6.5856481481479934E-3</v>
      </c>
      <c r="AB2086" s="722"/>
    </row>
    <row r="2087" spans="1:28" x14ac:dyDescent="0.35">
      <c r="A2087" s="81" t="s">
        <v>7004</v>
      </c>
      <c r="C2087" s="118">
        <v>43948</v>
      </c>
      <c r="D2087" s="318">
        <v>43983</v>
      </c>
      <c r="E2087" s="83">
        <v>43962</v>
      </c>
      <c r="F2087" s="88" t="s">
        <v>7069</v>
      </c>
      <c r="G2087" s="88" t="s">
        <v>152</v>
      </c>
      <c r="H2087" s="98" t="s">
        <v>220</v>
      </c>
      <c r="I2087" s="98" t="s">
        <v>3467</v>
      </c>
      <c r="J2087" s="75">
        <f t="shared" si="208"/>
        <v>1</v>
      </c>
      <c r="K2087" s="76" t="s">
        <v>211</v>
      </c>
      <c r="N2087" s="78" t="s">
        <v>18</v>
      </c>
      <c r="Q2087" s="78" t="s">
        <v>2163</v>
      </c>
      <c r="R2087" s="75">
        <f t="shared" si="209"/>
        <v>1</v>
      </c>
      <c r="S2087" s="263" t="s">
        <v>1991</v>
      </c>
      <c r="T2087" s="263" t="s">
        <v>934</v>
      </c>
      <c r="Y2087" s="576">
        <v>0.91700231481481476</v>
      </c>
      <c r="Z2087" s="576">
        <v>0.9243865740740741</v>
      </c>
      <c r="AA2087" s="576">
        <f t="shared" si="207"/>
        <v>7.3842592592593403E-3</v>
      </c>
      <c r="AB2087" s="722"/>
    </row>
    <row r="2088" spans="1:28" x14ac:dyDescent="0.35">
      <c r="A2088" s="81" t="s">
        <v>7006</v>
      </c>
      <c r="C2088" s="118">
        <v>43948</v>
      </c>
      <c r="D2088" s="318">
        <v>43983</v>
      </c>
      <c r="E2088" s="83">
        <v>43958</v>
      </c>
      <c r="F2088" s="88" t="s">
        <v>7071</v>
      </c>
      <c r="G2088" s="88" t="s">
        <v>160</v>
      </c>
      <c r="H2088" s="98" t="s">
        <v>220</v>
      </c>
      <c r="I2088" s="98" t="s">
        <v>730</v>
      </c>
      <c r="J2088" s="75">
        <f t="shared" si="208"/>
        <v>1</v>
      </c>
      <c r="K2088" s="76" t="s">
        <v>211</v>
      </c>
      <c r="N2088" s="78" t="s">
        <v>18</v>
      </c>
      <c r="Q2088" s="78" t="s">
        <v>2163</v>
      </c>
      <c r="R2088" s="75">
        <f t="shared" si="209"/>
        <v>1</v>
      </c>
      <c r="S2088" s="263" t="s">
        <v>1991</v>
      </c>
      <c r="T2088" s="263" t="s">
        <v>932</v>
      </c>
      <c r="Y2088" s="576">
        <v>0.81834490740740751</v>
      </c>
      <c r="Z2088" s="576">
        <v>0.8306365740740741</v>
      </c>
      <c r="AA2088" s="576">
        <f t="shared" si="207"/>
        <v>1.229166666666659E-2</v>
      </c>
      <c r="AB2088" s="722"/>
    </row>
    <row r="2089" spans="1:28" x14ac:dyDescent="0.35">
      <c r="A2089" s="81" t="s">
        <v>7011</v>
      </c>
      <c r="C2089" s="118">
        <v>43948</v>
      </c>
      <c r="D2089" s="318">
        <v>43983</v>
      </c>
      <c r="E2089" s="83">
        <v>43958</v>
      </c>
      <c r="F2089" s="88" t="s">
        <v>7075</v>
      </c>
      <c r="G2089" s="88" t="s">
        <v>154</v>
      </c>
      <c r="H2089" s="81" t="s">
        <v>275</v>
      </c>
      <c r="I2089" s="98" t="s">
        <v>2516</v>
      </c>
      <c r="J2089" s="75">
        <f t="shared" si="208"/>
        <v>1</v>
      </c>
      <c r="K2089" s="76" t="s">
        <v>211</v>
      </c>
      <c r="Q2089" s="78" t="s">
        <v>2163</v>
      </c>
      <c r="R2089" s="75">
        <f t="shared" si="209"/>
        <v>1</v>
      </c>
      <c r="S2089" s="263" t="s">
        <v>1991</v>
      </c>
      <c r="T2089" s="263" t="s">
        <v>933</v>
      </c>
      <c r="U2089" s="304" t="s">
        <v>5592</v>
      </c>
      <c r="V2089" s="304" t="s">
        <v>8241</v>
      </c>
      <c r="Y2089" s="576">
        <v>0.73179398148148145</v>
      </c>
      <c r="Z2089" s="576">
        <v>0.75126157407407401</v>
      </c>
      <c r="AA2089" s="576">
        <f t="shared" si="207"/>
        <v>1.9467592592592564E-2</v>
      </c>
      <c r="AB2089" s="722"/>
    </row>
    <row r="2090" spans="1:28" x14ac:dyDescent="0.35">
      <c r="A2090" s="81" t="s">
        <v>7012</v>
      </c>
      <c r="C2090" s="118">
        <v>43948</v>
      </c>
      <c r="D2090" s="318">
        <v>43983</v>
      </c>
      <c r="E2090" s="83">
        <v>43959</v>
      </c>
      <c r="F2090" s="88" t="s">
        <v>7076</v>
      </c>
      <c r="G2090" s="88" t="s">
        <v>149</v>
      </c>
      <c r="H2090" s="98" t="s">
        <v>220</v>
      </c>
      <c r="I2090" s="98" t="s">
        <v>2516</v>
      </c>
      <c r="J2090" s="75">
        <f t="shared" si="208"/>
        <v>1</v>
      </c>
      <c r="K2090" s="76" t="s">
        <v>211</v>
      </c>
      <c r="N2090" s="78" t="s">
        <v>17</v>
      </c>
      <c r="Q2090" s="78" t="s">
        <v>2163</v>
      </c>
      <c r="R2090" s="75">
        <f t="shared" si="209"/>
        <v>1</v>
      </c>
      <c r="S2090" s="263" t="s">
        <v>1991</v>
      </c>
      <c r="T2090" s="263" t="s">
        <v>933</v>
      </c>
      <c r="Y2090" s="576">
        <v>0.78120370370370373</v>
      </c>
      <c r="Z2090" s="576">
        <v>0.79336805555555545</v>
      </c>
      <c r="AA2090" s="576">
        <f t="shared" si="207"/>
        <v>1.2164351851851718E-2</v>
      </c>
      <c r="AB2090" s="722"/>
    </row>
    <row r="2091" spans="1:28" x14ac:dyDescent="0.35">
      <c r="A2091" s="81" t="s">
        <v>7018</v>
      </c>
      <c r="C2091" s="118">
        <v>43948</v>
      </c>
      <c r="D2091" s="318">
        <v>43983</v>
      </c>
      <c r="E2091" s="83">
        <v>43965</v>
      </c>
      <c r="F2091" s="88" t="s">
        <v>7081</v>
      </c>
      <c r="G2091" s="88" t="s">
        <v>152</v>
      </c>
      <c r="H2091" s="98" t="s">
        <v>220</v>
      </c>
      <c r="I2091" s="98" t="s">
        <v>2904</v>
      </c>
      <c r="J2091" s="75">
        <f t="shared" si="208"/>
        <v>1</v>
      </c>
      <c r="K2091" s="263" t="s">
        <v>211</v>
      </c>
      <c r="L2091" s="99" t="s">
        <v>701</v>
      </c>
      <c r="N2091" s="78" t="s">
        <v>18</v>
      </c>
      <c r="Q2091" s="78" t="s">
        <v>2163</v>
      </c>
      <c r="R2091" s="75">
        <f t="shared" si="209"/>
        <v>1</v>
      </c>
      <c r="S2091" s="263" t="s">
        <v>1991</v>
      </c>
      <c r="T2091" s="263" t="s">
        <v>933</v>
      </c>
      <c r="Y2091" s="576">
        <v>0.9534259259259259</v>
      </c>
      <c r="Z2091" s="576">
        <v>0.96415509259259258</v>
      </c>
      <c r="AA2091" s="576">
        <f t="shared" si="207"/>
        <v>1.0729166666666679E-2</v>
      </c>
      <c r="AB2091" s="722"/>
    </row>
    <row r="2092" spans="1:28" x14ac:dyDescent="0.35">
      <c r="A2092" s="81" t="s">
        <v>7020</v>
      </c>
      <c r="C2092" s="118">
        <v>43949</v>
      </c>
      <c r="D2092" s="318">
        <v>43983</v>
      </c>
      <c r="E2092" s="83">
        <v>43958</v>
      </c>
      <c r="F2092" s="88" t="s">
        <v>7083</v>
      </c>
      <c r="G2092" s="88" t="s">
        <v>158</v>
      </c>
      <c r="H2092" s="98" t="s">
        <v>220</v>
      </c>
      <c r="I2092" s="98" t="s">
        <v>656</v>
      </c>
      <c r="J2092" s="75">
        <f t="shared" si="208"/>
        <v>1</v>
      </c>
      <c r="K2092" s="76" t="s">
        <v>211</v>
      </c>
      <c r="L2092" s="99" t="s">
        <v>7154</v>
      </c>
      <c r="N2092" s="78" t="s">
        <v>18</v>
      </c>
      <c r="Q2092" s="78" t="s">
        <v>2097</v>
      </c>
      <c r="R2092" s="75">
        <f t="shared" si="209"/>
        <v>1</v>
      </c>
      <c r="S2092" s="263" t="s">
        <v>1991</v>
      </c>
      <c r="T2092" s="263" t="s">
        <v>933</v>
      </c>
      <c r="Y2092" s="576">
        <v>0.37634259259259256</v>
      </c>
      <c r="Z2092" s="576">
        <v>0.39158564814814811</v>
      </c>
      <c r="AA2092" s="576">
        <f t="shared" si="207"/>
        <v>1.5243055555555551E-2</v>
      </c>
      <c r="AB2092" s="722"/>
    </row>
    <row r="2093" spans="1:28" x14ac:dyDescent="0.35">
      <c r="A2093" s="98" t="s">
        <v>7025</v>
      </c>
      <c r="C2093" s="118">
        <v>43949</v>
      </c>
      <c r="D2093" s="318">
        <v>43983</v>
      </c>
      <c r="E2093" s="83">
        <v>43965</v>
      </c>
      <c r="F2093" s="88" t="s">
        <v>7088</v>
      </c>
      <c r="G2093" s="88" t="s">
        <v>156</v>
      </c>
      <c r="H2093" s="98" t="s">
        <v>220</v>
      </c>
      <c r="I2093" s="98" t="s">
        <v>5215</v>
      </c>
      <c r="J2093" s="75">
        <f t="shared" si="208"/>
        <v>1</v>
      </c>
      <c r="K2093" s="263" t="s">
        <v>211</v>
      </c>
      <c r="N2093" s="78" t="s">
        <v>19</v>
      </c>
      <c r="Q2093" s="78" t="s">
        <v>2097</v>
      </c>
      <c r="R2093" s="75">
        <f t="shared" si="209"/>
        <v>1</v>
      </c>
      <c r="S2093" s="263" t="s">
        <v>1991</v>
      </c>
      <c r="T2093" s="263" t="s">
        <v>932</v>
      </c>
      <c r="U2093" s="304" t="s">
        <v>5592</v>
      </c>
      <c r="V2093" s="304" t="s">
        <v>7245</v>
      </c>
      <c r="Y2093" s="576">
        <v>0.86944444444444446</v>
      </c>
      <c r="Z2093" s="576">
        <v>0.8775115740740741</v>
      </c>
      <c r="AA2093" s="576">
        <f t="shared" si="207"/>
        <v>8.0671296296296324E-3</v>
      </c>
      <c r="AB2093" s="722"/>
    </row>
    <row r="2094" spans="1:28" x14ac:dyDescent="0.35">
      <c r="A2094" s="81" t="s">
        <v>7028</v>
      </c>
      <c r="C2094" s="118">
        <v>43949</v>
      </c>
      <c r="D2094" s="318">
        <v>43998</v>
      </c>
      <c r="E2094" s="83">
        <v>43985</v>
      </c>
      <c r="F2094" s="88" t="s">
        <v>7091</v>
      </c>
      <c r="G2094" s="88" t="s">
        <v>156</v>
      </c>
      <c r="H2094" s="98" t="s">
        <v>220</v>
      </c>
      <c r="I2094" s="98" t="s">
        <v>730</v>
      </c>
      <c r="J2094" s="75">
        <f t="shared" si="208"/>
        <v>1</v>
      </c>
      <c r="K2094" s="76" t="s">
        <v>211</v>
      </c>
      <c r="L2094" s="99" t="s">
        <v>7777</v>
      </c>
      <c r="N2094" s="78" t="s">
        <v>18</v>
      </c>
      <c r="Q2094" s="78" t="s">
        <v>2097</v>
      </c>
      <c r="R2094" s="75">
        <f t="shared" si="209"/>
        <v>1</v>
      </c>
      <c r="S2094" s="263" t="s">
        <v>1991</v>
      </c>
      <c r="T2094" s="263" t="s">
        <v>933</v>
      </c>
      <c r="U2094" s="304" t="s">
        <v>5592</v>
      </c>
      <c r="V2094" s="304" t="s">
        <v>7166</v>
      </c>
      <c r="Y2094" s="576">
        <v>0.54902777777777778</v>
      </c>
      <c r="Z2094" s="576">
        <v>0.57040509259259264</v>
      </c>
      <c r="AA2094" s="576">
        <f t="shared" si="207"/>
        <v>2.1377314814814863E-2</v>
      </c>
      <c r="AB2094" s="722"/>
    </row>
    <row r="2095" spans="1:28" x14ac:dyDescent="0.35">
      <c r="A2095" s="98" t="s">
        <v>7029</v>
      </c>
      <c r="C2095" s="118">
        <v>43949</v>
      </c>
      <c r="D2095" s="318">
        <v>43983</v>
      </c>
      <c r="E2095" s="83">
        <v>43959</v>
      </c>
      <c r="F2095" s="88" t="s">
        <v>7092</v>
      </c>
      <c r="G2095" s="88" t="s">
        <v>154</v>
      </c>
      <c r="H2095" s="98" t="s">
        <v>220</v>
      </c>
      <c r="I2095" s="98" t="s">
        <v>2516</v>
      </c>
      <c r="J2095" s="75">
        <f t="shared" si="208"/>
        <v>1</v>
      </c>
      <c r="K2095" s="76" t="s">
        <v>211</v>
      </c>
      <c r="N2095" s="78" t="s">
        <v>17</v>
      </c>
      <c r="Q2095" s="78" t="s">
        <v>2097</v>
      </c>
      <c r="R2095" s="75">
        <f t="shared" si="209"/>
        <v>1</v>
      </c>
      <c r="S2095" s="263" t="s">
        <v>1991</v>
      </c>
      <c r="T2095" s="263" t="s">
        <v>932</v>
      </c>
      <c r="U2095" s="304" t="s">
        <v>5592</v>
      </c>
      <c r="V2095" s="304" t="s">
        <v>7167</v>
      </c>
      <c r="Y2095" s="576">
        <v>0.52665509259259258</v>
      </c>
      <c r="Z2095" s="576">
        <v>0.56056712962962962</v>
      </c>
      <c r="AA2095" s="576">
        <f t="shared" si="207"/>
        <v>3.3912037037037046E-2</v>
      </c>
      <c r="AB2095" s="722"/>
    </row>
    <row r="2096" spans="1:28" x14ac:dyDescent="0.35">
      <c r="A2096" s="81" t="s">
        <v>7030</v>
      </c>
      <c r="C2096" s="118">
        <v>43949</v>
      </c>
      <c r="D2096" s="318">
        <v>43983</v>
      </c>
      <c r="E2096" s="83">
        <v>43963</v>
      </c>
      <c r="F2096" s="88" t="s">
        <v>7093</v>
      </c>
      <c r="G2096" s="88" t="s">
        <v>154</v>
      </c>
      <c r="H2096" s="98" t="s">
        <v>220</v>
      </c>
      <c r="I2096" s="98" t="s">
        <v>1645</v>
      </c>
      <c r="J2096" s="75">
        <f t="shared" si="208"/>
        <v>1</v>
      </c>
      <c r="K2096" s="76" t="s">
        <v>211</v>
      </c>
      <c r="N2096" s="78" t="s">
        <v>18</v>
      </c>
      <c r="Q2096" s="78" t="s">
        <v>2097</v>
      </c>
      <c r="R2096" s="75">
        <f t="shared" si="209"/>
        <v>1</v>
      </c>
      <c r="S2096" s="263" t="s">
        <v>1991</v>
      </c>
      <c r="T2096" s="263" t="s">
        <v>934</v>
      </c>
      <c r="U2096" s="304" t="s">
        <v>5592</v>
      </c>
      <c r="V2096" s="304" t="s">
        <v>7189</v>
      </c>
      <c r="Y2096" s="576">
        <v>0.69283564814814813</v>
      </c>
      <c r="Z2096" s="576">
        <v>0.71358796296296301</v>
      </c>
      <c r="AA2096" s="576">
        <f t="shared" si="207"/>
        <v>2.0752314814814876E-2</v>
      </c>
      <c r="AB2096" s="722"/>
    </row>
    <row r="2097" spans="1:28" x14ac:dyDescent="0.35">
      <c r="A2097" s="81" t="s">
        <v>7035</v>
      </c>
      <c r="C2097" s="118">
        <v>43949</v>
      </c>
      <c r="D2097" s="318">
        <v>43983</v>
      </c>
      <c r="E2097" s="83">
        <v>43958</v>
      </c>
      <c r="F2097" s="88" t="s">
        <v>7098</v>
      </c>
      <c r="G2097" s="88" t="s">
        <v>154</v>
      </c>
      <c r="H2097" s="81" t="s">
        <v>275</v>
      </c>
      <c r="I2097" s="98" t="s">
        <v>2516</v>
      </c>
      <c r="J2097" s="75">
        <f t="shared" si="208"/>
        <v>1</v>
      </c>
      <c r="K2097" s="76" t="s">
        <v>211</v>
      </c>
      <c r="N2097" s="78" t="s">
        <v>17</v>
      </c>
      <c r="Q2097" s="78" t="s">
        <v>2097</v>
      </c>
      <c r="R2097" s="75">
        <f t="shared" si="209"/>
        <v>1</v>
      </c>
      <c r="S2097" s="263" t="s">
        <v>1991</v>
      </c>
      <c r="T2097" s="263" t="s">
        <v>933</v>
      </c>
      <c r="U2097" s="304" t="s">
        <v>5592</v>
      </c>
      <c r="V2097" s="304" t="s">
        <v>7158</v>
      </c>
      <c r="X2097" s="304" t="s">
        <v>7174</v>
      </c>
      <c r="Y2097" s="576">
        <v>0.6853125000000001</v>
      </c>
      <c r="Z2097" s="576">
        <v>0.72503472222222232</v>
      </c>
      <c r="AA2097" s="576">
        <f t="shared" si="207"/>
        <v>3.9722222222222214E-2</v>
      </c>
      <c r="AB2097" s="722"/>
    </row>
    <row r="2098" spans="1:28" x14ac:dyDescent="0.35">
      <c r="A2098" s="81" t="s">
        <v>7036</v>
      </c>
      <c r="C2098" s="118">
        <v>43949</v>
      </c>
      <c r="D2098" s="318">
        <v>43983</v>
      </c>
      <c r="E2098" s="83">
        <v>43957</v>
      </c>
      <c r="F2098" s="88" t="s">
        <v>7099</v>
      </c>
      <c r="G2098" s="88" t="s">
        <v>154</v>
      </c>
      <c r="H2098" s="98" t="s">
        <v>220</v>
      </c>
      <c r="I2098" s="98" t="s">
        <v>3557</v>
      </c>
      <c r="J2098" s="75">
        <f t="shared" si="208"/>
        <v>1</v>
      </c>
      <c r="K2098" s="76" t="s">
        <v>211</v>
      </c>
      <c r="N2098" s="78" t="s">
        <v>17</v>
      </c>
      <c r="Q2098" s="78" t="s">
        <v>2097</v>
      </c>
      <c r="R2098" s="75">
        <f t="shared" si="209"/>
        <v>1</v>
      </c>
      <c r="S2098" s="263" t="s">
        <v>1991</v>
      </c>
      <c r="T2098" s="263" t="s">
        <v>932</v>
      </c>
      <c r="X2098" s="304" t="s">
        <v>7155</v>
      </c>
      <c r="Y2098" s="576">
        <v>0.95435185185185178</v>
      </c>
      <c r="Z2098" s="576">
        <v>0.96255787037037033</v>
      </c>
      <c r="AA2098" s="576">
        <f t="shared" si="207"/>
        <v>8.206018518518543E-3</v>
      </c>
      <c r="AB2098" s="722"/>
    </row>
    <row r="2099" spans="1:28" x14ac:dyDescent="0.35">
      <c r="A2099" s="81" t="s">
        <v>7037</v>
      </c>
      <c r="C2099" s="118">
        <v>43949</v>
      </c>
      <c r="D2099" s="318">
        <v>43983</v>
      </c>
      <c r="E2099" s="83">
        <v>43963</v>
      </c>
      <c r="F2099" s="88" t="s">
        <v>7100</v>
      </c>
      <c r="G2099" s="88" t="s">
        <v>149</v>
      </c>
      <c r="H2099" s="98" t="s">
        <v>220</v>
      </c>
      <c r="I2099" s="98" t="s">
        <v>656</v>
      </c>
      <c r="J2099" s="75">
        <f t="shared" si="208"/>
        <v>1</v>
      </c>
      <c r="K2099" s="76" t="s">
        <v>211</v>
      </c>
      <c r="L2099" s="99" t="s">
        <v>7188</v>
      </c>
      <c r="N2099" s="78" t="s">
        <v>17</v>
      </c>
      <c r="Q2099" s="78" t="s">
        <v>2097</v>
      </c>
      <c r="R2099" s="75">
        <f t="shared" si="209"/>
        <v>1</v>
      </c>
      <c r="S2099" s="263" t="s">
        <v>1991</v>
      </c>
      <c r="T2099" s="263" t="s">
        <v>934</v>
      </c>
      <c r="Y2099" s="576">
        <v>0.67186342592592585</v>
      </c>
      <c r="Z2099" s="576">
        <v>0.69119212962962961</v>
      </c>
      <c r="AA2099" s="576">
        <f t="shared" si="207"/>
        <v>1.9328703703703765E-2</v>
      </c>
      <c r="AB2099" s="722"/>
    </row>
    <row r="2100" spans="1:28" x14ac:dyDescent="0.35">
      <c r="A2100" s="81" t="s">
        <v>7041</v>
      </c>
      <c r="C2100" s="118">
        <v>43949</v>
      </c>
      <c r="D2100" s="318">
        <v>44014</v>
      </c>
      <c r="E2100" s="83">
        <v>43958</v>
      </c>
      <c r="F2100" s="88" t="s">
        <v>7104</v>
      </c>
      <c r="G2100" s="88" t="s">
        <v>158</v>
      </c>
      <c r="H2100" s="98" t="s">
        <v>220</v>
      </c>
      <c r="I2100" s="98" t="s">
        <v>3737</v>
      </c>
      <c r="J2100" s="75">
        <f t="shared" si="208"/>
        <v>0</v>
      </c>
      <c r="K2100" s="76"/>
      <c r="Q2100" s="78" t="s">
        <v>2097</v>
      </c>
      <c r="R2100" s="75">
        <f t="shared" si="209"/>
        <v>0.3</v>
      </c>
      <c r="S2100" s="263" t="s">
        <v>1988</v>
      </c>
      <c r="T2100" s="263"/>
      <c r="U2100" s="304" t="s">
        <v>5592</v>
      </c>
      <c r="V2100" s="304" t="s">
        <v>7157</v>
      </c>
      <c r="Y2100" s="576">
        <v>0.66980324074074071</v>
      </c>
      <c r="Z2100" s="576">
        <v>0.68511574074074078</v>
      </c>
      <c r="AA2100" s="576">
        <f t="shared" si="207"/>
        <v>1.5312500000000062E-2</v>
      </c>
      <c r="AB2100" s="722"/>
    </row>
    <row r="2101" spans="1:28" x14ac:dyDescent="0.35">
      <c r="A2101" s="81" t="s">
        <v>7042</v>
      </c>
      <c r="C2101" s="118">
        <v>43949</v>
      </c>
      <c r="D2101" s="318">
        <v>43983</v>
      </c>
      <c r="E2101" s="83">
        <v>43963</v>
      </c>
      <c r="F2101" s="88" t="s">
        <v>7105</v>
      </c>
      <c r="G2101" s="88" t="s">
        <v>160</v>
      </c>
      <c r="H2101" s="98" t="s">
        <v>220</v>
      </c>
      <c r="I2101" s="98" t="s">
        <v>656</v>
      </c>
      <c r="J2101" s="75">
        <f t="shared" si="208"/>
        <v>1</v>
      </c>
      <c r="K2101" s="263" t="s">
        <v>211</v>
      </c>
      <c r="L2101" s="99" t="s">
        <v>7187</v>
      </c>
      <c r="N2101" s="78" t="s">
        <v>18</v>
      </c>
      <c r="Q2101" s="78" t="s">
        <v>2097</v>
      </c>
      <c r="R2101" s="75">
        <f t="shared" si="209"/>
        <v>1</v>
      </c>
      <c r="S2101" s="263" t="s">
        <v>1991</v>
      </c>
      <c r="T2101" s="263" t="s">
        <v>933</v>
      </c>
      <c r="Y2101" s="576">
        <v>0.65011574074074074</v>
      </c>
      <c r="Z2101" s="576">
        <v>0.67112268518518514</v>
      </c>
      <c r="AA2101" s="576">
        <f t="shared" si="207"/>
        <v>2.1006944444444398E-2</v>
      </c>
      <c r="AB2101" s="722"/>
    </row>
    <row r="2102" spans="1:28" x14ac:dyDescent="0.35">
      <c r="A2102" s="81" t="s">
        <v>7044</v>
      </c>
      <c r="C2102" s="118">
        <v>43950</v>
      </c>
      <c r="D2102" s="318">
        <v>43983</v>
      </c>
      <c r="E2102" s="83">
        <v>43965</v>
      </c>
      <c r="F2102" s="88" t="s">
        <v>7107</v>
      </c>
      <c r="G2102" s="88" t="s">
        <v>152</v>
      </c>
      <c r="H2102" s="98" t="s">
        <v>220</v>
      </c>
      <c r="I2102" s="98" t="s">
        <v>730</v>
      </c>
      <c r="J2102" s="75">
        <f t="shared" si="208"/>
        <v>1</v>
      </c>
      <c r="K2102" s="263" t="s">
        <v>211</v>
      </c>
      <c r="L2102" s="99" t="s">
        <v>7529</v>
      </c>
      <c r="N2102" s="78" t="s">
        <v>18</v>
      </c>
      <c r="Q2102" s="78" t="s">
        <v>2130</v>
      </c>
      <c r="R2102" s="75">
        <f t="shared" si="209"/>
        <v>1</v>
      </c>
      <c r="S2102" s="263" t="s">
        <v>1991</v>
      </c>
      <c r="T2102" s="263"/>
      <c r="U2102" s="304" t="s">
        <v>5592</v>
      </c>
      <c r="V2102" s="304" t="s">
        <v>7227</v>
      </c>
      <c r="Y2102" s="576">
        <v>0.44025462962962963</v>
      </c>
      <c r="Z2102" s="576">
        <v>0.44843749999999999</v>
      </c>
      <c r="AA2102" s="576">
        <f t="shared" si="207"/>
        <v>8.1828703703703543E-3</v>
      </c>
      <c r="AB2102" s="722"/>
    </row>
    <row r="2103" spans="1:28" x14ac:dyDescent="0.35">
      <c r="A2103" s="81" t="s">
        <v>7045</v>
      </c>
      <c r="C2103" s="118">
        <v>43950</v>
      </c>
      <c r="D2103" s="318">
        <v>43983</v>
      </c>
      <c r="E2103" s="83">
        <v>43963</v>
      </c>
      <c r="F2103" s="88" t="s">
        <v>7108</v>
      </c>
      <c r="G2103" s="88" t="s">
        <v>162</v>
      </c>
      <c r="H2103" s="98" t="s">
        <v>220</v>
      </c>
      <c r="I2103" s="98" t="s">
        <v>7180</v>
      </c>
      <c r="J2103" s="75">
        <f t="shared" si="208"/>
        <v>1</v>
      </c>
      <c r="K2103" s="76" t="s">
        <v>211</v>
      </c>
      <c r="N2103" s="78" t="s">
        <v>17</v>
      </c>
      <c r="Q2103" s="78" t="s">
        <v>2130</v>
      </c>
      <c r="R2103" s="75">
        <f t="shared" si="209"/>
        <v>1</v>
      </c>
      <c r="S2103" s="263" t="s">
        <v>1991</v>
      </c>
      <c r="T2103" s="263" t="s">
        <v>932</v>
      </c>
      <c r="Y2103" s="576">
        <v>0.52454861111111117</v>
      </c>
      <c r="Z2103" s="576">
        <v>0.58598379629629627</v>
      </c>
      <c r="AA2103" s="576">
        <f t="shared" si="207"/>
        <v>6.1435185185185093E-2</v>
      </c>
      <c r="AB2103" s="722"/>
    </row>
    <row r="2104" spans="1:28" x14ac:dyDescent="0.35">
      <c r="A2104" s="81" t="s">
        <v>7046</v>
      </c>
      <c r="C2104" s="118">
        <v>43950</v>
      </c>
      <c r="D2104" s="318">
        <v>43983</v>
      </c>
      <c r="E2104" s="83">
        <v>43957</v>
      </c>
      <c r="F2104" s="88" t="s">
        <v>7109</v>
      </c>
      <c r="G2104" s="88" t="s">
        <v>158</v>
      </c>
      <c r="H2104" s="98" t="s">
        <v>220</v>
      </c>
      <c r="I2104" s="98" t="s">
        <v>3557</v>
      </c>
      <c r="J2104" s="75">
        <f t="shared" si="208"/>
        <v>1</v>
      </c>
      <c r="K2104" s="76" t="s">
        <v>211</v>
      </c>
      <c r="N2104" s="78" t="s">
        <v>18</v>
      </c>
      <c r="Q2104" s="78" t="s">
        <v>2130</v>
      </c>
      <c r="R2104" s="75">
        <f t="shared" si="209"/>
        <v>1</v>
      </c>
      <c r="S2104" s="263" t="s">
        <v>1991</v>
      </c>
      <c r="T2104" s="263" t="s">
        <v>932</v>
      </c>
      <c r="Y2104" s="576">
        <v>0.4428125</v>
      </c>
      <c r="Z2104" s="576">
        <v>0.45255787037037037</v>
      </c>
      <c r="AA2104" s="576">
        <f t="shared" si="207"/>
        <v>9.7453703703703765E-3</v>
      </c>
      <c r="AB2104" s="722"/>
    </row>
    <row r="2105" spans="1:28" x14ac:dyDescent="0.35">
      <c r="A2105" s="81" t="s">
        <v>7047</v>
      </c>
      <c r="C2105" s="118">
        <v>43950</v>
      </c>
      <c r="D2105" s="318">
        <v>43983</v>
      </c>
      <c r="E2105" s="83">
        <v>43957</v>
      </c>
      <c r="F2105" s="88" t="s">
        <v>7110</v>
      </c>
      <c r="G2105" s="88" t="s">
        <v>160</v>
      </c>
      <c r="H2105" s="98" t="s">
        <v>220</v>
      </c>
      <c r="I2105" s="98" t="s">
        <v>5215</v>
      </c>
      <c r="J2105" s="75">
        <f t="shared" si="208"/>
        <v>1</v>
      </c>
      <c r="K2105" s="76" t="s">
        <v>211</v>
      </c>
      <c r="N2105" s="78" t="s">
        <v>19</v>
      </c>
      <c r="Q2105" s="78" t="s">
        <v>2130</v>
      </c>
      <c r="R2105" s="75">
        <f t="shared" si="209"/>
        <v>1</v>
      </c>
      <c r="S2105" s="263" t="s">
        <v>1991</v>
      </c>
      <c r="T2105" s="263" t="s">
        <v>933</v>
      </c>
      <c r="U2105" s="304" t="s">
        <v>5592</v>
      </c>
      <c r="V2105" s="304" t="s">
        <v>7132</v>
      </c>
      <c r="Y2105" s="576">
        <v>0.40666666666666668</v>
      </c>
      <c r="Z2105" s="576">
        <v>0.42557870370370371</v>
      </c>
      <c r="AA2105" s="576">
        <f t="shared" ref="AA2105:AA2119" si="210">Z2105-Y2105</f>
        <v>1.8912037037037033E-2</v>
      </c>
      <c r="AB2105" s="722"/>
    </row>
    <row r="2106" spans="1:28" x14ac:dyDescent="0.35">
      <c r="A2106" s="81" t="s">
        <v>7050</v>
      </c>
      <c r="C2106" s="118">
        <v>43950</v>
      </c>
      <c r="D2106" s="318">
        <v>43983</v>
      </c>
      <c r="E2106" s="83">
        <v>43957</v>
      </c>
      <c r="F2106" s="88" t="s">
        <v>7113</v>
      </c>
      <c r="G2106" s="88" t="s">
        <v>158</v>
      </c>
      <c r="H2106" s="98" t="s">
        <v>220</v>
      </c>
      <c r="I2106" s="98" t="s">
        <v>2516</v>
      </c>
      <c r="J2106" s="75">
        <f t="shared" si="208"/>
        <v>1</v>
      </c>
      <c r="K2106" s="76" t="s">
        <v>211</v>
      </c>
      <c r="L2106" s="99" t="s">
        <v>7141</v>
      </c>
      <c r="N2106" s="78" t="s">
        <v>18</v>
      </c>
      <c r="Q2106" s="78" t="s">
        <v>2130</v>
      </c>
      <c r="R2106" s="75">
        <f t="shared" si="209"/>
        <v>1</v>
      </c>
      <c r="S2106" s="263" t="s">
        <v>1991</v>
      </c>
      <c r="T2106" s="263" t="s">
        <v>933</v>
      </c>
      <c r="U2106" s="304" t="s">
        <v>5592</v>
      </c>
      <c r="V2106" s="304" t="s">
        <v>7133</v>
      </c>
      <c r="Y2106" s="576">
        <v>0.42600694444444448</v>
      </c>
      <c r="Z2106" s="576">
        <v>0.44116898148148148</v>
      </c>
      <c r="AA2106" s="576">
        <f t="shared" si="210"/>
        <v>1.5162037037037002E-2</v>
      </c>
      <c r="AB2106" s="722"/>
    </row>
    <row r="2107" spans="1:28" x14ac:dyDescent="0.35">
      <c r="A2107" s="81" t="s">
        <v>7051</v>
      </c>
      <c r="C2107" s="118">
        <v>43950</v>
      </c>
      <c r="D2107" s="318">
        <v>43983</v>
      </c>
      <c r="E2107" s="83">
        <v>43963</v>
      </c>
      <c r="F2107" s="88" t="s">
        <v>7114</v>
      </c>
      <c r="G2107" s="88" t="s">
        <v>156</v>
      </c>
      <c r="H2107" s="98" t="s">
        <v>220</v>
      </c>
      <c r="I2107" s="98" t="s">
        <v>656</v>
      </c>
      <c r="J2107" s="75">
        <f t="shared" si="208"/>
        <v>1</v>
      </c>
      <c r="K2107" s="263" t="s">
        <v>211</v>
      </c>
      <c r="L2107" s="99" t="s">
        <v>7181</v>
      </c>
      <c r="N2107" s="78" t="s">
        <v>17</v>
      </c>
      <c r="Q2107" s="78" t="s">
        <v>2130</v>
      </c>
      <c r="R2107" s="75">
        <f t="shared" si="209"/>
        <v>1</v>
      </c>
      <c r="S2107" s="263" t="s">
        <v>1991</v>
      </c>
      <c r="T2107" s="263" t="s">
        <v>932</v>
      </c>
      <c r="Y2107" s="576">
        <v>0.5869212962962963</v>
      </c>
      <c r="Z2107" s="576">
        <v>0.61604166666666671</v>
      </c>
      <c r="AA2107" s="576">
        <f t="shared" si="210"/>
        <v>2.9120370370370408E-2</v>
      </c>
      <c r="AB2107" s="722"/>
    </row>
    <row r="2108" spans="1:28" x14ac:dyDescent="0.35">
      <c r="A2108" s="81" t="s">
        <v>7052</v>
      </c>
      <c r="C2108" s="118">
        <v>43950</v>
      </c>
      <c r="D2108" s="318">
        <v>43983</v>
      </c>
      <c r="E2108" s="83">
        <v>43977</v>
      </c>
      <c r="F2108" s="88" t="s">
        <v>7115</v>
      </c>
      <c r="G2108" s="88" t="s">
        <v>154</v>
      </c>
      <c r="H2108" s="98" t="s">
        <v>220</v>
      </c>
      <c r="I2108" s="98" t="s">
        <v>656</v>
      </c>
      <c r="J2108" s="75">
        <f t="shared" si="208"/>
        <v>1</v>
      </c>
      <c r="K2108" s="263" t="s">
        <v>211</v>
      </c>
      <c r="L2108" s="99" t="s">
        <v>7783</v>
      </c>
      <c r="N2108" s="78" t="s">
        <v>19</v>
      </c>
      <c r="Q2108" s="78" t="s">
        <v>2130</v>
      </c>
      <c r="R2108" s="75">
        <f t="shared" si="209"/>
        <v>1</v>
      </c>
      <c r="S2108" s="263" t="s">
        <v>1991</v>
      </c>
      <c r="T2108" s="263" t="s">
        <v>933</v>
      </c>
      <c r="Y2108" s="576">
        <v>0.89295138888888881</v>
      </c>
      <c r="Z2108" s="576">
        <v>0.92581018518518521</v>
      </c>
      <c r="AA2108" s="576">
        <f t="shared" si="210"/>
        <v>3.28587962962964E-2</v>
      </c>
      <c r="AB2108" s="722"/>
    </row>
    <row r="2109" spans="1:28" x14ac:dyDescent="0.35">
      <c r="A2109" s="81" t="s">
        <v>7053</v>
      </c>
      <c r="C2109" s="118">
        <v>43950</v>
      </c>
      <c r="D2109" s="318">
        <v>43983</v>
      </c>
      <c r="E2109" s="83">
        <v>43966</v>
      </c>
      <c r="F2109" s="88" t="s">
        <v>7116</v>
      </c>
      <c r="G2109" s="88" t="s">
        <v>162</v>
      </c>
      <c r="H2109" s="98" t="s">
        <v>220</v>
      </c>
      <c r="I2109" s="98" t="s">
        <v>5215</v>
      </c>
      <c r="J2109" s="75">
        <f t="shared" si="208"/>
        <v>1</v>
      </c>
      <c r="K2109" s="263" t="s">
        <v>211</v>
      </c>
      <c r="N2109" s="78" t="s">
        <v>19</v>
      </c>
      <c r="Q2109" s="78" t="s">
        <v>2130</v>
      </c>
      <c r="R2109" s="75">
        <f t="shared" si="209"/>
        <v>1</v>
      </c>
      <c r="S2109" s="263" t="s">
        <v>1991</v>
      </c>
      <c r="T2109" s="263" t="s">
        <v>934</v>
      </c>
      <c r="Y2109" s="576">
        <v>0.75967592592592592</v>
      </c>
      <c r="Z2109" s="576">
        <v>0.76444444444444448</v>
      </c>
      <c r="AA2109" s="576">
        <f t="shared" si="210"/>
        <v>4.7685185185185608E-3</v>
      </c>
      <c r="AB2109" s="722"/>
    </row>
    <row r="2110" spans="1:28" x14ac:dyDescent="0.35">
      <c r="A2110" s="81" t="s">
        <v>7057</v>
      </c>
      <c r="C2110" s="118">
        <v>43950</v>
      </c>
      <c r="D2110" s="318">
        <v>43983</v>
      </c>
      <c r="E2110" s="83">
        <v>43976</v>
      </c>
      <c r="F2110" s="88" t="s">
        <v>7120</v>
      </c>
      <c r="G2110" s="88" t="s">
        <v>179</v>
      </c>
      <c r="H2110" s="98" t="s">
        <v>220</v>
      </c>
      <c r="I2110" s="98" t="s">
        <v>656</v>
      </c>
      <c r="J2110" s="75">
        <f t="shared" si="208"/>
        <v>1</v>
      </c>
      <c r="K2110" s="263" t="s">
        <v>211</v>
      </c>
      <c r="L2110" s="99" t="s">
        <v>7544</v>
      </c>
      <c r="N2110" s="78" t="s">
        <v>17</v>
      </c>
      <c r="Q2110" s="78" t="s">
        <v>2130</v>
      </c>
      <c r="R2110" s="75">
        <f t="shared" si="209"/>
        <v>1</v>
      </c>
      <c r="S2110" s="263" t="s">
        <v>1991</v>
      </c>
      <c r="T2110" s="263" t="s">
        <v>932</v>
      </c>
      <c r="Y2110" s="576">
        <v>0.56814814814814818</v>
      </c>
      <c r="Z2110" s="576">
        <v>0.57604166666666667</v>
      </c>
      <c r="AA2110" s="576">
        <f t="shared" si="210"/>
        <v>7.8935185185184942E-3</v>
      </c>
      <c r="AB2110" s="722"/>
    </row>
    <row r="2111" spans="1:28" x14ac:dyDescent="0.35">
      <c r="A2111" s="81" t="s">
        <v>7058</v>
      </c>
      <c r="C2111" s="118">
        <v>43951</v>
      </c>
      <c r="D2111" s="318">
        <v>43983</v>
      </c>
      <c r="E2111" s="83">
        <v>43965</v>
      </c>
      <c r="F2111" s="88" t="s">
        <v>7121</v>
      </c>
      <c r="G2111" s="88" t="s">
        <v>152</v>
      </c>
      <c r="H2111" s="98" t="s">
        <v>220</v>
      </c>
      <c r="I2111" s="98" t="s">
        <v>665</v>
      </c>
      <c r="J2111" s="75">
        <f t="shared" si="208"/>
        <v>1</v>
      </c>
      <c r="K2111" s="263" t="s">
        <v>211</v>
      </c>
      <c r="L2111" s="99" t="s">
        <v>7243</v>
      </c>
      <c r="N2111" s="78" t="s">
        <v>18</v>
      </c>
      <c r="Q2111" s="78" t="s">
        <v>2447</v>
      </c>
      <c r="R2111" s="75">
        <f t="shared" si="209"/>
        <v>1</v>
      </c>
      <c r="S2111" s="263" t="s">
        <v>1991</v>
      </c>
      <c r="T2111" s="263" t="s">
        <v>934</v>
      </c>
      <c r="Y2111" s="576">
        <v>0.84498842592592593</v>
      </c>
      <c r="Z2111" s="576">
        <v>0.8497337962962962</v>
      </c>
      <c r="AA2111" s="576">
        <f t="shared" si="210"/>
        <v>4.745370370370261E-3</v>
      </c>
      <c r="AB2111" s="722"/>
    </row>
    <row r="2112" spans="1:28" x14ac:dyDescent="0.35">
      <c r="A2112" s="81" t="s">
        <v>7059</v>
      </c>
      <c r="C2112" s="118">
        <v>43951</v>
      </c>
      <c r="D2112" s="318">
        <v>43983</v>
      </c>
      <c r="E2112" s="83">
        <v>43958</v>
      </c>
      <c r="F2112" s="88" t="s">
        <v>7122</v>
      </c>
      <c r="G2112" s="88" t="s">
        <v>158</v>
      </c>
      <c r="H2112" s="98" t="s">
        <v>220</v>
      </c>
      <c r="I2112" s="98" t="s">
        <v>3557</v>
      </c>
      <c r="J2112" s="75">
        <f t="shared" ref="J2112:J2117" si="211">IF(OR(K2112="Документы готовы",K2112="Запрос в ФО",K2112="ЭЗ",K2112="РЕШ",K2112="РЕШ шаблон"),0.1,IF(OR(K2112="ЭЗ согласование",K2112="РЕШ согласование"),0.3,IF(OR(K2112="ЭЗ согласовано",K2112="РЕШ согласовано",K2112="РЕШ подписано"),0.6,IF(OR(K2112="ЭЗ ПР согласование",K2112="РЕШ УВ согласование"),0.9,IF(OR(K2112="ЭЗ ПР DONE",K2112="РЕШ УВ DONE"),1,0)))))</f>
        <v>1</v>
      </c>
      <c r="K2112" s="76" t="s">
        <v>211</v>
      </c>
      <c r="N2112" s="78" t="s">
        <v>18</v>
      </c>
      <c r="Q2112" s="78" t="s">
        <v>2447</v>
      </c>
      <c r="R2112" s="75">
        <f t="shared" ref="R2112:R2117" si="212">IF(S2112="В работе",0.3,IF(S2112="Отписано",0.6,IF(S2112="На доработку",0.9,IF(S2112="Согласовано",1,0))))</f>
        <v>1</v>
      </c>
      <c r="S2112" s="263" t="s">
        <v>1991</v>
      </c>
      <c r="T2112" s="263" t="s">
        <v>933</v>
      </c>
      <c r="Y2112" s="576">
        <v>0.57975694444444448</v>
      </c>
      <c r="Z2112" s="576">
        <v>0.58899305555555559</v>
      </c>
      <c r="AA2112" s="576">
        <f t="shared" si="210"/>
        <v>9.2361111111111116E-3</v>
      </c>
      <c r="AB2112" s="722"/>
    </row>
    <row r="2113" spans="1:28" x14ac:dyDescent="0.35">
      <c r="A2113" s="81" t="s">
        <v>7060</v>
      </c>
      <c r="C2113" s="118">
        <v>43951</v>
      </c>
      <c r="D2113" s="318">
        <v>43983</v>
      </c>
      <c r="E2113" s="83">
        <v>43964</v>
      </c>
      <c r="F2113" s="88" t="s">
        <v>7123</v>
      </c>
      <c r="G2113" s="88" t="s">
        <v>154</v>
      </c>
      <c r="H2113" s="98" t="s">
        <v>220</v>
      </c>
      <c r="I2113" s="98" t="s">
        <v>1004</v>
      </c>
      <c r="J2113" s="75">
        <f t="shared" si="211"/>
        <v>1</v>
      </c>
      <c r="K2113" s="76" t="s">
        <v>211</v>
      </c>
      <c r="N2113" s="78" t="s">
        <v>19</v>
      </c>
      <c r="Q2113" s="78" t="s">
        <v>2447</v>
      </c>
      <c r="R2113" s="75">
        <f t="shared" si="212"/>
        <v>1</v>
      </c>
      <c r="S2113" s="263" t="s">
        <v>1991</v>
      </c>
      <c r="T2113" s="263" t="s">
        <v>932</v>
      </c>
      <c r="Y2113" s="576">
        <v>0.55336805555555557</v>
      </c>
      <c r="Z2113" s="576">
        <v>0.5642476851851852</v>
      </c>
      <c r="AA2113" s="576">
        <f t="shared" si="210"/>
        <v>1.0879629629629628E-2</v>
      </c>
      <c r="AB2113" s="722"/>
    </row>
    <row r="2114" spans="1:28" x14ac:dyDescent="0.35">
      <c r="A2114" s="81" t="s">
        <v>7061</v>
      </c>
      <c r="C2114" s="118">
        <v>43951</v>
      </c>
      <c r="D2114" s="118">
        <v>43983</v>
      </c>
      <c r="F2114" s="88" t="s">
        <v>7124</v>
      </c>
      <c r="G2114" s="88" t="s">
        <v>417</v>
      </c>
      <c r="H2114" s="98" t="s">
        <v>220</v>
      </c>
      <c r="I2114" s="98" t="s">
        <v>656</v>
      </c>
      <c r="J2114" s="75">
        <f t="shared" si="211"/>
        <v>1</v>
      </c>
      <c r="K2114" s="76" t="s">
        <v>211</v>
      </c>
      <c r="N2114" s="78" t="s">
        <v>17</v>
      </c>
      <c r="Q2114" s="78" t="s">
        <v>2447</v>
      </c>
      <c r="R2114" s="75">
        <f t="shared" si="212"/>
        <v>1</v>
      </c>
      <c r="S2114" s="263" t="s">
        <v>1991</v>
      </c>
      <c r="T2114" s="263" t="s">
        <v>934</v>
      </c>
      <c r="Y2114" s="576">
        <v>0.46736111111111112</v>
      </c>
      <c r="Z2114" s="576">
        <v>0.47569444444444442</v>
      </c>
      <c r="AA2114" s="576">
        <f t="shared" si="210"/>
        <v>8.3333333333333037E-3</v>
      </c>
      <c r="AB2114" s="722"/>
    </row>
    <row r="2115" spans="1:28" x14ac:dyDescent="0.35">
      <c r="A2115" s="81" t="s">
        <v>7062</v>
      </c>
      <c r="C2115" s="118">
        <v>43951</v>
      </c>
      <c r="D2115" s="318">
        <v>43983</v>
      </c>
      <c r="E2115" s="83">
        <v>43963</v>
      </c>
      <c r="F2115" s="88" t="s">
        <v>7125</v>
      </c>
      <c r="G2115" s="88" t="s">
        <v>154</v>
      </c>
      <c r="H2115" s="98" t="s">
        <v>220</v>
      </c>
      <c r="I2115" s="98" t="s">
        <v>656</v>
      </c>
      <c r="J2115" s="75">
        <f t="shared" si="211"/>
        <v>1</v>
      </c>
      <c r="K2115" s="76" t="s">
        <v>211</v>
      </c>
      <c r="N2115" s="78" t="s">
        <v>17</v>
      </c>
      <c r="Q2115" s="78" t="s">
        <v>2447</v>
      </c>
      <c r="R2115" s="75">
        <f t="shared" si="212"/>
        <v>1</v>
      </c>
      <c r="S2115" s="263" t="s">
        <v>1991</v>
      </c>
      <c r="T2115" s="263" t="s">
        <v>933</v>
      </c>
      <c r="Y2115" s="576">
        <v>0.51616898148148149</v>
      </c>
      <c r="Z2115" s="576">
        <v>0.52391203703703704</v>
      </c>
      <c r="AA2115" s="576">
        <f t="shared" si="210"/>
        <v>7.7430555555555447E-3</v>
      </c>
      <c r="AB2115" s="722"/>
    </row>
    <row r="2116" spans="1:28" x14ac:dyDescent="0.35">
      <c r="A2116" s="81" t="s">
        <v>7063</v>
      </c>
      <c r="C2116" s="118">
        <v>43951</v>
      </c>
      <c r="D2116" s="318">
        <v>43983</v>
      </c>
      <c r="E2116" s="83">
        <v>43965</v>
      </c>
      <c r="F2116" s="88" t="s">
        <v>7126</v>
      </c>
      <c r="G2116" s="88" t="s">
        <v>162</v>
      </c>
      <c r="H2116" s="98" t="s">
        <v>220</v>
      </c>
      <c r="I2116" s="98" t="s">
        <v>2516</v>
      </c>
      <c r="J2116" s="75">
        <f t="shared" si="211"/>
        <v>1</v>
      </c>
      <c r="K2116" s="76" t="s">
        <v>211</v>
      </c>
      <c r="L2116" s="99" t="s">
        <v>7233</v>
      </c>
      <c r="N2116" s="78" t="s">
        <v>17</v>
      </c>
      <c r="O2116" s="114">
        <v>400000</v>
      </c>
      <c r="Q2116" s="78" t="s">
        <v>2447</v>
      </c>
      <c r="R2116" s="75">
        <f t="shared" si="212"/>
        <v>1</v>
      </c>
      <c r="S2116" s="263" t="s">
        <v>1991</v>
      </c>
      <c r="T2116" s="263" t="s">
        <v>933</v>
      </c>
      <c r="Y2116" s="576">
        <v>0.60650462962962959</v>
      </c>
      <c r="Z2116" s="576">
        <v>0.62192129629629633</v>
      </c>
      <c r="AA2116" s="576">
        <f t="shared" si="210"/>
        <v>1.5416666666666745E-2</v>
      </c>
      <c r="AB2116" s="722"/>
    </row>
    <row r="2117" spans="1:28" x14ac:dyDescent="0.35">
      <c r="A2117" s="98" t="s">
        <v>7135</v>
      </c>
      <c r="C2117" s="83">
        <v>43941</v>
      </c>
      <c r="D2117" s="112">
        <v>43983</v>
      </c>
      <c r="E2117" s="83">
        <v>43957</v>
      </c>
      <c r="F2117" s="99" t="s">
        <v>7136</v>
      </c>
      <c r="G2117" s="99" t="s">
        <v>158</v>
      </c>
      <c r="H2117" s="98" t="s">
        <v>220</v>
      </c>
      <c r="I2117" s="98" t="s">
        <v>3557</v>
      </c>
      <c r="J2117" s="75">
        <f t="shared" si="211"/>
        <v>1</v>
      </c>
      <c r="K2117" s="76" t="s">
        <v>211</v>
      </c>
      <c r="N2117" s="78" t="s">
        <v>18</v>
      </c>
      <c r="Q2117" s="304" t="s">
        <v>7137</v>
      </c>
      <c r="R2117" s="75">
        <f t="shared" si="212"/>
        <v>1</v>
      </c>
      <c r="S2117" s="263" t="s">
        <v>1991</v>
      </c>
      <c r="T2117" s="263" t="s">
        <v>932</v>
      </c>
      <c r="Y2117" s="576">
        <v>0.51273148148148151</v>
      </c>
      <c r="Z2117" s="576">
        <v>0.51915509259259263</v>
      </c>
      <c r="AA2117" s="576">
        <f t="shared" si="210"/>
        <v>6.423611111111116E-3</v>
      </c>
      <c r="AB2117" s="722"/>
    </row>
    <row r="2118" spans="1:28" x14ac:dyDescent="0.35">
      <c r="A2118" s="98" t="s">
        <v>7138</v>
      </c>
      <c r="C2118" s="83">
        <v>43941</v>
      </c>
      <c r="D2118" s="112">
        <v>43983</v>
      </c>
      <c r="E2118" s="83">
        <v>43957</v>
      </c>
      <c r="F2118" s="99" t="s">
        <v>7139</v>
      </c>
      <c r="G2118" s="99" t="s">
        <v>158</v>
      </c>
      <c r="H2118" s="98" t="s">
        <v>220</v>
      </c>
      <c r="I2118" s="98" t="s">
        <v>656</v>
      </c>
      <c r="J2118" s="75">
        <f t="shared" ref="J2118:J2119" si="213">IF(OR(K2118="Документы готовы",K2118="Запрос в ФО",K2118="ЭЗ",K2118="РЕШ",K2118="РЕШ шаблон"),0.1,IF(OR(K2118="ЭЗ согласование",K2118="РЕШ согласование"),0.3,IF(OR(K2118="ЭЗ согласовано",K2118="РЕШ согласовано",K2118="РЕШ подписано"),0.6,IF(OR(K2118="ЭЗ ПР согласование",K2118="РЕШ УВ согласование"),0.9,IF(OR(K2118="ЭЗ ПР DONE",K2118="РЕШ УВ DONE"),1,0)))))</f>
        <v>1</v>
      </c>
      <c r="K2118" s="76" t="s">
        <v>211</v>
      </c>
      <c r="N2118" s="78" t="s">
        <v>17</v>
      </c>
      <c r="Q2118" s="304" t="s">
        <v>7137</v>
      </c>
      <c r="R2118" s="75">
        <f t="shared" ref="R2118:R2119" si="214">IF(S2118="В работе",0.3,IF(S2118="Отписано",0.6,IF(S2118="На доработку",0.9,IF(S2118="Согласовано",1,0))))</f>
        <v>1</v>
      </c>
      <c r="S2118" s="263" t="s">
        <v>1991</v>
      </c>
      <c r="T2118" s="263" t="s">
        <v>932</v>
      </c>
      <c r="Y2118" s="576">
        <v>0.54951388888888886</v>
      </c>
      <c r="Z2118" s="576">
        <v>0.56108796296296293</v>
      </c>
      <c r="AA2118" s="576">
        <f t="shared" si="210"/>
        <v>1.157407407407407E-2</v>
      </c>
      <c r="AB2118" s="722"/>
    </row>
    <row r="2119" spans="1:28" x14ac:dyDescent="0.35">
      <c r="A2119" s="98" t="s">
        <v>7146</v>
      </c>
      <c r="C2119" s="83">
        <v>43945</v>
      </c>
      <c r="D2119" s="112">
        <v>43983</v>
      </c>
      <c r="E2119" s="83">
        <v>43957</v>
      </c>
      <c r="F2119" s="99" t="s">
        <v>7147</v>
      </c>
      <c r="G2119" s="99" t="s">
        <v>158</v>
      </c>
      <c r="H2119" s="98" t="s">
        <v>220</v>
      </c>
      <c r="I2119" s="98" t="s">
        <v>656</v>
      </c>
      <c r="J2119" s="75">
        <f t="shared" si="213"/>
        <v>1</v>
      </c>
      <c r="K2119" s="76" t="s">
        <v>211</v>
      </c>
      <c r="N2119" s="78" t="s">
        <v>18</v>
      </c>
      <c r="Q2119" s="304" t="s">
        <v>7137</v>
      </c>
      <c r="R2119" s="75">
        <f t="shared" si="214"/>
        <v>1</v>
      </c>
      <c r="S2119" s="263" t="s">
        <v>1991</v>
      </c>
      <c r="T2119" s="263" t="s">
        <v>932</v>
      </c>
      <c r="Y2119" s="576">
        <v>0.92895833333333344</v>
      </c>
      <c r="Z2119" s="576">
        <v>0.93653935185185189</v>
      </c>
      <c r="AA2119" s="576">
        <f t="shared" si="210"/>
        <v>7.5810185185184453E-3</v>
      </c>
      <c r="AB2119" s="722"/>
    </row>
    <row r="2120" spans="1:28" x14ac:dyDescent="0.35">
      <c r="A2120" s="98" t="s">
        <v>7148</v>
      </c>
      <c r="C2120" s="83">
        <v>43942</v>
      </c>
      <c r="D2120" s="112">
        <v>43983</v>
      </c>
      <c r="E2120" s="83">
        <v>43957</v>
      </c>
      <c r="F2120" s="99" t="s">
        <v>7149</v>
      </c>
      <c r="G2120" s="99" t="s">
        <v>158</v>
      </c>
      <c r="H2120" s="98" t="s">
        <v>220</v>
      </c>
      <c r="I2120" s="98" t="s">
        <v>656</v>
      </c>
      <c r="J2120" s="75">
        <f t="shared" ref="J2120:J2168" si="215">IF(OR(K2120="Документы готовы",K2120="Запрос в ФО",K2120="ЭЗ",K2120="РЕШ",K2120="РЕШ шаблон"),0.1,IF(OR(K2120="ЭЗ согласование",K2120="РЕШ согласование"),0.3,IF(OR(K2120="ЭЗ согласовано",K2120="РЕШ согласовано",K2120="РЕШ подписано"),0.6,IF(OR(K2120="ЭЗ ПР согласование",K2120="РЕШ УВ согласование"),0.9,IF(OR(K2120="ЭЗ ПР DONE",K2120="РЕШ УВ DONE"),1,0)))))</f>
        <v>1</v>
      </c>
      <c r="K2120" s="76" t="s">
        <v>211</v>
      </c>
      <c r="N2120" s="78" t="s">
        <v>18</v>
      </c>
      <c r="Q2120" s="304" t="s">
        <v>7137</v>
      </c>
      <c r="R2120" s="75">
        <f t="shared" ref="R2120:R2168" si="216">IF(S2120="В работе",0.3,IF(S2120="Отписано",0.6,IF(S2120="На доработку",0.9,IF(S2120="Согласовано",1,0))))</f>
        <v>1</v>
      </c>
      <c r="S2120" s="263" t="s">
        <v>1991</v>
      </c>
      <c r="T2120" s="263" t="s">
        <v>932</v>
      </c>
      <c r="Y2120" s="576">
        <v>0.93736111111111109</v>
      </c>
      <c r="Z2120" s="576">
        <v>0.94877314814814817</v>
      </c>
      <c r="AA2120" s="576">
        <f t="shared" ref="AA2120:AA2168" si="217">Z2120-Y2120</f>
        <v>1.1412037037037082E-2</v>
      </c>
      <c r="AB2120" s="722"/>
    </row>
    <row r="2121" spans="1:28" x14ac:dyDescent="0.35">
      <c r="A2121" s="98" t="s">
        <v>7150</v>
      </c>
      <c r="C2121" s="83">
        <v>43945</v>
      </c>
      <c r="D2121" s="112">
        <v>43983</v>
      </c>
      <c r="E2121" s="83">
        <v>43957</v>
      </c>
      <c r="F2121" s="99" t="s">
        <v>7151</v>
      </c>
      <c r="G2121" s="99" t="s">
        <v>156</v>
      </c>
      <c r="H2121" s="98" t="s">
        <v>220</v>
      </c>
      <c r="I2121" s="98" t="s">
        <v>3553</v>
      </c>
      <c r="J2121" s="75">
        <f t="shared" si="215"/>
        <v>1</v>
      </c>
      <c r="K2121" s="76" t="s">
        <v>211</v>
      </c>
      <c r="N2121" s="78" t="s">
        <v>19</v>
      </c>
      <c r="Q2121" s="304" t="s">
        <v>7137</v>
      </c>
      <c r="R2121" s="75">
        <f t="shared" si="216"/>
        <v>1</v>
      </c>
      <c r="S2121" s="263" t="s">
        <v>1991</v>
      </c>
      <c r="T2121" s="263" t="s">
        <v>933</v>
      </c>
      <c r="Y2121" s="576">
        <v>0.94945601851851846</v>
      </c>
      <c r="Z2121" s="576">
        <v>0.95291666666666675</v>
      </c>
      <c r="AA2121" s="576">
        <f t="shared" si="217"/>
        <v>3.460648148148282E-3</v>
      </c>
      <c r="AB2121" s="722"/>
    </row>
    <row r="2122" spans="1:28" x14ac:dyDescent="0.35">
      <c r="A2122" s="98" t="s">
        <v>7152</v>
      </c>
      <c r="C2122" s="83">
        <v>43908</v>
      </c>
      <c r="D2122" s="112">
        <v>43987</v>
      </c>
      <c r="E2122" s="83">
        <v>43958</v>
      </c>
      <c r="F2122" s="99" t="s">
        <v>7153</v>
      </c>
      <c r="G2122" s="99" t="s">
        <v>417</v>
      </c>
      <c r="H2122" s="98" t="s">
        <v>220</v>
      </c>
      <c r="I2122" s="98" t="s">
        <v>730</v>
      </c>
      <c r="J2122" s="75">
        <f t="shared" si="215"/>
        <v>1</v>
      </c>
      <c r="K2122" s="263" t="s">
        <v>211</v>
      </c>
      <c r="N2122" s="78" t="s">
        <v>17</v>
      </c>
      <c r="Q2122" s="304" t="s">
        <v>2056</v>
      </c>
      <c r="R2122" s="75">
        <f t="shared" si="216"/>
        <v>1</v>
      </c>
      <c r="S2122" s="263" t="s">
        <v>1991</v>
      </c>
      <c r="T2122" s="263" t="s">
        <v>932</v>
      </c>
      <c r="Y2122" s="576">
        <v>0.34302083333333333</v>
      </c>
      <c r="Z2122" s="576">
        <v>0.35114583333333332</v>
      </c>
      <c r="AA2122" s="576">
        <f t="shared" si="217"/>
        <v>8.1249999999999933E-3</v>
      </c>
      <c r="AB2122" s="722"/>
    </row>
    <row r="2123" spans="1:28" x14ac:dyDescent="0.35">
      <c r="A2123" s="98" t="s">
        <v>7160</v>
      </c>
      <c r="C2123" s="83">
        <v>43945</v>
      </c>
      <c r="D2123" s="112">
        <v>43983</v>
      </c>
      <c r="E2123" s="83">
        <v>43958</v>
      </c>
      <c r="F2123" s="99" t="s">
        <v>7161</v>
      </c>
      <c r="G2123" s="99" t="s">
        <v>158</v>
      </c>
      <c r="H2123" s="98" t="s">
        <v>220</v>
      </c>
      <c r="I2123" s="98" t="s">
        <v>1122</v>
      </c>
      <c r="J2123" s="75">
        <f t="shared" si="215"/>
        <v>1</v>
      </c>
      <c r="K2123" s="76" t="s">
        <v>211</v>
      </c>
      <c r="N2123" s="78" t="s">
        <v>18</v>
      </c>
      <c r="Q2123" s="304" t="s">
        <v>7137</v>
      </c>
      <c r="R2123" s="75">
        <f t="shared" si="216"/>
        <v>1</v>
      </c>
      <c r="S2123" s="263" t="s">
        <v>1991</v>
      </c>
      <c r="T2123" s="263" t="s">
        <v>932</v>
      </c>
      <c r="Y2123" s="576">
        <v>0.83468749999999992</v>
      </c>
      <c r="Z2123" s="576">
        <v>0.84604166666666669</v>
      </c>
      <c r="AA2123" s="576">
        <f t="shared" si="217"/>
        <v>1.1354166666666776E-2</v>
      </c>
      <c r="AB2123" s="722"/>
    </row>
    <row r="2124" spans="1:28" x14ac:dyDescent="0.35">
      <c r="A2124" s="98" t="s">
        <v>7164</v>
      </c>
      <c r="C2124" s="83">
        <v>43945</v>
      </c>
      <c r="D2124" s="112">
        <v>43983</v>
      </c>
      <c r="E2124" s="83">
        <v>43959</v>
      </c>
      <c r="F2124" s="99" t="s">
        <v>7165</v>
      </c>
      <c r="G2124" s="99" t="s">
        <v>6928</v>
      </c>
      <c r="H2124" s="98" t="s">
        <v>220</v>
      </c>
      <c r="I2124" s="98" t="s">
        <v>3553</v>
      </c>
      <c r="J2124" s="75">
        <f t="shared" si="215"/>
        <v>1</v>
      </c>
      <c r="K2124" s="76" t="s">
        <v>211</v>
      </c>
      <c r="N2124" s="78" t="s">
        <v>19</v>
      </c>
      <c r="Q2124" s="304" t="s">
        <v>7137</v>
      </c>
      <c r="R2124" s="75">
        <f t="shared" si="216"/>
        <v>1</v>
      </c>
      <c r="S2124" s="263" t="s">
        <v>1991</v>
      </c>
      <c r="T2124" s="263" t="s">
        <v>933</v>
      </c>
      <c r="Y2124" s="576">
        <v>0.48143518518518519</v>
      </c>
      <c r="Z2124" s="576">
        <v>0.48440972222222217</v>
      </c>
      <c r="AA2124" s="576">
        <f t="shared" si="217"/>
        <v>2.9745370370369839E-3</v>
      </c>
      <c r="AB2124" s="722"/>
    </row>
    <row r="2125" spans="1:28" x14ac:dyDescent="0.35">
      <c r="A2125" s="98" t="s">
        <v>7175</v>
      </c>
      <c r="C2125" s="83">
        <v>43945</v>
      </c>
      <c r="D2125" s="112">
        <v>43983</v>
      </c>
      <c r="E2125" s="83">
        <v>43962</v>
      </c>
      <c r="F2125" s="99" t="s">
        <v>7176</v>
      </c>
      <c r="G2125" s="99" t="s">
        <v>154</v>
      </c>
      <c r="H2125" s="98" t="s">
        <v>220</v>
      </c>
      <c r="I2125" s="98" t="s">
        <v>656</v>
      </c>
      <c r="J2125" s="75">
        <f t="shared" si="215"/>
        <v>1</v>
      </c>
      <c r="K2125" s="76" t="s">
        <v>211</v>
      </c>
      <c r="N2125" s="78" t="s">
        <v>18</v>
      </c>
      <c r="Q2125" s="304" t="s">
        <v>7137</v>
      </c>
      <c r="R2125" s="75">
        <f t="shared" si="216"/>
        <v>1</v>
      </c>
      <c r="S2125" s="263" t="s">
        <v>1991</v>
      </c>
      <c r="T2125" s="263" t="s">
        <v>932</v>
      </c>
      <c r="Y2125" s="576">
        <v>0.88944444444444448</v>
      </c>
      <c r="Z2125" s="576">
        <v>0.90298611111111116</v>
      </c>
      <c r="AA2125" s="576">
        <f t="shared" si="217"/>
        <v>1.3541666666666674E-2</v>
      </c>
      <c r="AB2125" s="722"/>
    </row>
    <row r="2126" spans="1:28" x14ac:dyDescent="0.35">
      <c r="A2126" s="98" t="s">
        <v>7177</v>
      </c>
      <c r="C2126" s="83">
        <v>43917</v>
      </c>
      <c r="D2126" s="112">
        <v>43998</v>
      </c>
      <c r="E2126" s="83">
        <v>43962</v>
      </c>
      <c r="F2126" s="99" t="s">
        <v>7178</v>
      </c>
      <c r="G2126" s="99" t="s">
        <v>154</v>
      </c>
      <c r="H2126" s="98" t="s">
        <v>220</v>
      </c>
      <c r="I2126" s="98" t="s">
        <v>722</v>
      </c>
      <c r="J2126" s="75">
        <f t="shared" si="215"/>
        <v>1</v>
      </c>
      <c r="K2126" s="263" t="s">
        <v>211</v>
      </c>
      <c r="N2126" s="78" t="s">
        <v>18</v>
      </c>
      <c r="Q2126" s="304" t="s">
        <v>7137</v>
      </c>
      <c r="R2126" s="75">
        <f t="shared" si="216"/>
        <v>1</v>
      </c>
      <c r="S2126" s="263" t="s">
        <v>1991</v>
      </c>
      <c r="T2126" s="263" t="s">
        <v>932</v>
      </c>
      <c r="Y2126" s="576">
        <v>0.90430555555555558</v>
      </c>
      <c r="Z2126" s="576">
        <v>0.91009259259259256</v>
      </c>
      <c r="AA2126" s="576">
        <f t="shared" si="217"/>
        <v>5.7870370370369795E-3</v>
      </c>
      <c r="AB2126" s="722"/>
    </row>
    <row r="2127" spans="1:28" x14ac:dyDescent="0.35">
      <c r="A2127" s="98" t="s">
        <v>7182</v>
      </c>
      <c r="C2127" s="83">
        <v>43913</v>
      </c>
      <c r="D2127" s="112">
        <v>43978</v>
      </c>
      <c r="E2127" s="83">
        <v>43963</v>
      </c>
      <c r="F2127" s="99" t="s">
        <v>7183</v>
      </c>
      <c r="G2127" s="99" t="s">
        <v>154</v>
      </c>
      <c r="H2127" s="98" t="s">
        <v>220</v>
      </c>
      <c r="I2127" s="98" t="s">
        <v>722</v>
      </c>
      <c r="J2127" s="75">
        <f t="shared" si="215"/>
        <v>1</v>
      </c>
      <c r="K2127" s="263" t="s">
        <v>211</v>
      </c>
      <c r="N2127" s="78" t="s">
        <v>17</v>
      </c>
      <c r="Q2127" s="304" t="s">
        <v>2163</v>
      </c>
      <c r="R2127" s="75">
        <f t="shared" si="216"/>
        <v>1</v>
      </c>
      <c r="S2127" s="263" t="s">
        <v>1991</v>
      </c>
      <c r="T2127" s="263" t="s">
        <v>932</v>
      </c>
      <c r="Y2127" s="576">
        <v>0.63151620370370376</v>
      </c>
      <c r="Z2127" s="576">
        <v>0.64077546296296295</v>
      </c>
      <c r="AA2127" s="576">
        <f t="shared" si="217"/>
        <v>9.2592592592591894E-3</v>
      </c>
      <c r="AB2127" s="722"/>
    </row>
    <row r="2128" spans="1:28" x14ac:dyDescent="0.35">
      <c r="A2128" s="98" t="s">
        <v>7184</v>
      </c>
      <c r="C2128" s="83">
        <v>43914</v>
      </c>
      <c r="D2128" s="112">
        <v>43978</v>
      </c>
      <c r="E2128" s="83">
        <v>43963</v>
      </c>
      <c r="F2128" s="99" t="s">
        <v>7185</v>
      </c>
      <c r="G2128" s="99" t="s">
        <v>186</v>
      </c>
      <c r="H2128" s="98" t="s">
        <v>220</v>
      </c>
      <c r="I2128" s="98" t="s">
        <v>722</v>
      </c>
      <c r="J2128" s="75">
        <f t="shared" si="215"/>
        <v>1</v>
      </c>
      <c r="K2128" s="263" t="s">
        <v>211</v>
      </c>
      <c r="N2128" s="78" t="s">
        <v>18</v>
      </c>
      <c r="Q2128" s="304" t="s">
        <v>2056</v>
      </c>
      <c r="R2128" s="75">
        <f t="shared" si="216"/>
        <v>1</v>
      </c>
      <c r="S2128" s="263" t="s">
        <v>1991</v>
      </c>
      <c r="T2128" s="263" t="s">
        <v>934</v>
      </c>
      <c r="U2128" s="304" t="s">
        <v>5592</v>
      </c>
      <c r="V2128" s="304" t="s">
        <v>7186</v>
      </c>
      <c r="Y2128" s="576">
        <v>0.64233796296296297</v>
      </c>
      <c r="Z2128" s="576">
        <v>0.64869212962962963</v>
      </c>
      <c r="AA2128" s="576">
        <f t="shared" si="217"/>
        <v>6.3541666666666607E-3</v>
      </c>
      <c r="AB2128" s="722"/>
    </row>
    <row r="2129" spans="1:28" x14ac:dyDescent="0.35">
      <c r="A2129" s="98" t="s">
        <v>7190</v>
      </c>
      <c r="C2129" s="83">
        <v>43914</v>
      </c>
      <c r="D2129" s="112">
        <v>43979</v>
      </c>
      <c r="E2129" s="83">
        <v>43970</v>
      </c>
      <c r="F2129" s="88" t="s">
        <v>7191</v>
      </c>
      <c r="G2129" s="88" t="s">
        <v>162</v>
      </c>
      <c r="H2129" s="98" t="s">
        <v>220</v>
      </c>
      <c r="I2129" s="98" t="s">
        <v>722</v>
      </c>
      <c r="J2129" s="75">
        <f t="shared" si="215"/>
        <v>1</v>
      </c>
      <c r="K2129" s="263" t="s">
        <v>211</v>
      </c>
      <c r="N2129" s="78" t="s">
        <v>17</v>
      </c>
      <c r="Q2129" s="304" t="s">
        <v>2130</v>
      </c>
      <c r="R2129" s="75">
        <f t="shared" si="216"/>
        <v>1</v>
      </c>
      <c r="S2129" s="263" t="s">
        <v>1991</v>
      </c>
      <c r="T2129" s="263" t="s">
        <v>932</v>
      </c>
      <c r="Y2129" s="576">
        <v>0.39071759259259259</v>
      </c>
      <c r="Z2129" s="576">
        <v>0.39899305555555559</v>
      </c>
      <c r="AA2129" s="576">
        <f t="shared" si="217"/>
        <v>8.2754629629629983E-3</v>
      </c>
      <c r="AB2129" s="722"/>
    </row>
    <row r="2130" spans="1:28" x14ac:dyDescent="0.35">
      <c r="A2130" s="98" t="s">
        <v>7192</v>
      </c>
      <c r="C2130" s="83">
        <v>43948</v>
      </c>
      <c r="D2130" s="112">
        <v>43983</v>
      </c>
      <c r="E2130" s="83">
        <v>43964</v>
      </c>
      <c r="F2130" s="127" t="s">
        <v>7193</v>
      </c>
      <c r="G2130" s="99" t="s">
        <v>154</v>
      </c>
      <c r="H2130" s="98" t="s">
        <v>275</v>
      </c>
      <c r="I2130" s="98" t="s">
        <v>629</v>
      </c>
      <c r="J2130" s="75">
        <f t="shared" si="215"/>
        <v>1</v>
      </c>
      <c r="K2130" s="76" t="s">
        <v>211</v>
      </c>
      <c r="N2130" s="78" t="s">
        <v>19</v>
      </c>
      <c r="Q2130" s="304" t="s">
        <v>2163</v>
      </c>
      <c r="R2130" s="75">
        <f t="shared" si="216"/>
        <v>1</v>
      </c>
      <c r="S2130" s="263" t="s">
        <v>1991</v>
      </c>
      <c r="T2130" s="263" t="s">
        <v>933</v>
      </c>
      <c r="Y2130" s="576">
        <v>0.50162037037037044</v>
      </c>
      <c r="Z2130" s="576">
        <v>0.51098379629629631</v>
      </c>
      <c r="AA2130" s="576">
        <f t="shared" si="217"/>
        <v>9.3634259259258723E-3</v>
      </c>
      <c r="AB2130" s="722"/>
    </row>
    <row r="2131" spans="1:28" x14ac:dyDescent="0.35">
      <c r="A2131" s="81" t="s">
        <v>6899</v>
      </c>
      <c r="C2131" s="118">
        <v>43903</v>
      </c>
      <c r="D2131" s="318">
        <v>43984</v>
      </c>
      <c r="E2131" s="83">
        <v>43964</v>
      </c>
      <c r="F2131" s="88" t="s">
        <v>6927</v>
      </c>
      <c r="G2131" s="88" t="s">
        <v>158</v>
      </c>
      <c r="H2131" s="98" t="s">
        <v>220</v>
      </c>
      <c r="I2131" s="98" t="s">
        <v>722</v>
      </c>
      <c r="J2131" s="75">
        <f t="shared" si="215"/>
        <v>1</v>
      </c>
      <c r="K2131" s="263" t="s">
        <v>211</v>
      </c>
      <c r="N2131" s="78" t="s">
        <v>18</v>
      </c>
      <c r="Q2131" s="78" t="s">
        <v>2097</v>
      </c>
      <c r="R2131" s="75">
        <f t="shared" si="216"/>
        <v>1</v>
      </c>
      <c r="S2131" s="263" t="s">
        <v>1991</v>
      </c>
      <c r="T2131" s="263" t="s">
        <v>932</v>
      </c>
      <c r="Y2131" s="576">
        <v>0.59908564814814813</v>
      </c>
      <c r="Z2131" s="576">
        <v>0.60984953703703704</v>
      </c>
      <c r="AA2131" s="576">
        <f t="shared" si="217"/>
        <v>1.0763888888888906E-2</v>
      </c>
      <c r="AB2131" s="722"/>
    </row>
    <row r="2132" spans="1:28" x14ac:dyDescent="0.35">
      <c r="A2132" s="81" t="s">
        <v>6117</v>
      </c>
      <c r="C2132" s="118">
        <v>43903</v>
      </c>
      <c r="D2132" s="318">
        <v>43984</v>
      </c>
      <c r="E2132" s="83">
        <v>43964</v>
      </c>
      <c r="F2132" s="88" t="s">
        <v>6171</v>
      </c>
      <c r="G2132" s="88" t="s">
        <v>158</v>
      </c>
      <c r="H2132" s="98" t="s">
        <v>220</v>
      </c>
      <c r="I2132" s="98" t="s">
        <v>649</v>
      </c>
      <c r="J2132" s="75">
        <f t="shared" si="215"/>
        <v>1</v>
      </c>
      <c r="K2132" s="263" t="s">
        <v>211</v>
      </c>
      <c r="N2132" s="78" t="s">
        <v>18</v>
      </c>
      <c r="Q2132" s="78" t="s">
        <v>2097</v>
      </c>
      <c r="R2132" s="75">
        <f t="shared" si="216"/>
        <v>1</v>
      </c>
      <c r="S2132" s="263" t="s">
        <v>1991</v>
      </c>
      <c r="T2132" s="263" t="s">
        <v>932</v>
      </c>
      <c r="Y2132" s="576">
        <v>0.61077546296296303</v>
      </c>
      <c r="Z2132" s="576">
        <v>0.62065972222222221</v>
      </c>
      <c r="AA2132" s="576">
        <f t="shared" si="217"/>
        <v>9.884259259259176E-3</v>
      </c>
      <c r="AB2132" s="722"/>
    </row>
    <row r="2133" spans="1:28" x14ac:dyDescent="0.35">
      <c r="A2133" s="81" t="s">
        <v>6126</v>
      </c>
      <c r="C2133" s="118">
        <v>43906</v>
      </c>
      <c r="D2133" s="318">
        <v>43985</v>
      </c>
      <c r="E2133" s="83">
        <v>43965</v>
      </c>
      <c r="F2133" s="88" t="s">
        <v>6180</v>
      </c>
      <c r="G2133" s="88" t="s">
        <v>195</v>
      </c>
      <c r="H2133" s="98" t="s">
        <v>220</v>
      </c>
      <c r="I2133" s="98" t="s">
        <v>649</v>
      </c>
      <c r="J2133" s="75">
        <f t="shared" si="215"/>
        <v>1</v>
      </c>
      <c r="K2133" s="263" t="s">
        <v>211</v>
      </c>
      <c r="N2133" s="78" t="s">
        <v>18</v>
      </c>
      <c r="Q2133" s="78" t="s">
        <v>2097</v>
      </c>
      <c r="R2133" s="75">
        <f t="shared" si="216"/>
        <v>1</v>
      </c>
      <c r="S2133" s="263" t="s">
        <v>1991</v>
      </c>
      <c r="T2133" s="263" t="s">
        <v>933</v>
      </c>
      <c r="Y2133" s="576">
        <v>0.90224537037037045</v>
      </c>
      <c r="Z2133" s="576">
        <v>0.90568287037037043</v>
      </c>
      <c r="AA2133" s="576">
        <f t="shared" si="217"/>
        <v>3.4374999999999822E-3</v>
      </c>
      <c r="AB2133" s="722"/>
    </row>
    <row r="2134" spans="1:28" x14ac:dyDescent="0.35">
      <c r="A2134" s="81" t="s">
        <v>6130</v>
      </c>
      <c r="C2134" s="118">
        <v>43906</v>
      </c>
      <c r="D2134" s="318">
        <v>43984</v>
      </c>
      <c r="E2134" s="83">
        <v>43964</v>
      </c>
      <c r="F2134" s="88" t="s">
        <v>6184</v>
      </c>
      <c r="G2134" s="88" t="s">
        <v>149</v>
      </c>
      <c r="H2134" s="98" t="s">
        <v>220</v>
      </c>
      <c r="I2134" s="98" t="s">
        <v>648</v>
      </c>
      <c r="J2134" s="75">
        <f t="shared" si="215"/>
        <v>1</v>
      </c>
      <c r="K2134" s="263" t="s">
        <v>211</v>
      </c>
      <c r="N2134" s="78" t="s">
        <v>18</v>
      </c>
      <c r="Q2134" s="78" t="s">
        <v>2097</v>
      </c>
      <c r="R2134" s="75">
        <f t="shared" si="216"/>
        <v>1</v>
      </c>
      <c r="S2134" s="263" t="s">
        <v>1991</v>
      </c>
      <c r="T2134" s="263" t="s">
        <v>933</v>
      </c>
      <c r="Y2134" s="576">
        <v>0.62939814814814821</v>
      </c>
      <c r="Z2134" s="576">
        <v>0.63832175925925927</v>
      </c>
      <c r="AA2134" s="576">
        <f t="shared" si="217"/>
        <v>8.9236111111110628E-3</v>
      </c>
      <c r="AB2134" s="722"/>
    </row>
    <row r="2135" spans="1:28" x14ac:dyDescent="0.35">
      <c r="A2135" s="81" t="s">
        <v>6132</v>
      </c>
      <c r="C2135" s="118">
        <v>43906</v>
      </c>
      <c r="D2135" s="318">
        <v>43985</v>
      </c>
      <c r="E2135" s="83">
        <v>43965</v>
      </c>
      <c r="F2135" s="88" t="s">
        <v>6186</v>
      </c>
      <c r="G2135" s="88" t="s">
        <v>158</v>
      </c>
      <c r="H2135" s="98" t="s">
        <v>220</v>
      </c>
      <c r="I2135" s="98" t="s">
        <v>649</v>
      </c>
      <c r="J2135" s="75">
        <f t="shared" si="215"/>
        <v>1</v>
      </c>
      <c r="K2135" s="263" t="s">
        <v>211</v>
      </c>
      <c r="N2135" s="78" t="s">
        <v>18</v>
      </c>
      <c r="Q2135" s="78" t="s">
        <v>2097</v>
      </c>
      <c r="R2135" s="75">
        <f t="shared" si="216"/>
        <v>1</v>
      </c>
      <c r="S2135" s="263" t="s">
        <v>1991</v>
      </c>
      <c r="T2135" s="263" t="s">
        <v>932</v>
      </c>
      <c r="Y2135" s="576">
        <v>0.898900462962963</v>
      </c>
      <c r="Z2135" s="576">
        <v>0.9018518518518519</v>
      </c>
      <c r="AA2135" s="576">
        <f t="shared" si="217"/>
        <v>2.9513888888889062E-3</v>
      </c>
      <c r="AB2135" s="722"/>
    </row>
    <row r="2136" spans="1:28" x14ac:dyDescent="0.35">
      <c r="A2136" s="98" t="s">
        <v>6134</v>
      </c>
      <c r="C2136" s="118">
        <v>43906</v>
      </c>
      <c r="D2136" s="318">
        <v>43985</v>
      </c>
      <c r="E2136" s="83">
        <v>43965</v>
      </c>
      <c r="F2136" s="88" t="s">
        <v>6188</v>
      </c>
      <c r="G2136" s="88" t="s">
        <v>156</v>
      </c>
      <c r="H2136" s="98" t="s">
        <v>220</v>
      </c>
      <c r="I2136" s="98" t="s">
        <v>722</v>
      </c>
      <c r="J2136" s="75">
        <f t="shared" si="215"/>
        <v>1</v>
      </c>
      <c r="K2136" s="263" t="s">
        <v>211</v>
      </c>
      <c r="L2136" s="99" t="s">
        <v>7246</v>
      </c>
      <c r="N2136" s="78" t="s">
        <v>17</v>
      </c>
      <c r="Q2136" s="78" t="s">
        <v>2097</v>
      </c>
      <c r="R2136" s="75">
        <f t="shared" si="216"/>
        <v>1</v>
      </c>
      <c r="S2136" s="263" t="s">
        <v>1991</v>
      </c>
      <c r="T2136" s="263" t="s">
        <v>934</v>
      </c>
      <c r="Y2136" s="576">
        <v>0.87771990740740735</v>
      </c>
      <c r="Z2136" s="576">
        <v>0.89866898148148155</v>
      </c>
      <c r="AA2136" s="576">
        <f t="shared" si="217"/>
        <v>2.0949074074074203E-2</v>
      </c>
      <c r="AB2136" s="722"/>
    </row>
    <row r="2137" spans="1:28" x14ac:dyDescent="0.35">
      <c r="A2137" s="81" t="s">
        <v>6263</v>
      </c>
      <c r="C2137" s="118">
        <v>43907</v>
      </c>
      <c r="D2137" s="318">
        <v>43986</v>
      </c>
      <c r="E2137" s="83">
        <v>43965</v>
      </c>
      <c r="F2137" s="88" t="s">
        <v>6329</v>
      </c>
      <c r="G2137" s="88" t="s">
        <v>154</v>
      </c>
      <c r="H2137" s="98" t="s">
        <v>220</v>
      </c>
      <c r="I2137" s="98" t="s">
        <v>7230</v>
      </c>
      <c r="J2137" s="75">
        <f t="shared" si="215"/>
        <v>1</v>
      </c>
      <c r="K2137" s="263" t="s">
        <v>211</v>
      </c>
      <c r="L2137" s="99" t="s">
        <v>7231</v>
      </c>
      <c r="N2137" s="78" t="s">
        <v>17</v>
      </c>
      <c r="Q2137" s="78" t="s">
        <v>2097</v>
      </c>
      <c r="R2137" s="75">
        <f t="shared" si="216"/>
        <v>1</v>
      </c>
      <c r="S2137" s="263" t="s">
        <v>1991</v>
      </c>
      <c r="T2137" s="263" t="s">
        <v>932</v>
      </c>
      <c r="U2137" s="304" t="s">
        <v>5592</v>
      </c>
      <c r="V2137" s="304" t="s">
        <v>7232</v>
      </c>
      <c r="Y2137" s="576">
        <v>0.53311342592592592</v>
      </c>
      <c r="Z2137" s="576">
        <v>0.57059027777777771</v>
      </c>
      <c r="AA2137" s="576">
        <f t="shared" si="217"/>
        <v>3.7476851851851789E-2</v>
      </c>
      <c r="AB2137" s="722"/>
    </row>
    <row r="2138" spans="1:28" x14ac:dyDescent="0.35">
      <c r="A2138" s="81" t="s">
        <v>6270</v>
      </c>
      <c r="C2138" s="118">
        <v>43907</v>
      </c>
      <c r="D2138" s="318">
        <v>43986</v>
      </c>
      <c r="E2138" s="83">
        <v>43965</v>
      </c>
      <c r="F2138" s="88" t="s">
        <v>6336</v>
      </c>
      <c r="G2138" s="88" t="s">
        <v>149</v>
      </c>
      <c r="H2138" s="98" t="s">
        <v>220</v>
      </c>
      <c r="I2138" s="98" t="s">
        <v>722</v>
      </c>
      <c r="J2138" s="75">
        <f t="shared" si="215"/>
        <v>1</v>
      </c>
      <c r="K2138" s="263" t="s">
        <v>211</v>
      </c>
      <c r="N2138" s="78" t="s">
        <v>17</v>
      </c>
      <c r="Q2138" s="78" t="s">
        <v>2163</v>
      </c>
      <c r="R2138" s="75">
        <f t="shared" si="216"/>
        <v>1</v>
      </c>
      <c r="S2138" s="263" t="s">
        <v>1991</v>
      </c>
      <c r="T2138" s="263" t="s">
        <v>932</v>
      </c>
      <c r="Y2138" s="576">
        <v>0.92333333333333334</v>
      </c>
      <c r="Z2138" s="576">
        <v>0.93490740740740741</v>
      </c>
      <c r="AA2138" s="576">
        <f t="shared" si="217"/>
        <v>1.157407407407407E-2</v>
      </c>
      <c r="AB2138" s="722"/>
    </row>
    <row r="2139" spans="1:28" x14ac:dyDescent="0.35">
      <c r="A2139" s="81" t="s">
        <v>7195</v>
      </c>
      <c r="C2139" s="118">
        <v>43907</v>
      </c>
      <c r="D2139" s="318">
        <v>43986</v>
      </c>
      <c r="E2139" s="83">
        <v>43965</v>
      </c>
      <c r="F2139" s="88" t="s">
        <v>7206</v>
      </c>
      <c r="G2139" s="88" t="s">
        <v>154</v>
      </c>
      <c r="H2139" s="98" t="s">
        <v>220</v>
      </c>
      <c r="I2139" s="98" t="s">
        <v>722</v>
      </c>
      <c r="J2139" s="75">
        <f t="shared" si="215"/>
        <v>1</v>
      </c>
      <c r="K2139" s="263" t="s">
        <v>211</v>
      </c>
      <c r="L2139" s="99" t="s">
        <v>7238</v>
      </c>
      <c r="N2139" s="78" t="s">
        <v>17</v>
      </c>
      <c r="Q2139" s="78" t="s">
        <v>2447</v>
      </c>
      <c r="R2139" s="75">
        <f t="shared" si="216"/>
        <v>1</v>
      </c>
      <c r="S2139" s="263" t="s">
        <v>1991</v>
      </c>
      <c r="T2139" s="263" t="s">
        <v>934</v>
      </c>
      <c r="U2139" s="304" t="s">
        <v>5592</v>
      </c>
      <c r="V2139" s="304" t="s">
        <v>7239</v>
      </c>
      <c r="Y2139" s="576">
        <v>0.81620370370370365</v>
      </c>
      <c r="Z2139" s="576">
        <v>0.83054398148148145</v>
      </c>
      <c r="AA2139" s="576">
        <f t="shared" si="217"/>
        <v>1.4340277777777799E-2</v>
      </c>
      <c r="AB2139" s="722"/>
    </row>
    <row r="2140" spans="1:28" x14ac:dyDescent="0.35">
      <c r="A2140" s="81" t="s">
        <v>6271</v>
      </c>
      <c r="C2140" s="118">
        <v>43907</v>
      </c>
      <c r="D2140" s="318">
        <v>43986</v>
      </c>
      <c r="E2140" s="83">
        <v>43969</v>
      </c>
      <c r="F2140" s="88" t="s">
        <v>6337</v>
      </c>
      <c r="G2140" s="88" t="s">
        <v>3356</v>
      </c>
      <c r="H2140" s="98" t="s">
        <v>220</v>
      </c>
      <c r="I2140" s="98" t="s">
        <v>722</v>
      </c>
      <c r="J2140" s="75">
        <f t="shared" si="215"/>
        <v>1</v>
      </c>
      <c r="K2140" s="263" t="s">
        <v>211</v>
      </c>
      <c r="N2140" s="78" t="s">
        <v>18</v>
      </c>
      <c r="Q2140" s="78" t="s">
        <v>2447</v>
      </c>
      <c r="R2140" s="75">
        <f t="shared" si="216"/>
        <v>1</v>
      </c>
      <c r="S2140" s="263" t="s">
        <v>1991</v>
      </c>
      <c r="T2140" s="263" t="s">
        <v>933</v>
      </c>
      <c r="Y2140" s="576">
        <v>0.59059027777777773</v>
      </c>
      <c r="Z2140" s="576">
        <v>0.5976041666666666</v>
      </c>
      <c r="AA2140" s="576">
        <f t="shared" si="217"/>
        <v>7.0138888888888751E-3</v>
      </c>
      <c r="AB2140" s="722"/>
    </row>
    <row r="2141" spans="1:28" x14ac:dyDescent="0.35">
      <c r="A2141" s="81" t="s">
        <v>7196</v>
      </c>
      <c r="C2141" s="118">
        <v>43907</v>
      </c>
      <c r="D2141" s="318">
        <v>43986</v>
      </c>
      <c r="E2141" s="83">
        <v>43965</v>
      </c>
      <c r="F2141" s="88" t="s">
        <v>7207</v>
      </c>
      <c r="G2141" s="88" t="s">
        <v>191</v>
      </c>
      <c r="H2141" s="98" t="s">
        <v>220</v>
      </c>
      <c r="I2141" s="98" t="s">
        <v>722</v>
      </c>
      <c r="J2141" s="75">
        <f t="shared" si="215"/>
        <v>1</v>
      </c>
      <c r="K2141" s="263" t="s">
        <v>211</v>
      </c>
      <c r="N2141" s="78" t="s">
        <v>17</v>
      </c>
      <c r="Q2141" s="78" t="s">
        <v>2163</v>
      </c>
      <c r="R2141" s="75">
        <f t="shared" si="216"/>
        <v>1</v>
      </c>
      <c r="S2141" s="263" t="s">
        <v>1991</v>
      </c>
      <c r="T2141" s="263" t="s">
        <v>934</v>
      </c>
      <c r="Y2141" s="576">
        <v>0.91287037037037033</v>
      </c>
      <c r="Z2141" s="576">
        <v>0.91835648148148152</v>
      </c>
      <c r="AA2141" s="576">
        <f t="shared" si="217"/>
        <v>5.4861111111111915E-3</v>
      </c>
      <c r="AB2141" s="722"/>
    </row>
    <row r="2142" spans="1:28" x14ac:dyDescent="0.35">
      <c r="A2142" s="81" t="s">
        <v>6273</v>
      </c>
      <c r="C2142" s="118">
        <v>43907</v>
      </c>
      <c r="D2142" s="318">
        <v>43986</v>
      </c>
      <c r="E2142" s="83">
        <v>43969</v>
      </c>
      <c r="F2142" s="88" t="s">
        <v>6339</v>
      </c>
      <c r="G2142" s="88" t="s">
        <v>152</v>
      </c>
      <c r="H2142" s="98" t="s">
        <v>220</v>
      </c>
      <c r="I2142" s="98" t="s">
        <v>6509</v>
      </c>
      <c r="J2142" s="75">
        <f t="shared" si="215"/>
        <v>1</v>
      </c>
      <c r="K2142" s="263" t="s">
        <v>211</v>
      </c>
      <c r="N2142" s="78" t="s">
        <v>17</v>
      </c>
      <c r="Q2142" s="78" t="s">
        <v>2097</v>
      </c>
      <c r="R2142" s="75">
        <f t="shared" si="216"/>
        <v>1</v>
      </c>
      <c r="S2142" s="263" t="s">
        <v>1991</v>
      </c>
      <c r="T2142" s="263" t="s">
        <v>933</v>
      </c>
      <c r="Y2142" s="576">
        <v>0.64946759259259257</v>
      </c>
      <c r="Z2142" s="576">
        <v>0.6610300925925926</v>
      </c>
      <c r="AA2142" s="576">
        <f t="shared" si="217"/>
        <v>1.1562500000000031E-2</v>
      </c>
      <c r="AB2142" s="722"/>
    </row>
    <row r="2143" spans="1:28" x14ac:dyDescent="0.35">
      <c r="A2143" s="81" t="s">
        <v>6159</v>
      </c>
      <c r="C2143" s="118">
        <v>43907</v>
      </c>
      <c r="D2143" s="318">
        <v>43985</v>
      </c>
      <c r="E2143" s="83">
        <v>43965</v>
      </c>
      <c r="F2143" s="88" t="s">
        <v>6213</v>
      </c>
      <c r="G2143" s="88" t="s">
        <v>162</v>
      </c>
      <c r="H2143" s="81" t="s">
        <v>275</v>
      </c>
      <c r="I2143" s="98" t="s">
        <v>649</v>
      </c>
      <c r="J2143" s="75">
        <f t="shared" si="215"/>
        <v>1</v>
      </c>
      <c r="K2143" s="263" t="s">
        <v>211</v>
      </c>
      <c r="L2143" s="99" t="s">
        <v>7247</v>
      </c>
      <c r="N2143" s="78" t="s">
        <v>17</v>
      </c>
      <c r="Q2143" s="78" t="s">
        <v>2163</v>
      </c>
      <c r="R2143" s="75">
        <f t="shared" si="216"/>
        <v>1</v>
      </c>
      <c r="S2143" s="263" t="s">
        <v>1991</v>
      </c>
      <c r="T2143" s="263" t="s">
        <v>934</v>
      </c>
      <c r="Y2143" s="576">
        <v>0.93582175925925926</v>
      </c>
      <c r="Z2143" s="576">
        <v>0.95287037037037037</v>
      </c>
      <c r="AA2143" s="576">
        <f t="shared" si="217"/>
        <v>1.7048611111111112E-2</v>
      </c>
      <c r="AB2143" s="722"/>
    </row>
    <row r="2144" spans="1:28" x14ac:dyDescent="0.35">
      <c r="A2144" s="81" t="s">
        <v>6275</v>
      </c>
      <c r="C2144" s="118">
        <v>43907</v>
      </c>
      <c r="D2144" s="318">
        <v>43986</v>
      </c>
      <c r="E2144" s="83">
        <v>43966</v>
      </c>
      <c r="F2144" s="88" t="s">
        <v>6341</v>
      </c>
      <c r="G2144" s="88" t="s">
        <v>149</v>
      </c>
      <c r="H2144" s="98" t="s">
        <v>220</v>
      </c>
      <c r="I2144" s="98" t="s">
        <v>649</v>
      </c>
      <c r="J2144" s="75">
        <f t="shared" si="215"/>
        <v>1</v>
      </c>
      <c r="K2144" s="263" t="s">
        <v>211</v>
      </c>
      <c r="N2144" s="78" t="s">
        <v>18</v>
      </c>
      <c r="Q2144" s="78" t="s">
        <v>2447</v>
      </c>
      <c r="R2144" s="75">
        <f t="shared" si="216"/>
        <v>1</v>
      </c>
      <c r="S2144" s="263" t="s">
        <v>1991</v>
      </c>
      <c r="T2144" s="263" t="s">
        <v>933</v>
      </c>
      <c r="Y2144" s="576">
        <v>0.76878472222222216</v>
      </c>
      <c r="Z2144" s="576">
        <v>0.77563657407407405</v>
      </c>
      <c r="AA2144" s="576">
        <f t="shared" si="217"/>
        <v>6.8518518518518867E-3</v>
      </c>
      <c r="AB2144" s="722"/>
    </row>
    <row r="2145" spans="1:28" x14ac:dyDescent="0.35">
      <c r="A2145" s="81" t="s">
        <v>6276</v>
      </c>
      <c r="C2145" s="118">
        <v>43908</v>
      </c>
      <c r="D2145" s="318">
        <v>43987</v>
      </c>
      <c r="E2145" s="83">
        <v>43964</v>
      </c>
      <c r="F2145" s="88" t="s">
        <v>6342</v>
      </c>
      <c r="G2145" s="88" t="s">
        <v>152</v>
      </c>
      <c r="H2145" s="98" t="s">
        <v>220</v>
      </c>
      <c r="I2145" s="98" t="s">
        <v>722</v>
      </c>
      <c r="J2145" s="75">
        <f t="shared" si="215"/>
        <v>1</v>
      </c>
      <c r="K2145" s="263" t="s">
        <v>211</v>
      </c>
      <c r="N2145" s="78" t="s">
        <v>17</v>
      </c>
      <c r="Q2145" s="78" t="s">
        <v>2130</v>
      </c>
      <c r="R2145" s="75">
        <f t="shared" si="216"/>
        <v>1</v>
      </c>
      <c r="S2145" s="263" t="s">
        <v>1991</v>
      </c>
      <c r="T2145" s="263" t="s">
        <v>934</v>
      </c>
      <c r="Y2145" s="576">
        <v>0.75187500000000007</v>
      </c>
      <c r="Z2145" s="576">
        <v>0.75789351851851849</v>
      </c>
      <c r="AA2145" s="576">
        <f t="shared" si="217"/>
        <v>6.0185185185184231E-3</v>
      </c>
      <c r="AB2145" s="722"/>
    </row>
    <row r="2146" spans="1:28" x14ac:dyDescent="0.35">
      <c r="A2146" s="81" t="s">
        <v>6278</v>
      </c>
      <c r="C2146" s="118">
        <v>43908</v>
      </c>
      <c r="D2146" s="318">
        <v>43987</v>
      </c>
      <c r="E2146" s="83">
        <v>43969</v>
      </c>
      <c r="F2146" s="88" t="s">
        <v>6344</v>
      </c>
      <c r="G2146" s="88" t="s">
        <v>158</v>
      </c>
      <c r="H2146" s="98" t="s">
        <v>220</v>
      </c>
      <c r="I2146" s="98" t="s">
        <v>730</v>
      </c>
      <c r="J2146" s="75">
        <f t="shared" si="215"/>
        <v>1</v>
      </c>
      <c r="K2146" s="263" t="s">
        <v>211</v>
      </c>
      <c r="N2146" s="78" t="s">
        <v>17</v>
      </c>
      <c r="Q2146" s="78" t="s">
        <v>2097</v>
      </c>
      <c r="R2146" s="75">
        <f t="shared" si="216"/>
        <v>1</v>
      </c>
      <c r="S2146" s="263" t="s">
        <v>1991</v>
      </c>
      <c r="T2146" s="263" t="s">
        <v>933</v>
      </c>
      <c r="U2146" s="304" t="s">
        <v>5592</v>
      </c>
      <c r="V2146" s="304" t="s">
        <v>7264</v>
      </c>
      <c r="Y2146" s="576">
        <v>0.64123842592592595</v>
      </c>
      <c r="Z2146" s="576">
        <v>0.64857638888888891</v>
      </c>
      <c r="AA2146" s="576">
        <f t="shared" si="217"/>
        <v>7.3379629629629628E-3</v>
      </c>
      <c r="AB2146" s="722"/>
    </row>
    <row r="2147" spans="1:28" x14ac:dyDescent="0.35">
      <c r="A2147" s="81" t="s">
        <v>6282</v>
      </c>
      <c r="C2147" s="118">
        <v>43908</v>
      </c>
      <c r="D2147" s="318">
        <v>43987</v>
      </c>
      <c r="E2147" s="83">
        <v>43969</v>
      </c>
      <c r="F2147" s="88" t="s">
        <v>6347</v>
      </c>
      <c r="G2147" s="88" t="s">
        <v>3866</v>
      </c>
      <c r="H2147" s="98" t="s">
        <v>220</v>
      </c>
      <c r="I2147" s="98" t="s">
        <v>722</v>
      </c>
      <c r="J2147" s="75">
        <f t="shared" si="215"/>
        <v>1</v>
      </c>
      <c r="K2147" s="263" t="s">
        <v>211</v>
      </c>
      <c r="N2147" s="78" t="s">
        <v>17</v>
      </c>
      <c r="Q2147" s="78" t="s">
        <v>2447</v>
      </c>
      <c r="R2147" s="75">
        <f t="shared" si="216"/>
        <v>1</v>
      </c>
      <c r="S2147" s="263" t="s">
        <v>1991</v>
      </c>
      <c r="T2147" s="263" t="s">
        <v>932</v>
      </c>
      <c r="Y2147" s="576">
        <v>0.56350694444444438</v>
      </c>
      <c r="Z2147" s="576">
        <v>0.57226851851851845</v>
      </c>
      <c r="AA2147" s="576">
        <f t="shared" si="217"/>
        <v>8.7615740740740744E-3</v>
      </c>
      <c r="AB2147" s="722"/>
    </row>
    <row r="2148" spans="1:28" x14ac:dyDescent="0.35">
      <c r="A2148" s="81" t="s">
        <v>6286</v>
      </c>
      <c r="C2148" s="118">
        <v>43908</v>
      </c>
      <c r="D2148" s="318">
        <v>43987</v>
      </c>
      <c r="E2148" s="83">
        <v>43969</v>
      </c>
      <c r="F2148" s="88" t="s">
        <v>6351</v>
      </c>
      <c r="G2148" s="88" t="s">
        <v>158</v>
      </c>
      <c r="H2148" s="98" t="s">
        <v>220</v>
      </c>
      <c r="I2148" s="98" t="s">
        <v>722</v>
      </c>
      <c r="J2148" s="75">
        <f t="shared" si="215"/>
        <v>1</v>
      </c>
      <c r="K2148" s="263" t="s">
        <v>211</v>
      </c>
      <c r="N2148" s="78" t="s">
        <v>17</v>
      </c>
      <c r="Q2148" s="78" t="s">
        <v>2097</v>
      </c>
      <c r="R2148" s="75">
        <f t="shared" si="216"/>
        <v>1</v>
      </c>
      <c r="S2148" s="263" t="s">
        <v>1991</v>
      </c>
      <c r="T2148" s="263" t="s">
        <v>934</v>
      </c>
      <c r="Y2148" s="576">
        <v>0.63664351851851853</v>
      </c>
      <c r="Z2148" s="576">
        <v>0.64106481481481481</v>
      </c>
      <c r="AA2148" s="576">
        <f t="shared" si="217"/>
        <v>4.4212962962962843E-3</v>
      </c>
      <c r="AB2148" s="722"/>
    </row>
    <row r="2149" spans="1:28" x14ac:dyDescent="0.35">
      <c r="A2149" s="81" t="s">
        <v>7197</v>
      </c>
      <c r="C2149" s="118">
        <v>43908</v>
      </c>
      <c r="D2149" s="318">
        <v>43987</v>
      </c>
      <c r="E2149" s="83">
        <v>43966</v>
      </c>
      <c r="F2149" s="88" t="s">
        <v>7208</v>
      </c>
      <c r="G2149" s="88" t="s">
        <v>152</v>
      </c>
      <c r="H2149" s="98" t="s">
        <v>220</v>
      </c>
      <c r="I2149" s="98" t="s">
        <v>722</v>
      </c>
      <c r="J2149" s="75">
        <f t="shared" si="215"/>
        <v>1</v>
      </c>
      <c r="K2149" s="263" t="s">
        <v>211</v>
      </c>
      <c r="N2149" s="78" t="s">
        <v>17</v>
      </c>
      <c r="Q2149" s="78" t="s">
        <v>2163</v>
      </c>
      <c r="R2149" s="75">
        <f t="shared" si="216"/>
        <v>1</v>
      </c>
      <c r="S2149" s="263" t="s">
        <v>1991</v>
      </c>
      <c r="T2149" s="263" t="s">
        <v>932</v>
      </c>
      <c r="Y2149" s="576">
        <v>0.74769675925925927</v>
      </c>
      <c r="Z2149" s="576">
        <v>0.76489583333333344</v>
      </c>
      <c r="AA2149" s="576">
        <f t="shared" si="217"/>
        <v>1.7199074074074172E-2</v>
      </c>
      <c r="AB2149" s="722"/>
    </row>
    <row r="2150" spans="1:28" x14ac:dyDescent="0.35">
      <c r="A2150" s="81" t="s">
        <v>7198</v>
      </c>
      <c r="C2150" s="118">
        <v>43908</v>
      </c>
      <c r="D2150" s="318">
        <v>43987</v>
      </c>
      <c r="E2150" s="83">
        <v>43969</v>
      </c>
      <c r="F2150" s="88" t="s">
        <v>7209</v>
      </c>
      <c r="G2150" s="88" t="s">
        <v>162</v>
      </c>
      <c r="H2150" s="98" t="s">
        <v>220</v>
      </c>
      <c r="I2150" s="98" t="s">
        <v>648</v>
      </c>
      <c r="J2150" s="75">
        <f t="shared" si="215"/>
        <v>1</v>
      </c>
      <c r="K2150" s="263" t="s">
        <v>211</v>
      </c>
      <c r="N2150" s="78" t="s">
        <v>18</v>
      </c>
      <c r="Q2150" s="78" t="s">
        <v>2163</v>
      </c>
      <c r="R2150" s="75">
        <f t="shared" si="216"/>
        <v>1</v>
      </c>
      <c r="S2150" s="263" t="s">
        <v>1991</v>
      </c>
      <c r="T2150" s="263" t="s">
        <v>932</v>
      </c>
      <c r="Y2150" s="576">
        <v>0.44318287037037035</v>
      </c>
      <c r="Z2150" s="576">
        <v>0.44881944444444444</v>
      </c>
      <c r="AA2150" s="576">
        <f t="shared" si="217"/>
        <v>5.6365740740740855E-3</v>
      </c>
      <c r="AB2150" s="722"/>
    </row>
    <row r="2151" spans="1:28" x14ac:dyDescent="0.35">
      <c r="A2151" s="81" t="s">
        <v>6289</v>
      </c>
      <c r="C2151" s="118">
        <v>43908</v>
      </c>
      <c r="D2151" s="318">
        <v>43987</v>
      </c>
      <c r="E2151" s="83">
        <v>43969</v>
      </c>
      <c r="F2151" s="88" t="s">
        <v>6354</v>
      </c>
      <c r="G2151" s="88" t="s">
        <v>162</v>
      </c>
      <c r="H2151" s="98" t="s">
        <v>220</v>
      </c>
      <c r="I2151" s="98" t="s">
        <v>648</v>
      </c>
      <c r="J2151" s="75">
        <f t="shared" si="215"/>
        <v>1</v>
      </c>
      <c r="K2151" s="263" t="s">
        <v>211</v>
      </c>
      <c r="N2151" s="78" t="s">
        <v>17</v>
      </c>
      <c r="Q2151" s="78" t="s">
        <v>2447</v>
      </c>
      <c r="R2151" s="75">
        <f t="shared" si="216"/>
        <v>1</v>
      </c>
      <c r="S2151" s="263" t="s">
        <v>1991</v>
      </c>
      <c r="T2151" s="263" t="s">
        <v>933</v>
      </c>
      <c r="Y2151" s="576">
        <v>0.58321759259259254</v>
      </c>
      <c r="Z2151" s="576">
        <v>0.59024305555555556</v>
      </c>
      <c r="AA2151" s="576">
        <f t="shared" si="217"/>
        <v>7.025462962963025E-3</v>
      </c>
      <c r="AB2151" s="722"/>
    </row>
    <row r="2152" spans="1:28" x14ac:dyDescent="0.35">
      <c r="A2152" s="81" t="s">
        <v>6296</v>
      </c>
      <c r="C2152" s="118">
        <v>43909</v>
      </c>
      <c r="D2152" s="318">
        <v>43990</v>
      </c>
      <c r="E2152" s="83">
        <v>43969</v>
      </c>
      <c r="F2152" s="88" t="s">
        <v>6361</v>
      </c>
      <c r="G2152" s="88" t="s">
        <v>149</v>
      </c>
      <c r="H2152" s="98" t="s">
        <v>220</v>
      </c>
      <c r="I2152" s="98" t="s">
        <v>730</v>
      </c>
      <c r="J2152" s="75">
        <f t="shared" si="215"/>
        <v>1</v>
      </c>
      <c r="K2152" s="263" t="s">
        <v>211</v>
      </c>
      <c r="N2152" s="78" t="s">
        <v>18</v>
      </c>
      <c r="Q2152" s="78" t="s">
        <v>2163</v>
      </c>
      <c r="R2152" s="75">
        <f t="shared" si="216"/>
        <v>1</v>
      </c>
      <c r="S2152" s="263" t="s">
        <v>1991</v>
      </c>
      <c r="T2152" s="263" t="s">
        <v>933</v>
      </c>
      <c r="Y2152" s="576">
        <v>0.43365740740740738</v>
      </c>
      <c r="Z2152" s="576">
        <v>0.44292824074074072</v>
      </c>
      <c r="AA2152" s="576">
        <f t="shared" si="217"/>
        <v>9.2708333333333393E-3</v>
      </c>
      <c r="AB2152" s="722"/>
    </row>
    <row r="2153" spans="1:28" x14ac:dyDescent="0.35">
      <c r="A2153" s="81" t="s">
        <v>6298</v>
      </c>
      <c r="C2153" s="118">
        <v>43909</v>
      </c>
      <c r="D2153" s="318">
        <v>43990</v>
      </c>
      <c r="E2153" s="83">
        <v>43964</v>
      </c>
      <c r="F2153" s="88" t="s">
        <v>6363</v>
      </c>
      <c r="G2153" s="88" t="s">
        <v>162</v>
      </c>
      <c r="H2153" s="98" t="s">
        <v>220</v>
      </c>
      <c r="I2153" s="98" t="s">
        <v>722</v>
      </c>
      <c r="J2153" s="75">
        <f t="shared" si="215"/>
        <v>1</v>
      </c>
      <c r="K2153" s="263" t="s">
        <v>211</v>
      </c>
      <c r="N2153" s="78" t="s">
        <v>17</v>
      </c>
      <c r="Q2153" s="78" t="s">
        <v>2130</v>
      </c>
      <c r="R2153" s="75">
        <f t="shared" si="216"/>
        <v>1</v>
      </c>
      <c r="S2153" s="263" t="s">
        <v>1991</v>
      </c>
      <c r="T2153" s="263" t="s">
        <v>933</v>
      </c>
      <c r="Y2153" s="576">
        <v>0.76042824074074078</v>
      </c>
      <c r="Z2153" s="576">
        <v>0.76949074074074064</v>
      </c>
      <c r="AA2153" s="576">
        <f t="shared" si="217"/>
        <v>9.0624999999998623E-3</v>
      </c>
      <c r="AB2153" s="722"/>
    </row>
    <row r="2154" spans="1:28" x14ac:dyDescent="0.35">
      <c r="A2154" s="81" t="s">
        <v>6299</v>
      </c>
      <c r="C2154" s="118">
        <v>43909</v>
      </c>
      <c r="D2154" s="318">
        <v>43990</v>
      </c>
      <c r="E2154" s="83">
        <v>43969</v>
      </c>
      <c r="F2154" s="88" t="s">
        <v>6364</v>
      </c>
      <c r="G2154" s="88" t="s">
        <v>154</v>
      </c>
      <c r="H2154" s="98" t="s">
        <v>220</v>
      </c>
      <c r="I2154" s="98" t="s">
        <v>649</v>
      </c>
      <c r="J2154" s="75">
        <f t="shared" si="215"/>
        <v>1</v>
      </c>
      <c r="K2154" s="263" t="s">
        <v>211</v>
      </c>
      <c r="N2154" s="78" t="s">
        <v>18</v>
      </c>
      <c r="Q2154" s="78" t="s">
        <v>2163</v>
      </c>
      <c r="R2154" s="75">
        <f t="shared" si="216"/>
        <v>1</v>
      </c>
      <c r="S2154" s="263" t="s">
        <v>1991</v>
      </c>
      <c r="T2154" s="263" t="s">
        <v>934</v>
      </c>
      <c r="Y2154" s="576">
        <v>0.41972222222222227</v>
      </c>
      <c r="Z2154" s="576">
        <v>0.42818287037037034</v>
      </c>
      <c r="AA2154" s="576">
        <f t="shared" si="217"/>
        <v>8.4606481481480644E-3</v>
      </c>
      <c r="AB2154" s="722"/>
    </row>
    <row r="2155" spans="1:28" x14ac:dyDescent="0.35">
      <c r="A2155" s="81" t="s">
        <v>6303</v>
      </c>
      <c r="C2155" s="118">
        <v>43909</v>
      </c>
      <c r="D2155" s="318">
        <v>43990</v>
      </c>
      <c r="E2155" s="83">
        <v>43965</v>
      </c>
      <c r="F2155" s="88" t="s">
        <v>6368</v>
      </c>
      <c r="G2155" s="88" t="s">
        <v>152</v>
      </c>
      <c r="H2155" s="98" t="s">
        <v>220</v>
      </c>
      <c r="I2155" s="98" t="s">
        <v>722</v>
      </c>
      <c r="J2155" s="75">
        <f t="shared" si="215"/>
        <v>1</v>
      </c>
      <c r="K2155" s="263" t="s">
        <v>211</v>
      </c>
      <c r="L2155" s="99" t="s">
        <v>7229</v>
      </c>
      <c r="N2155" s="78" t="s">
        <v>17</v>
      </c>
      <c r="Q2155" s="78" t="s">
        <v>2130</v>
      </c>
      <c r="R2155" s="75">
        <f t="shared" si="216"/>
        <v>1</v>
      </c>
      <c r="S2155" s="263" t="s">
        <v>1991</v>
      </c>
      <c r="T2155" s="263"/>
      <c r="Y2155" s="576">
        <v>0.46203703703703702</v>
      </c>
      <c r="Z2155" s="576">
        <v>0.48136574074074073</v>
      </c>
      <c r="AA2155" s="576">
        <f t="shared" si="217"/>
        <v>1.9328703703703709E-2</v>
      </c>
      <c r="AB2155" s="722"/>
    </row>
    <row r="2156" spans="1:28" x14ac:dyDescent="0.35">
      <c r="A2156" s="81" t="s">
        <v>6305</v>
      </c>
      <c r="C2156" s="118">
        <v>43909</v>
      </c>
      <c r="D2156" s="318">
        <v>43990</v>
      </c>
      <c r="E2156" s="83">
        <v>43965</v>
      </c>
      <c r="F2156" s="88" t="s">
        <v>6370</v>
      </c>
      <c r="G2156" s="88" t="s">
        <v>176</v>
      </c>
      <c r="H2156" s="98" t="s">
        <v>220</v>
      </c>
      <c r="I2156" s="98" t="s">
        <v>722</v>
      </c>
      <c r="J2156" s="75">
        <f t="shared" si="215"/>
        <v>1</v>
      </c>
      <c r="K2156" s="263" t="s">
        <v>211</v>
      </c>
      <c r="N2156" s="78" t="s">
        <v>17</v>
      </c>
      <c r="Q2156" s="78" t="s">
        <v>2130</v>
      </c>
      <c r="R2156" s="75">
        <f t="shared" si="216"/>
        <v>1</v>
      </c>
      <c r="S2156" s="263" t="s">
        <v>1991</v>
      </c>
      <c r="T2156" s="263" t="s">
        <v>933</v>
      </c>
      <c r="Y2156" s="576">
        <v>0.44953703703703707</v>
      </c>
      <c r="Z2156" s="576">
        <v>0.46054398148148151</v>
      </c>
      <c r="AA2156" s="576">
        <f t="shared" si="217"/>
        <v>1.1006944444444444E-2</v>
      </c>
      <c r="AB2156" s="722"/>
    </row>
    <row r="2157" spans="1:28" x14ac:dyDescent="0.35">
      <c r="A2157" s="81" t="s">
        <v>6307</v>
      </c>
      <c r="C2157" s="118">
        <v>43909</v>
      </c>
      <c r="D2157" s="318">
        <v>43990</v>
      </c>
      <c r="E2157" s="83">
        <v>43969</v>
      </c>
      <c r="F2157" s="88" t="s">
        <v>6372</v>
      </c>
      <c r="G2157" s="88" t="s">
        <v>149</v>
      </c>
      <c r="H2157" s="98" t="s">
        <v>220</v>
      </c>
      <c r="I2157" s="98" t="s">
        <v>652</v>
      </c>
      <c r="J2157" s="75">
        <f t="shared" si="215"/>
        <v>1</v>
      </c>
      <c r="K2157" s="263" t="s">
        <v>211</v>
      </c>
      <c r="L2157" s="99" t="s">
        <v>7259</v>
      </c>
      <c r="N2157" s="78" t="s">
        <v>17</v>
      </c>
      <c r="Q2157" s="78" t="s">
        <v>2163</v>
      </c>
      <c r="R2157" s="75">
        <f t="shared" si="216"/>
        <v>1</v>
      </c>
      <c r="S2157" s="263" t="s">
        <v>1991</v>
      </c>
      <c r="T2157" s="263" t="s">
        <v>933</v>
      </c>
      <c r="Y2157" s="576">
        <v>0.40521990740740743</v>
      </c>
      <c r="Z2157" s="576">
        <v>0.41952546296296295</v>
      </c>
      <c r="AA2157" s="576">
        <f t="shared" si="217"/>
        <v>1.4305555555555516E-2</v>
      </c>
      <c r="AB2157" s="722"/>
    </row>
    <row r="2158" spans="1:28" x14ac:dyDescent="0.35">
      <c r="A2158" s="81" t="s">
        <v>7199</v>
      </c>
      <c r="C2158" s="118">
        <v>43909</v>
      </c>
      <c r="D2158" s="318">
        <v>43990</v>
      </c>
      <c r="E2158" s="83">
        <v>43969</v>
      </c>
      <c r="F2158" s="88" t="s">
        <v>7210</v>
      </c>
      <c r="G2158" s="88" t="s">
        <v>156</v>
      </c>
      <c r="H2158" s="98" t="s">
        <v>220</v>
      </c>
      <c r="I2158" s="98" t="s">
        <v>722</v>
      </c>
      <c r="J2158" s="75">
        <f t="shared" si="215"/>
        <v>1</v>
      </c>
      <c r="K2158" s="263" t="s">
        <v>211</v>
      </c>
      <c r="N2158" s="78" t="s">
        <v>18</v>
      </c>
      <c r="Q2158" s="78" t="s">
        <v>2097</v>
      </c>
      <c r="R2158" s="75">
        <f t="shared" si="216"/>
        <v>1</v>
      </c>
      <c r="S2158" s="263" t="s">
        <v>1991</v>
      </c>
      <c r="T2158" s="263" t="s">
        <v>933</v>
      </c>
      <c r="Y2158" s="576">
        <v>0.62971064814814814</v>
      </c>
      <c r="Z2158" s="576">
        <v>0.63601851851851854</v>
      </c>
      <c r="AA2158" s="576">
        <f t="shared" si="217"/>
        <v>6.3078703703703942E-3</v>
      </c>
      <c r="AB2158" s="722"/>
    </row>
    <row r="2159" spans="1:28" x14ac:dyDescent="0.35">
      <c r="A2159" s="81" t="s">
        <v>7200</v>
      </c>
      <c r="C2159" s="118">
        <v>43910</v>
      </c>
      <c r="D2159" s="318">
        <v>43990</v>
      </c>
      <c r="E2159" s="83">
        <v>43969</v>
      </c>
      <c r="F2159" s="88" t="s">
        <v>7211</v>
      </c>
      <c r="G2159" s="88" t="s">
        <v>162</v>
      </c>
      <c r="H2159" s="98" t="s">
        <v>220</v>
      </c>
      <c r="I2159" s="98" t="s">
        <v>722</v>
      </c>
      <c r="J2159" s="75">
        <f t="shared" si="215"/>
        <v>1</v>
      </c>
      <c r="K2159" s="263" t="s">
        <v>211</v>
      </c>
      <c r="N2159" s="78" t="s">
        <v>17</v>
      </c>
      <c r="Q2159" s="78" t="s">
        <v>2447</v>
      </c>
      <c r="R2159" s="75">
        <f t="shared" si="216"/>
        <v>1</v>
      </c>
      <c r="S2159" s="263" t="s">
        <v>1991</v>
      </c>
      <c r="T2159" s="263" t="s">
        <v>933</v>
      </c>
      <c r="Y2159" s="576">
        <v>0.57256944444444446</v>
      </c>
      <c r="Z2159" s="576">
        <v>0.58292824074074068</v>
      </c>
      <c r="AA2159" s="576">
        <f t="shared" si="217"/>
        <v>1.0358796296296213E-2</v>
      </c>
      <c r="AB2159" s="722"/>
    </row>
    <row r="2160" spans="1:28" x14ac:dyDescent="0.35">
      <c r="A2160" s="81" t="s">
        <v>6405</v>
      </c>
      <c r="C2160" s="118">
        <v>43910</v>
      </c>
      <c r="D2160" s="318">
        <v>43991</v>
      </c>
      <c r="E2160" s="83">
        <v>43964</v>
      </c>
      <c r="F2160" s="88" t="s">
        <v>6447</v>
      </c>
      <c r="G2160" s="88" t="s">
        <v>162</v>
      </c>
      <c r="H2160" s="98" t="s">
        <v>220</v>
      </c>
      <c r="I2160" s="98" t="s">
        <v>722</v>
      </c>
      <c r="J2160" s="75">
        <f t="shared" si="215"/>
        <v>1</v>
      </c>
      <c r="K2160" s="263" t="s">
        <v>211</v>
      </c>
      <c r="N2160" s="78" t="s">
        <v>17</v>
      </c>
      <c r="Q2160" s="78" t="s">
        <v>2056</v>
      </c>
      <c r="R2160" s="75">
        <f t="shared" si="216"/>
        <v>1</v>
      </c>
      <c r="S2160" s="263" t="s">
        <v>1991</v>
      </c>
      <c r="T2160" s="263" t="s">
        <v>932</v>
      </c>
      <c r="Y2160" s="576">
        <v>0.70013888888888898</v>
      </c>
      <c r="Z2160" s="576">
        <v>0.71178240740740739</v>
      </c>
      <c r="AA2160" s="576">
        <f t="shared" si="217"/>
        <v>1.1643518518518414E-2</v>
      </c>
      <c r="AB2160" s="722"/>
    </row>
    <row r="2161" spans="1:28" x14ac:dyDescent="0.35">
      <c r="A2161" s="81" t="s">
        <v>7201</v>
      </c>
      <c r="C2161" s="118">
        <v>43910</v>
      </c>
      <c r="D2161" s="318">
        <v>43990</v>
      </c>
      <c r="E2161" s="83">
        <v>43969</v>
      </c>
      <c r="F2161" s="88" t="s">
        <v>7212</v>
      </c>
      <c r="G2161" s="88" t="s">
        <v>3356</v>
      </c>
      <c r="H2161" s="98" t="s">
        <v>220</v>
      </c>
      <c r="I2161" s="98" t="s">
        <v>722</v>
      </c>
      <c r="J2161" s="75">
        <f t="shared" si="215"/>
        <v>1</v>
      </c>
      <c r="K2161" s="263" t="s">
        <v>211</v>
      </c>
      <c r="N2161" s="78" t="s">
        <v>17</v>
      </c>
      <c r="Q2161" s="78" t="s">
        <v>2447</v>
      </c>
      <c r="R2161" s="75">
        <f t="shared" si="216"/>
        <v>1</v>
      </c>
      <c r="S2161" s="263" t="s">
        <v>1991</v>
      </c>
      <c r="T2161" s="263" t="s">
        <v>934</v>
      </c>
      <c r="Y2161" s="576">
        <v>0.55459490740740736</v>
      </c>
      <c r="Z2161" s="576">
        <v>0.56329861111111112</v>
      </c>
      <c r="AA2161" s="576">
        <f t="shared" si="217"/>
        <v>8.703703703703769E-3</v>
      </c>
      <c r="AB2161" s="722"/>
    </row>
    <row r="2162" spans="1:28" x14ac:dyDescent="0.35">
      <c r="A2162" s="81" t="s">
        <v>6407</v>
      </c>
      <c r="C2162" s="118">
        <v>43910</v>
      </c>
      <c r="D2162" s="318">
        <v>43991</v>
      </c>
      <c r="E2162" s="83">
        <v>43969</v>
      </c>
      <c r="F2162" s="88" t="s">
        <v>6449</v>
      </c>
      <c r="G2162" s="88" t="s">
        <v>154</v>
      </c>
      <c r="H2162" s="98" t="s">
        <v>220</v>
      </c>
      <c r="I2162" s="98" t="s">
        <v>5215</v>
      </c>
      <c r="J2162" s="75">
        <f t="shared" si="215"/>
        <v>1</v>
      </c>
      <c r="K2162" s="263" t="s">
        <v>211</v>
      </c>
      <c r="N2162" s="78" t="s">
        <v>19</v>
      </c>
      <c r="Q2162" s="78" t="s">
        <v>2130</v>
      </c>
      <c r="R2162" s="75">
        <f t="shared" si="216"/>
        <v>1</v>
      </c>
      <c r="S2162" s="263" t="s">
        <v>1991</v>
      </c>
      <c r="T2162" s="263" t="s">
        <v>933</v>
      </c>
      <c r="Y2162" s="576">
        <v>0.49859953703703702</v>
      </c>
      <c r="Z2162" s="576">
        <v>0.50160879629629629</v>
      </c>
      <c r="AA2162" s="576">
        <f t="shared" si="217"/>
        <v>3.0092592592592671E-3</v>
      </c>
      <c r="AB2162" s="722"/>
    </row>
    <row r="2163" spans="1:28" x14ac:dyDescent="0.35">
      <c r="A2163" s="81" t="s">
        <v>6408</v>
      </c>
      <c r="C2163" s="118">
        <v>43910</v>
      </c>
      <c r="D2163" s="318">
        <v>43991</v>
      </c>
      <c r="E2163" s="83">
        <v>43969</v>
      </c>
      <c r="F2163" s="88" t="s">
        <v>6450</v>
      </c>
      <c r="G2163" s="88" t="s">
        <v>193</v>
      </c>
      <c r="H2163" s="98" t="s">
        <v>220</v>
      </c>
      <c r="I2163" s="98" t="s">
        <v>649</v>
      </c>
      <c r="J2163" s="75">
        <f t="shared" si="215"/>
        <v>1</v>
      </c>
      <c r="K2163" s="263" t="s">
        <v>211</v>
      </c>
      <c r="N2163" s="78" t="s">
        <v>18</v>
      </c>
      <c r="Q2163" s="78" t="s">
        <v>2130</v>
      </c>
      <c r="R2163" s="75">
        <f t="shared" si="216"/>
        <v>1</v>
      </c>
      <c r="S2163" s="263" t="s">
        <v>1991</v>
      </c>
      <c r="T2163" s="263" t="s">
        <v>932</v>
      </c>
      <c r="Y2163" s="576">
        <v>0.49261574074074077</v>
      </c>
      <c r="Z2163" s="576">
        <v>0.49774305555555554</v>
      </c>
      <c r="AA2163" s="576">
        <f t="shared" si="217"/>
        <v>5.1273148148147651E-3</v>
      </c>
      <c r="AB2163" s="722"/>
    </row>
    <row r="2164" spans="1:28" x14ac:dyDescent="0.35">
      <c r="A2164" s="81" t="s">
        <v>6409</v>
      </c>
      <c r="C2164" s="118">
        <v>43910</v>
      </c>
      <c r="D2164" s="318">
        <v>43991</v>
      </c>
      <c r="E2164" s="83">
        <v>43964</v>
      </c>
      <c r="F2164" s="88" t="s">
        <v>6451</v>
      </c>
      <c r="G2164" s="88" t="s">
        <v>158</v>
      </c>
      <c r="H2164" s="98" t="s">
        <v>220</v>
      </c>
      <c r="I2164" s="98" t="s">
        <v>722</v>
      </c>
      <c r="J2164" s="75">
        <f t="shared" si="215"/>
        <v>1</v>
      </c>
      <c r="K2164" s="263" t="s">
        <v>211</v>
      </c>
      <c r="N2164" s="78" t="s">
        <v>17</v>
      </c>
      <c r="Q2164" s="78" t="s">
        <v>2056</v>
      </c>
      <c r="R2164" s="75">
        <f t="shared" si="216"/>
        <v>1</v>
      </c>
      <c r="S2164" s="263" t="s">
        <v>1991</v>
      </c>
      <c r="T2164" s="263" t="s">
        <v>934</v>
      </c>
      <c r="U2164" s="304" t="s">
        <v>5592</v>
      </c>
      <c r="V2164" s="304" t="s">
        <v>7226</v>
      </c>
      <c r="Y2164" s="576">
        <v>0.72101851851851861</v>
      </c>
      <c r="Z2164" s="576">
        <v>0.73878472222222225</v>
      </c>
      <c r="AA2164" s="576">
        <f t="shared" si="217"/>
        <v>1.7766203703703631E-2</v>
      </c>
      <c r="AB2164" s="722"/>
    </row>
    <row r="2165" spans="1:28" x14ac:dyDescent="0.35">
      <c r="A2165" s="81" t="s">
        <v>6411</v>
      </c>
      <c r="C2165" s="118">
        <v>43910</v>
      </c>
      <c r="D2165" s="318">
        <v>43991</v>
      </c>
      <c r="E2165" s="83">
        <v>43969</v>
      </c>
      <c r="F2165" s="88" t="s">
        <v>6453</v>
      </c>
      <c r="G2165" s="88" t="s">
        <v>158</v>
      </c>
      <c r="H2165" s="98" t="s">
        <v>220</v>
      </c>
      <c r="I2165" s="98" t="s">
        <v>648</v>
      </c>
      <c r="J2165" s="75">
        <f t="shared" si="215"/>
        <v>1</v>
      </c>
      <c r="K2165" s="263" t="s">
        <v>211</v>
      </c>
      <c r="N2165" s="78" t="s">
        <v>17</v>
      </c>
      <c r="Q2165" s="78" t="s">
        <v>2097</v>
      </c>
      <c r="R2165" s="75">
        <f t="shared" si="216"/>
        <v>1</v>
      </c>
      <c r="S2165" s="263" t="s">
        <v>1991</v>
      </c>
      <c r="T2165" s="263" t="s">
        <v>932</v>
      </c>
      <c r="Y2165" s="576">
        <v>0.6246990740740741</v>
      </c>
      <c r="Z2165" s="576">
        <v>0.62905092592592593</v>
      </c>
      <c r="AA2165" s="576">
        <f t="shared" si="217"/>
        <v>4.351851851851829E-3</v>
      </c>
      <c r="AB2165" s="722"/>
    </row>
    <row r="2166" spans="1:28" x14ac:dyDescent="0.35">
      <c r="A2166" s="81" t="s">
        <v>6413</v>
      </c>
      <c r="C2166" s="118">
        <v>43913</v>
      </c>
      <c r="D2166" s="318">
        <v>43992</v>
      </c>
      <c r="E2166" s="83">
        <v>43964</v>
      </c>
      <c r="F2166" s="88" t="s">
        <v>6455</v>
      </c>
      <c r="G2166" s="88" t="s">
        <v>179</v>
      </c>
      <c r="H2166" s="98" t="s">
        <v>220</v>
      </c>
      <c r="I2166" s="98" t="s">
        <v>652</v>
      </c>
      <c r="J2166" s="75">
        <f t="shared" si="215"/>
        <v>1</v>
      </c>
      <c r="K2166" s="263" t="s">
        <v>211</v>
      </c>
      <c r="N2166" s="78" t="s">
        <v>17</v>
      </c>
      <c r="Q2166" s="78" t="s">
        <v>2056</v>
      </c>
      <c r="R2166" s="75">
        <f t="shared" si="216"/>
        <v>1</v>
      </c>
      <c r="S2166" s="263" t="s">
        <v>1991</v>
      </c>
      <c r="T2166" s="263" t="s">
        <v>934</v>
      </c>
      <c r="Y2166" s="576">
        <v>0.66918981481481488</v>
      </c>
      <c r="Z2166" s="576">
        <v>0.6790856481481482</v>
      </c>
      <c r="AA2166" s="576">
        <f t="shared" si="217"/>
        <v>9.8958333333333259E-3</v>
      </c>
      <c r="AB2166" s="722"/>
    </row>
    <row r="2167" spans="1:28" x14ac:dyDescent="0.35">
      <c r="A2167" s="81" t="s">
        <v>6416</v>
      </c>
      <c r="C2167" s="118">
        <v>43913</v>
      </c>
      <c r="D2167" s="318">
        <v>43992</v>
      </c>
      <c r="E2167" s="83">
        <v>43970</v>
      </c>
      <c r="F2167" s="88" t="s">
        <v>6458</v>
      </c>
      <c r="G2167" s="88" t="s">
        <v>154</v>
      </c>
      <c r="H2167" s="98" t="s">
        <v>220</v>
      </c>
      <c r="I2167" s="98" t="s">
        <v>648</v>
      </c>
      <c r="J2167" s="75">
        <f t="shared" si="215"/>
        <v>1</v>
      </c>
      <c r="K2167" s="263" t="s">
        <v>211</v>
      </c>
      <c r="L2167" s="99" t="s">
        <v>7270</v>
      </c>
      <c r="N2167" s="78" t="s">
        <v>17</v>
      </c>
      <c r="Q2167" s="78" t="s">
        <v>2097</v>
      </c>
      <c r="R2167" s="75">
        <f t="shared" si="216"/>
        <v>1</v>
      </c>
      <c r="S2167" s="263" t="s">
        <v>1991</v>
      </c>
      <c r="T2167" s="263" t="s">
        <v>934</v>
      </c>
      <c r="Y2167" s="576">
        <v>0.71453703703703697</v>
      </c>
      <c r="Z2167" s="576">
        <v>0.72192129629629631</v>
      </c>
      <c r="AA2167" s="576">
        <f t="shared" si="217"/>
        <v>7.3842592592593403E-3</v>
      </c>
      <c r="AB2167" s="722"/>
    </row>
    <row r="2168" spans="1:28" x14ac:dyDescent="0.35">
      <c r="A2168" s="81" t="s">
        <v>7202</v>
      </c>
      <c r="C2168" s="118">
        <v>43913</v>
      </c>
      <c r="D2168" s="318">
        <v>43991</v>
      </c>
      <c r="E2168" s="83">
        <v>43964</v>
      </c>
      <c r="F2168" s="88" t="s">
        <v>7213</v>
      </c>
      <c r="G2168" s="88" t="s">
        <v>152</v>
      </c>
      <c r="H2168" s="98" t="s">
        <v>220</v>
      </c>
      <c r="I2168" s="98" t="s">
        <v>649</v>
      </c>
      <c r="J2168" s="75">
        <f t="shared" si="215"/>
        <v>1</v>
      </c>
      <c r="K2168" s="263" t="s">
        <v>211</v>
      </c>
      <c r="N2168" s="78" t="s">
        <v>18</v>
      </c>
      <c r="Q2168" s="78" t="s">
        <v>2056</v>
      </c>
      <c r="R2168" s="75">
        <f t="shared" si="216"/>
        <v>1</v>
      </c>
      <c r="S2168" s="263" t="s">
        <v>1991</v>
      </c>
      <c r="T2168" s="263" t="s">
        <v>932</v>
      </c>
      <c r="Y2168" s="576">
        <v>0.71421296296296299</v>
      </c>
      <c r="Z2168" s="576">
        <v>0.72071759259259249</v>
      </c>
      <c r="AA2168" s="576">
        <f t="shared" si="217"/>
        <v>6.5046296296294992E-3</v>
      </c>
      <c r="AB2168" s="722"/>
    </row>
    <row r="2169" spans="1:28" x14ac:dyDescent="0.35">
      <c r="A2169" s="81" t="s">
        <v>7203</v>
      </c>
      <c r="C2169" s="118">
        <v>43913</v>
      </c>
      <c r="D2169" s="318">
        <v>43992</v>
      </c>
      <c r="E2169" s="83">
        <v>43970</v>
      </c>
      <c r="F2169" s="88" t="s">
        <v>7214</v>
      </c>
      <c r="G2169" s="88" t="s">
        <v>162</v>
      </c>
      <c r="H2169" s="98" t="s">
        <v>220</v>
      </c>
      <c r="I2169" s="98" t="s">
        <v>722</v>
      </c>
      <c r="J2169" s="75">
        <f t="shared" ref="J2169:J2201" si="218">IF(OR(K2169="Документы готовы",K2169="Запрос в ФО",K2169="ЭЗ",K2169="РЕШ",K2169="РЕШ шаблон"),0.1,IF(OR(K2169="ЭЗ согласование",K2169="РЕШ согласование"),0.3,IF(OR(K2169="ЭЗ согласовано",K2169="РЕШ согласовано",K2169="РЕШ подписано"),0.6,IF(OR(K2169="ЭЗ ПР согласование",K2169="РЕШ УВ согласование"),0.9,IF(OR(K2169="ЭЗ ПР DONE",K2169="РЕШ УВ DONE"),1,0)))))</f>
        <v>1</v>
      </c>
      <c r="K2169" s="263" t="s">
        <v>211</v>
      </c>
      <c r="N2169" s="78" t="s">
        <v>18</v>
      </c>
      <c r="Q2169" s="78" t="s">
        <v>2097</v>
      </c>
      <c r="R2169" s="75">
        <f t="shared" ref="R2169:R2201" si="219">IF(S2169="В работе",0.3,IF(S2169="Отписано",0.6,IF(S2169="На доработку",0.9,IF(S2169="Согласовано",1,0))))</f>
        <v>1</v>
      </c>
      <c r="S2169" s="263" t="s">
        <v>1991</v>
      </c>
      <c r="T2169" s="263" t="s">
        <v>932</v>
      </c>
      <c r="Y2169" s="576">
        <v>0.70717592592592593</v>
      </c>
      <c r="Z2169" s="576">
        <v>0.71415509259259258</v>
      </c>
      <c r="AA2169" s="576">
        <f t="shared" ref="AA2169:AA2201" si="220">Z2169-Y2169</f>
        <v>6.9791666666666474E-3</v>
      </c>
      <c r="AB2169" s="722"/>
    </row>
    <row r="2170" spans="1:28" x14ac:dyDescent="0.35">
      <c r="A2170" s="81" t="s">
        <v>6426</v>
      </c>
      <c r="C2170" s="118">
        <v>43913</v>
      </c>
      <c r="D2170" s="318">
        <v>43991</v>
      </c>
      <c r="E2170" s="83">
        <v>43970</v>
      </c>
      <c r="F2170" s="88" t="s">
        <v>6468</v>
      </c>
      <c r="G2170" s="88" t="s">
        <v>152</v>
      </c>
      <c r="H2170" s="98" t="s">
        <v>220</v>
      </c>
      <c r="I2170" s="98" t="s">
        <v>722</v>
      </c>
      <c r="J2170" s="75">
        <f t="shared" si="218"/>
        <v>1</v>
      </c>
      <c r="K2170" s="263" t="s">
        <v>211</v>
      </c>
      <c r="N2170" s="78" t="s">
        <v>17</v>
      </c>
      <c r="Q2170" s="78" t="s">
        <v>2163</v>
      </c>
      <c r="R2170" s="75">
        <f t="shared" si="219"/>
        <v>1</v>
      </c>
      <c r="S2170" s="263" t="s">
        <v>1991</v>
      </c>
      <c r="T2170" s="263" t="s">
        <v>934</v>
      </c>
      <c r="Y2170" s="576">
        <v>0.52363425925925922</v>
      </c>
      <c r="Z2170" s="576">
        <v>0.53038194444444442</v>
      </c>
      <c r="AA2170" s="576">
        <f t="shared" si="220"/>
        <v>6.7476851851852038E-3</v>
      </c>
      <c r="AB2170" s="722"/>
    </row>
    <row r="2171" spans="1:28" x14ac:dyDescent="0.35">
      <c r="A2171" s="81" t="s">
        <v>6428</v>
      </c>
      <c r="C2171" s="118">
        <v>43913</v>
      </c>
      <c r="D2171" s="318">
        <v>43992</v>
      </c>
      <c r="E2171" s="83">
        <v>43970</v>
      </c>
      <c r="F2171" s="88" t="s">
        <v>6470</v>
      </c>
      <c r="G2171" s="88" t="s">
        <v>154</v>
      </c>
      <c r="H2171" s="98" t="s">
        <v>220</v>
      </c>
      <c r="I2171" s="98" t="s">
        <v>722</v>
      </c>
      <c r="J2171" s="75">
        <f t="shared" si="218"/>
        <v>1</v>
      </c>
      <c r="K2171" s="263" t="s">
        <v>211</v>
      </c>
      <c r="N2171" s="78" t="s">
        <v>18</v>
      </c>
      <c r="Q2171" s="78" t="s">
        <v>2163</v>
      </c>
      <c r="R2171" s="75">
        <f t="shared" si="219"/>
        <v>1</v>
      </c>
      <c r="S2171" s="263" t="s">
        <v>1991</v>
      </c>
      <c r="T2171" s="263" t="s">
        <v>932</v>
      </c>
      <c r="Y2171" s="576">
        <v>0.53065972222222224</v>
      </c>
      <c r="Z2171" s="576">
        <v>0.53591435185185188</v>
      </c>
      <c r="AA2171" s="576">
        <f t="shared" si="220"/>
        <v>5.2546296296296369E-3</v>
      </c>
      <c r="AB2171" s="722"/>
    </row>
    <row r="2172" spans="1:28" x14ac:dyDescent="0.35">
      <c r="A2172" s="81" t="s">
        <v>6429</v>
      </c>
      <c r="C2172" s="118">
        <v>43913</v>
      </c>
      <c r="D2172" s="318">
        <v>43991</v>
      </c>
      <c r="E2172" s="83">
        <v>43969</v>
      </c>
      <c r="F2172" s="88" t="s">
        <v>6471</v>
      </c>
      <c r="G2172" s="88" t="s">
        <v>176</v>
      </c>
      <c r="H2172" s="98" t="s">
        <v>220</v>
      </c>
      <c r="I2172" s="98" t="s">
        <v>722</v>
      </c>
      <c r="J2172" s="75">
        <f t="shared" si="218"/>
        <v>1</v>
      </c>
      <c r="K2172" s="263" t="s">
        <v>211</v>
      </c>
      <c r="N2172" s="78" t="s">
        <v>18</v>
      </c>
      <c r="Q2172" s="78" t="s">
        <v>2097</v>
      </c>
      <c r="R2172" s="75">
        <f t="shared" si="219"/>
        <v>1</v>
      </c>
      <c r="S2172" s="263" t="s">
        <v>1991</v>
      </c>
      <c r="T2172" s="263" t="s">
        <v>933</v>
      </c>
      <c r="Y2172" s="576">
        <v>0.6206828703703704</v>
      </c>
      <c r="Z2172" s="576">
        <v>0.6244791666666667</v>
      </c>
      <c r="AA2172" s="576">
        <f t="shared" si="220"/>
        <v>3.7962962962962976E-3</v>
      </c>
      <c r="AB2172" s="722"/>
    </row>
    <row r="2173" spans="1:28" x14ac:dyDescent="0.35">
      <c r="A2173" s="81" t="s">
        <v>6430</v>
      </c>
      <c r="C2173" s="118">
        <v>43913</v>
      </c>
      <c r="D2173" s="318">
        <v>43992</v>
      </c>
      <c r="E2173" s="83">
        <v>43970</v>
      </c>
      <c r="F2173" s="88" t="s">
        <v>6472</v>
      </c>
      <c r="G2173" s="88" t="s">
        <v>154</v>
      </c>
      <c r="H2173" s="98" t="s">
        <v>220</v>
      </c>
      <c r="I2173" s="98" t="s">
        <v>730</v>
      </c>
      <c r="J2173" s="75">
        <f t="shared" si="218"/>
        <v>1</v>
      </c>
      <c r="K2173" s="263" t="s">
        <v>211</v>
      </c>
      <c r="N2173" s="78" t="s">
        <v>17</v>
      </c>
      <c r="Q2173" s="78" t="s">
        <v>2163</v>
      </c>
      <c r="R2173" s="75">
        <f t="shared" si="219"/>
        <v>1</v>
      </c>
      <c r="S2173" s="263" t="s">
        <v>1991</v>
      </c>
      <c r="T2173" s="263" t="s">
        <v>933</v>
      </c>
      <c r="U2173" s="304" t="s">
        <v>5592</v>
      </c>
      <c r="V2173" s="304" t="s">
        <v>7268</v>
      </c>
      <c r="Y2173" s="576">
        <v>0.53627314814814808</v>
      </c>
      <c r="Z2173" s="576">
        <v>0.54535879629629636</v>
      </c>
      <c r="AA2173" s="576">
        <f t="shared" si="220"/>
        <v>9.0856481481482732E-3</v>
      </c>
      <c r="AB2173" s="722"/>
    </row>
    <row r="2174" spans="1:28" x14ac:dyDescent="0.35">
      <c r="A2174" s="81" t="s">
        <v>6434</v>
      </c>
      <c r="C2174" s="118">
        <v>43913</v>
      </c>
      <c r="D2174" s="318">
        <v>43991</v>
      </c>
      <c r="E2174" s="83">
        <v>43969</v>
      </c>
      <c r="F2174" s="88" t="s">
        <v>6476</v>
      </c>
      <c r="G2174" s="88" t="s">
        <v>149</v>
      </c>
      <c r="H2174" s="98" t="s">
        <v>220</v>
      </c>
      <c r="I2174" s="98" t="s">
        <v>649</v>
      </c>
      <c r="J2174" s="75">
        <f t="shared" si="218"/>
        <v>1</v>
      </c>
      <c r="K2174" s="263" t="s">
        <v>211</v>
      </c>
      <c r="N2174" s="78" t="s">
        <v>18</v>
      </c>
      <c r="Q2174" s="78" t="s">
        <v>2097</v>
      </c>
      <c r="R2174" s="75">
        <f t="shared" si="219"/>
        <v>1</v>
      </c>
      <c r="S2174" s="263" t="s">
        <v>1991</v>
      </c>
      <c r="T2174" s="263" t="s">
        <v>934</v>
      </c>
      <c r="Y2174" s="576">
        <v>0.61026620370370377</v>
      </c>
      <c r="Z2174" s="576">
        <v>0.62026620370370367</v>
      </c>
      <c r="AA2174" s="576">
        <f t="shared" si="220"/>
        <v>9.9999999999998979E-3</v>
      </c>
      <c r="AB2174" s="722"/>
    </row>
    <row r="2175" spans="1:28" x14ac:dyDescent="0.35">
      <c r="A2175" s="81" t="s">
        <v>6437</v>
      </c>
      <c r="C2175" s="118">
        <v>43914</v>
      </c>
      <c r="D2175" s="318">
        <v>43992</v>
      </c>
      <c r="E2175" s="83">
        <v>43969</v>
      </c>
      <c r="F2175" s="88" t="s">
        <v>6479</v>
      </c>
      <c r="G2175" s="88" t="s">
        <v>162</v>
      </c>
      <c r="H2175" s="98" t="s">
        <v>220</v>
      </c>
      <c r="I2175" s="98" t="s">
        <v>722</v>
      </c>
      <c r="J2175" s="75">
        <f t="shared" si="218"/>
        <v>1</v>
      </c>
      <c r="K2175" s="263" t="s">
        <v>211</v>
      </c>
      <c r="N2175" s="78" t="s">
        <v>17</v>
      </c>
      <c r="Q2175" s="78" t="s">
        <v>2130</v>
      </c>
      <c r="R2175" s="75">
        <f t="shared" si="219"/>
        <v>1</v>
      </c>
      <c r="S2175" s="263" t="s">
        <v>1991</v>
      </c>
      <c r="T2175" s="263" t="s">
        <v>934</v>
      </c>
      <c r="Y2175" s="576">
        <v>0.4850694444444445</v>
      </c>
      <c r="Z2175" s="576">
        <v>0.49233796296296295</v>
      </c>
      <c r="AA2175" s="576">
        <f t="shared" si="220"/>
        <v>7.268518518518452E-3</v>
      </c>
      <c r="AB2175" s="722"/>
    </row>
    <row r="2176" spans="1:28" x14ac:dyDescent="0.35">
      <c r="A2176" s="81" t="s">
        <v>6439</v>
      </c>
      <c r="C2176" s="118">
        <v>43914</v>
      </c>
      <c r="D2176" s="318">
        <v>43992</v>
      </c>
      <c r="E2176" s="83">
        <v>43964</v>
      </c>
      <c r="F2176" s="88" t="s">
        <v>6481</v>
      </c>
      <c r="G2176" s="88" t="s">
        <v>2766</v>
      </c>
      <c r="H2176" s="98" t="s">
        <v>220</v>
      </c>
      <c r="I2176" s="98" t="s">
        <v>722</v>
      </c>
      <c r="J2176" s="75">
        <f t="shared" si="218"/>
        <v>1</v>
      </c>
      <c r="K2176" s="263" t="s">
        <v>211</v>
      </c>
      <c r="N2176" s="78" t="s">
        <v>17</v>
      </c>
      <c r="Q2176" s="78" t="s">
        <v>2056</v>
      </c>
      <c r="R2176" s="75">
        <f t="shared" si="219"/>
        <v>1</v>
      </c>
      <c r="S2176" s="263" t="s">
        <v>1991</v>
      </c>
      <c r="T2176" s="263" t="s">
        <v>933</v>
      </c>
      <c r="Y2176" s="576">
        <v>0.68017361111111108</v>
      </c>
      <c r="Z2176" s="576">
        <v>0.69960648148148152</v>
      </c>
      <c r="AA2176" s="576">
        <f t="shared" si="220"/>
        <v>1.9432870370370448E-2</v>
      </c>
      <c r="AB2176" s="722"/>
    </row>
    <row r="2177" spans="1:28" x14ac:dyDescent="0.35">
      <c r="A2177" s="81" t="s">
        <v>6440</v>
      </c>
      <c r="C2177" s="118">
        <v>43914</v>
      </c>
      <c r="D2177" s="318">
        <v>43992</v>
      </c>
      <c r="E2177" s="83">
        <v>43969</v>
      </c>
      <c r="F2177" s="88" t="s">
        <v>6482</v>
      </c>
      <c r="G2177" s="88" t="s">
        <v>156</v>
      </c>
      <c r="H2177" s="98" t="s">
        <v>220</v>
      </c>
      <c r="I2177" s="98" t="s">
        <v>763</v>
      </c>
      <c r="J2177" s="75">
        <f t="shared" si="218"/>
        <v>1</v>
      </c>
      <c r="K2177" s="76" t="s">
        <v>211</v>
      </c>
      <c r="L2177" s="99" t="s">
        <v>8055</v>
      </c>
      <c r="N2177" s="78" t="s">
        <v>18</v>
      </c>
      <c r="Q2177" s="78" t="s">
        <v>2130</v>
      </c>
      <c r="R2177" s="75">
        <f t="shared" si="219"/>
        <v>1</v>
      </c>
      <c r="S2177" s="263" t="s">
        <v>1991</v>
      </c>
      <c r="T2177" s="263" t="s">
        <v>932</v>
      </c>
      <c r="U2177" s="304" t="s">
        <v>5592</v>
      </c>
      <c r="V2177" s="304" t="s">
        <v>7260</v>
      </c>
      <c r="Y2177" s="576">
        <v>0.46731481481481479</v>
      </c>
      <c r="Z2177" s="576">
        <v>0.48427083333333337</v>
      </c>
      <c r="AA2177" s="576">
        <f t="shared" si="220"/>
        <v>1.6956018518518579E-2</v>
      </c>
      <c r="AB2177" s="722"/>
    </row>
    <row r="2178" spans="1:28" x14ac:dyDescent="0.35">
      <c r="A2178" s="81" t="s">
        <v>6532</v>
      </c>
      <c r="C2178" s="118">
        <v>43914</v>
      </c>
      <c r="D2178" s="318">
        <v>43993</v>
      </c>
      <c r="E2178" s="83">
        <v>43970</v>
      </c>
      <c r="F2178" s="88" t="s">
        <v>6658</v>
      </c>
      <c r="G2178" s="88" t="s">
        <v>162</v>
      </c>
      <c r="H2178" s="98" t="s">
        <v>220</v>
      </c>
      <c r="I2178" s="98" t="s">
        <v>1308</v>
      </c>
      <c r="J2178" s="75">
        <f t="shared" si="218"/>
        <v>1</v>
      </c>
      <c r="K2178" s="263" t="s">
        <v>211</v>
      </c>
      <c r="N2178" s="78" t="s">
        <v>18</v>
      </c>
      <c r="Q2178" s="78" t="s">
        <v>2163</v>
      </c>
      <c r="R2178" s="75">
        <f t="shared" si="219"/>
        <v>1</v>
      </c>
      <c r="S2178" s="263" t="s">
        <v>1991</v>
      </c>
      <c r="T2178" s="263" t="s">
        <v>934</v>
      </c>
      <c r="Y2178" s="576">
        <v>0.54567129629629629</v>
      </c>
      <c r="Z2178" s="576">
        <v>0.55266203703703709</v>
      </c>
      <c r="AA2178" s="576">
        <f t="shared" si="220"/>
        <v>6.9907407407407973E-3</v>
      </c>
      <c r="AB2178" s="722"/>
    </row>
    <row r="2179" spans="1:28" x14ac:dyDescent="0.35">
      <c r="A2179" s="81" t="s">
        <v>6533</v>
      </c>
      <c r="C2179" s="118">
        <v>43914</v>
      </c>
      <c r="D2179" s="318">
        <v>43993</v>
      </c>
      <c r="E2179" s="83">
        <v>43970</v>
      </c>
      <c r="F2179" s="88" t="s">
        <v>6659</v>
      </c>
      <c r="G2179" s="88" t="s">
        <v>152</v>
      </c>
      <c r="H2179" s="98" t="s">
        <v>220</v>
      </c>
      <c r="I2179" s="98" t="s">
        <v>722</v>
      </c>
      <c r="J2179" s="75">
        <f t="shared" si="218"/>
        <v>1</v>
      </c>
      <c r="K2179" s="263" t="s">
        <v>211</v>
      </c>
      <c r="L2179" s="99" t="s">
        <v>7271</v>
      </c>
      <c r="N2179" s="78" t="s">
        <v>18</v>
      </c>
      <c r="Q2179" s="78" t="s">
        <v>2097</v>
      </c>
      <c r="R2179" s="75">
        <f t="shared" si="219"/>
        <v>1</v>
      </c>
      <c r="S2179" s="263" t="s">
        <v>1991</v>
      </c>
      <c r="T2179" s="263" t="s">
        <v>934</v>
      </c>
      <c r="Y2179" s="576">
        <v>0.72228009259259263</v>
      </c>
      <c r="Z2179" s="576">
        <v>0.73476851851851854</v>
      </c>
      <c r="AA2179" s="576">
        <f t="shared" si="220"/>
        <v>1.2488425925925917E-2</v>
      </c>
      <c r="AB2179" s="722"/>
    </row>
    <row r="2180" spans="1:28" x14ac:dyDescent="0.35">
      <c r="A2180" s="81" t="s">
        <v>6537</v>
      </c>
      <c r="C2180" s="118">
        <v>43915</v>
      </c>
      <c r="D2180" s="318">
        <v>43993</v>
      </c>
      <c r="E2180" s="83">
        <v>43966</v>
      </c>
      <c r="F2180" s="88" t="s">
        <v>6663</v>
      </c>
      <c r="G2180" s="88" t="s">
        <v>149</v>
      </c>
      <c r="H2180" s="98" t="s">
        <v>220</v>
      </c>
      <c r="I2180" s="98" t="s">
        <v>629</v>
      </c>
      <c r="J2180" s="75">
        <f t="shared" si="218"/>
        <v>1</v>
      </c>
      <c r="K2180" s="263" t="s">
        <v>211</v>
      </c>
      <c r="N2180" s="78" t="s">
        <v>19</v>
      </c>
      <c r="Q2180" s="78" t="s">
        <v>2056</v>
      </c>
      <c r="R2180" s="75">
        <f t="shared" si="219"/>
        <v>1</v>
      </c>
      <c r="S2180" s="263" t="s">
        <v>1991</v>
      </c>
      <c r="T2180" s="263" t="s">
        <v>934</v>
      </c>
      <c r="U2180" s="304" t="s">
        <v>5592</v>
      </c>
      <c r="V2180" s="304" t="s">
        <v>7258</v>
      </c>
      <c r="Y2180" s="576">
        <v>0.57855324074074077</v>
      </c>
      <c r="Z2180" s="576">
        <v>0.59637731481481482</v>
      </c>
      <c r="AA2180" s="576">
        <f t="shared" si="220"/>
        <v>1.7824074074074048E-2</v>
      </c>
      <c r="AB2180" s="722"/>
    </row>
    <row r="2181" spans="1:28" x14ac:dyDescent="0.35">
      <c r="A2181" s="81" t="s">
        <v>6541</v>
      </c>
      <c r="C2181" s="118">
        <v>43915</v>
      </c>
      <c r="D2181" s="318">
        <v>43993</v>
      </c>
      <c r="E2181" s="83">
        <v>43970</v>
      </c>
      <c r="F2181" s="88" t="s">
        <v>6667</v>
      </c>
      <c r="G2181" s="88" t="s">
        <v>154</v>
      </c>
      <c r="H2181" s="98" t="s">
        <v>220</v>
      </c>
      <c r="I2181" s="98" t="s">
        <v>722</v>
      </c>
      <c r="J2181" s="75">
        <f t="shared" si="218"/>
        <v>1</v>
      </c>
      <c r="K2181" s="263" t="s">
        <v>211</v>
      </c>
      <c r="L2181" s="99" t="s">
        <v>7269</v>
      </c>
      <c r="N2181" s="78" t="s">
        <v>18</v>
      </c>
      <c r="Q2181" s="78" t="s">
        <v>2163</v>
      </c>
      <c r="R2181" s="75">
        <f t="shared" si="219"/>
        <v>1</v>
      </c>
      <c r="S2181" s="263" t="s">
        <v>1991</v>
      </c>
      <c r="T2181" s="263" t="s">
        <v>932</v>
      </c>
      <c r="Y2181" s="576">
        <v>0.55379629629629623</v>
      </c>
      <c r="Z2181" s="576">
        <v>0.5724421296296297</v>
      </c>
      <c r="AA2181" s="576">
        <f t="shared" si="220"/>
        <v>1.8645833333333472E-2</v>
      </c>
      <c r="AB2181" s="722"/>
    </row>
    <row r="2182" spans="1:28" x14ac:dyDescent="0.35">
      <c r="A2182" s="98" t="s">
        <v>6547</v>
      </c>
      <c r="C2182" s="118">
        <v>43915</v>
      </c>
      <c r="D2182" s="318">
        <v>43993</v>
      </c>
      <c r="E2182" s="83">
        <v>43966</v>
      </c>
      <c r="F2182" s="88" t="s">
        <v>6673</v>
      </c>
      <c r="G2182" s="88" t="s">
        <v>160</v>
      </c>
      <c r="H2182" s="98" t="s">
        <v>220</v>
      </c>
      <c r="I2182" s="98" t="s">
        <v>7253</v>
      </c>
      <c r="J2182" s="75">
        <f t="shared" si="218"/>
        <v>1</v>
      </c>
      <c r="K2182" s="263" t="s">
        <v>211</v>
      </c>
      <c r="N2182" s="78" t="s">
        <v>17</v>
      </c>
      <c r="Q2182" s="78" t="s">
        <v>2056</v>
      </c>
      <c r="R2182" s="75">
        <f t="shared" si="219"/>
        <v>1</v>
      </c>
      <c r="S2182" s="263" t="s">
        <v>1991</v>
      </c>
      <c r="T2182" s="263" t="s">
        <v>934</v>
      </c>
      <c r="Y2182" s="576">
        <v>0.50201388888888887</v>
      </c>
      <c r="Z2182" s="576">
        <v>0.51681712962962967</v>
      </c>
      <c r="AA2182" s="576">
        <f t="shared" si="220"/>
        <v>1.4803240740740797E-2</v>
      </c>
      <c r="AB2182" s="722"/>
    </row>
    <row r="2183" spans="1:28" x14ac:dyDescent="0.35">
      <c r="A2183" s="81" t="s">
        <v>6548</v>
      </c>
      <c r="C2183" s="118">
        <v>43915</v>
      </c>
      <c r="D2183" s="318">
        <v>43997</v>
      </c>
      <c r="E2183" s="83">
        <v>43970</v>
      </c>
      <c r="F2183" s="88" t="s">
        <v>6674</v>
      </c>
      <c r="G2183" s="88" t="s">
        <v>160</v>
      </c>
      <c r="H2183" s="98" t="s">
        <v>220</v>
      </c>
      <c r="I2183" s="98" t="s">
        <v>722</v>
      </c>
      <c r="J2183" s="75">
        <f t="shared" si="218"/>
        <v>1</v>
      </c>
      <c r="K2183" s="263" t="s">
        <v>211</v>
      </c>
      <c r="N2183" s="78" t="s">
        <v>18</v>
      </c>
      <c r="Q2183" s="78" t="s">
        <v>2163</v>
      </c>
      <c r="R2183" s="75">
        <f t="shared" si="219"/>
        <v>1</v>
      </c>
      <c r="S2183" s="263" t="s">
        <v>1991</v>
      </c>
      <c r="T2183" s="263" t="s">
        <v>934</v>
      </c>
      <c r="Y2183" s="576">
        <v>0.56206018518518519</v>
      </c>
      <c r="Z2183" s="576">
        <v>0.56733796296296302</v>
      </c>
      <c r="AA2183" s="576">
        <f t="shared" si="220"/>
        <v>5.2777777777778256E-3</v>
      </c>
      <c r="AB2183" s="722"/>
    </row>
    <row r="2184" spans="1:28" x14ac:dyDescent="0.35">
      <c r="A2184" s="81" t="s">
        <v>6549</v>
      </c>
      <c r="C2184" s="118">
        <v>43916</v>
      </c>
      <c r="D2184" s="318">
        <v>43997</v>
      </c>
      <c r="E2184" s="83">
        <v>43969</v>
      </c>
      <c r="F2184" s="88" t="s">
        <v>6675</v>
      </c>
      <c r="G2184" s="88" t="s">
        <v>154</v>
      </c>
      <c r="H2184" s="98" t="s">
        <v>220</v>
      </c>
      <c r="I2184" s="98" t="s">
        <v>722</v>
      </c>
      <c r="J2184" s="75">
        <f t="shared" si="218"/>
        <v>1</v>
      </c>
      <c r="K2184" s="263" t="s">
        <v>211</v>
      </c>
      <c r="N2184" s="78" t="s">
        <v>18</v>
      </c>
      <c r="Q2184" s="78" t="s">
        <v>2056</v>
      </c>
      <c r="R2184" s="75">
        <f t="shared" si="219"/>
        <v>1</v>
      </c>
      <c r="S2184" s="263" t="s">
        <v>1991</v>
      </c>
      <c r="T2184" s="263" t="s">
        <v>933</v>
      </c>
      <c r="Y2184" s="576">
        <v>0.46122685185185186</v>
      </c>
      <c r="Z2184" s="576">
        <v>0.46663194444444445</v>
      </c>
      <c r="AA2184" s="576">
        <f t="shared" si="220"/>
        <v>5.4050925925925863E-3</v>
      </c>
      <c r="AB2184" s="722"/>
    </row>
    <row r="2185" spans="1:28" x14ac:dyDescent="0.35">
      <c r="A2185" s="81" t="s">
        <v>6554</v>
      </c>
      <c r="C2185" s="118">
        <v>43916</v>
      </c>
      <c r="D2185" s="318">
        <v>43997</v>
      </c>
      <c r="E2185" s="83">
        <v>43969</v>
      </c>
      <c r="F2185" s="88" t="s">
        <v>6680</v>
      </c>
      <c r="G2185" s="88" t="s">
        <v>1051</v>
      </c>
      <c r="H2185" s="98" t="s">
        <v>220</v>
      </c>
      <c r="I2185" s="98" t="s">
        <v>649</v>
      </c>
      <c r="J2185" s="75">
        <f t="shared" si="218"/>
        <v>1</v>
      </c>
      <c r="K2185" s="263" t="s">
        <v>211</v>
      </c>
      <c r="N2185" s="78" t="s">
        <v>18</v>
      </c>
      <c r="Q2185" s="78" t="s">
        <v>2056</v>
      </c>
      <c r="R2185" s="75">
        <f t="shared" si="219"/>
        <v>1</v>
      </c>
      <c r="S2185" s="263" t="s">
        <v>1991</v>
      </c>
      <c r="T2185" s="263" t="s">
        <v>933</v>
      </c>
      <c r="Y2185" s="576">
        <v>0.45746527777777773</v>
      </c>
      <c r="Z2185" s="576">
        <v>0.4607175925925926</v>
      </c>
      <c r="AA2185" s="576">
        <f t="shared" si="220"/>
        <v>3.2523148148148606E-3</v>
      </c>
      <c r="AB2185" s="722"/>
    </row>
    <row r="2186" spans="1:28" x14ac:dyDescent="0.35">
      <c r="A2186" s="81" t="s">
        <v>6569</v>
      </c>
      <c r="C2186" s="118">
        <v>43916</v>
      </c>
      <c r="D2186" s="318">
        <v>43997</v>
      </c>
      <c r="E2186" s="83">
        <v>43965</v>
      </c>
      <c r="F2186" s="88" t="s">
        <v>6694</v>
      </c>
      <c r="G2186" s="88" t="s">
        <v>1051</v>
      </c>
      <c r="H2186" s="98" t="s">
        <v>220</v>
      </c>
      <c r="I2186" s="98" t="s">
        <v>722</v>
      </c>
      <c r="J2186" s="75">
        <f t="shared" si="218"/>
        <v>1</v>
      </c>
      <c r="K2186" s="263" t="s">
        <v>211</v>
      </c>
      <c r="L2186" s="99" t="s">
        <v>7244</v>
      </c>
      <c r="N2186" s="78" t="s">
        <v>17</v>
      </c>
      <c r="Q2186" s="78" t="s">
        <v>2447</v>
      </c>
      <c r="R2186" s="75">
        <f t="shared" si="219"/>
        <v>1</v>
      </c>
      <c r="S2186" s="263" t="s">
        <v>1991</v>
      </c>
      <c r="T2186" s="263" t="s">
        <v>934</v>
      </c>
      <c r="Y2186" s="576">
        <v>0.85021990740740738</v>
      </c>
      <c r="Z2186" s="576">
        <v>0.85383101851851861</v>
      </c>
      <c r="AA2186" s="576">
        <f t="shared" si="220"/>
        <v>3.6111111111112315E-3</v>
      </c>
      <c r="AB2186" s="722"/>
    </row>
    <row r="2187" spans="1:28" x14ac:dyDescent="0.35">
      <c r="A2187" s="98" t="s">
        <v>7215</v>
      </c>
      <c r="C2187" s="83">
        <v>43956</v>
      </c>
      <c r="D2187" s="112">
        <v>43983</v>
      </c>
      <c r="E2187" s="83">
        <v>43964</v>
      </c>
      <c r="F2187" s="99" t="s">
        <v>7216</v>
      </c>
      <c r="G2187" s="99" t="s">
        <v>195</v>
      </c>
      <c r="H2187" s="98" t="s">
        <v>220</v>
      </c>
      <c r="I2187" s="98" t="s">
        <v>656</v>
      </c>
      <c r="J2187" s="75">
        <f t="shared" si="218"/>
        <v>1</v>
      </c>
      <c r="K2187" s="76" t="s">
        <v>211</v>
      </c>
      <c r="N2187" s="78" t="s">
        <v>17</v>
      </c>
      <c r="Q2187" s="78" t="s">
        <v>2447</v>
      </c>
      <c r="R2187" s="75">
        <f t="shared" si="219"/>
        <v>1</v>
      </c>
      <c r="S2187" s="263" t="s">
        <v>1991</v>
      </c>
      <c r="T2187" s="263" t="s">
        <v>933</v>
      </c>
      <c r="Y2187" s="576">
        <v>0.48802083333333335</v>
      </c>
      <c r="Z2187" s="576">
        <v>0.49770833333333336</v>
      </c>
      <c r="AA2187" s="576">
        <f t="shared" si="220"/>
        <v>9.6875000000000155E-3</v>
      </c>
      <c r="AB2187" s="722"/>
    </row>
    <row r="2188" spans="1:28" x14ac:dyDescent="0.35">
      <c r="A2188" s="98" t="s">
        <v>7218</v>
      </c>
      <c r="C2188" s="83">
        <v>43951</v>
      </c>
      <c r="D2188" s="112">
        <v>43983</v>
      </c>
      <c r="E2188" s="83">
        <v>43964</v>
      </c>
      <c r="F2188" s="99" t="s">
        <v>7219</v>
      </c>
      <c r="G2188" s="99" t="s">
        <v>158</v>
      </c>
      <c r="H2188" s="98" t="s">
        <v>220</v>
      </c>
      <c r="I2188" s="98" t="s">
        <v>656</v>
      </c>
      <c r="J2188" s="75">
        <f t="shared" si="218"/>
        <v>1</v>
      </c>
      <c r="K2188" s="76" t="s">
        <v>211</v>
      </c>
      <c r="L2188" s="99" t="s">
        <v>7221</v>
      </c>
      <c r="N2188" s="78" t="s">
        <v>18</v>
      </c>
      <c r="Q2188" s="78" t="s">
        <v>2097</v>
      </c>
      <c r="R2188" s="75">
        <f t="shared" si="219"/>
        <v>1</v>
      </c>
      <c r="S2188" s="263" t="s">
        <v>1991</v>
      </c>
      <c r="T2188" s="263" t="s">
        <v>934</v>
      </c>
      <c r="U2188" s="304" t="s">
        <v>5592</v>
      </c>
      <c r="V2188" s="304" t="s">
        <v>7220</v>
      </c>
      <c r="Y2188" s="576">
        <v>0.56513888888888886</v>
      </c>
      <c r="Z2188" s="576">
        <v>0.58333333333333337</v>
      </c>
      <c r="AA2188" s="576">
        <f t="shared" si="220"/>
        <v>1.8194444444444513E-2</v>
      </c>
      <c r="AB2188" s="722"/>
    </row>
    <row r="2189" spans="1:28" x14ac:dyDescent="0.35">
      <c r="A2189" s="98" t="s">
        <v>7234</v>
      </c>
      <c r="C2189" s="83">
        <v>43951</v>
      </c>
      <c r="D2189" s="112">
        <v>43983</v>
      </c>
      <c r="E2189" s="83">
        <v>43965</v>
      </c>
      <c r="F2189" s="99" t="s">
        <v>7235</v>
      </c>
      <c r="G2189" s="99" t="s">
        <v>154</v>
      </c>
      <c r="H2189" s="98" t="s">
        <v>275</v>
      </c>
      <c r="I2189" s="98" t="s">
        <v>7236</v>
      </c>
      <c r="J2189" s="75">
        <f t="shared" si="218"/>
        <v>1</v>
      </c>
      <c r="K2189" s="76" t="s">
        <v>211</v>
      </c>
      <c r="L2189" s="99" t="s">
        <v>7237</v>
      </c>
      <c r="N2189" s="78" t="s">
        <v>18</v>
      </c>
      <c r="Q2189" s="78" t="s">
        <v>2447</v>
      </c>
      <c r="R2189" s="75">
        <f t="shared" si="219"/>
        <v>1</v>
      </c>
      <c r="S2189" s="263" t="s">
        <v>1991</v>
      </c>
      <c r="T2189" s="263" t="s">
        <v>932</v>
      </c>
      <c r="Y2189" s="576">
        <v>0.62321759259259257</v>
      </c>
      <c r="Z2189" s="576">
        <v>0.65667824074074077</v>
      </c>
      <c r="AA2189" s="576">
        <f t="shared" si="220"/>
        <v>3.3460648148148198E-2</v>
      </c>
      <c r="AB2189" s="722"/>
    </row>
    <row r="2190" spans="1:28" x14ac:dyDescent="0.35">
      <c r="A2190" s="98" t="s">
        <v>7241</v>
      </c>
      <c r="C2190" s="83">
        <v>43956</v>
      </c>
      <c r="D2190" s="112">
        <v>43983</v>
      </c>
      <c r="E2190" s="83">
        <v>43965</v>
      </c>
      <c r="F2190" s="99" t="s">
        <v>7242</v>
      </c>
      <c r="G2190" s="99" t="s">
        <v>158</v>
      </c>
      <c r="H2190" s="98" t="s">
        <v>220</v>
      </c>
      <c r="I2190" s="98" t="s">
        <v>2777</v>
      </c>
      <c r="J2190" s="75">
        <f t="shared" si="218"/>
        <v>1</v>
      </c>
      <c r="K2190" s="76" t="s">
        <v>211</v>
      </c>
      <c r="N2190" s="78" t="s">
        <v>19</v>
      </c>
      <c r="Q2190" s="78" t="s">
        <v>2447</v>
      </c>
      <c r="R2190" s="75">
        <f t="shared" si="219"/>
        <v>1</v>
      </c>
      <c r="S2190" s="263" t="s">
        <v>1991</v>
      </c>
      <c r="T2190" s="263" t="s">
        <v>934</v>
      </c>
      <c r="Y2190" s="576">
        <v>0.84099537037037031</v>
      </c>
      <c r="Z2190" s="576">
        <v>0.8445717592592592</v>
      </c>
      <c r="AA2190" s="576">
        <f t="shared" si="220"/>
        <v>3.5763888888888928E-3</v>
      </c>
      <c r="AB2190" s="722"/>
    </row>
    <row r="2191" spans="1:28" x14ac:dyDescent="0.35">
      <c r="A2191" s="98" t="s">
        <v>7248</v>
      </c>
      <c r="C2191" s="83">
        <v>43957</v>
      </c>
      <c r="D2191" s="112">
        <v>43983</v>
      </c>
      <c r="E2191" s="83">
        <v>43965</v>
      </c>
      <c r="F2191" s="99" t="s">
        <v>7249</v>
      </c>
      <c r="G2191" s="99" t="s">
        <v>158</v>
      </c>
      <c r="H2191" s="98" t="s">
        <v>220</v>
      </c>
      <c r="I2191" s="98" t="s">
        <v>656</v>
      </c>
      <c r="J2191" s="75">
        <f t="shared" si="218"/>
        <v>1</v>
      </c>
      <c r="K2191" s="76" t="s">
        <v>211</v>
      </c>
      <c r="L2191" s="99" t="s">
        <v>7250</v>
      </c>
      <c r="N2191" s="78" t="s">
        <v>17</v>
      </c>
      <c r="Q2191" s="304" t="s">
        <v>2163</v>
      </c>
      <c r="R2191" s="75">
        <f t="shared" si="219"/>
        <v>1</v>
      </c>
      <c r="S2191" s="263" t="s">
        <v>1991</v>
      </c>
      <c r="T2191" s="263" t="s">
        <v>932</v>
      </c>
      <c r="Y2191" s="576">
        <v>0.96509259259259261</v>
      </c>
      <c r="Z2191" s="576">
        <v>0.97225694444444455</v>
      </c>
      <c r="AA2191" s="576">
        <f t="shared" si="220"/>
        <v>7.1643518518519356E-3</v>
      </c>
      <c r="AB2191" s="722"/>
    </row>
    <row r="2192" spans="1:28" x14ac:dyDescent="0.35">
      <c r="A2192" s="98" t="s">
        <v>7251</v>
      </c>
      <c r="C2192" s="83">
        <v>43958</v>
      </c>
      <c r="D2192" s="112">
        <v>43983</v>
      </c>
      <c r="E2192" s="83">
        <v>43965</v>
      </c>
      <c r="F2192" s="99" t="s">
        <v>7252</v>
      </c>
      <c r="G2192" s="99" t="s">
        <v>154</v>
      </c>
      <c r="H2192" s="98" t="s">
        <v>275</v>
      </c>
      <c r="I2192" s="98" t="s">
        <v>6485</v>
      </c>
      <c r="J2192" s="75">
        <f t="shared" si="218"/>
        <v>1</v>
      </c>
      <c r="K2192" s="263" t="s">
        <v>211</v>
      </c>
      <c r="N2192" s="78" t="s">
        <v>19</v>
      </c>
      <c r="Q2192" s="304" t="s">
        <v>2163</v>
      </c>
      <c r="R2192" s="75">
        <f t="shared" si="219"/>
        <v>1</v>
      </c>
      <c r="S2192" s="263" t="s">
        <v>1991</v>
      </c>
      <c r="T2192" s="263" t="s">
        <v>933</v>
      </c>
      <c r="Y2192" s="576">
        <v>0.97327546296296286</v>
      </c>
      <c r="Z2192" s="576">
        <v>0.97777777777777775</v>
      </c>
      <c r="AA2192" s="576">
        <f t="shared" si="220"/>
        <v>4.5023148148148895E-3</v>
      </c>
      <c r="AB2192" s="722"/>
    </row>
    <row r="2193" spans="1:28" x14ac:dyDescent="0.35">
      <c r="A2193" s="98" t="s">
        <v>7254</v>
      </c>
      <c r="C2193" s="83">
        <v>43956</v>
      </c>
      <c r="D2193" s="112">
        <v>43983</v>
      </c>
      <c r="E2193" s="83">
        <v>43966</v>
      </c>
      <c r="F2193" s="99" t="s">
        <v>7255</v>
      </c>
      <c r="G2193" s="99" t="s">
        <v>154</v>
      </c>
      <c r="H2193" s="98" t="s">
        <v>220</v>
      </c>
      <c r="I2193" s="98" t="s">
        <v>3893</v>
      </c>
      <c r="J2193" s="75">
        <f t="shared" si="218"/>
        <v>1</v>
      </c>
      <c r="K2193" s="263" t="s">
        <v>211</v>
      </c>
      <c r="N2193" s="78" t="s">
        <v>18</v>
      </c>
      <c r="Q2193" s="78" t="s">
        <v>2056</v>
      </c>
      <c r="R2193" s="75">
        <f t="shared" si="219"/>
        <v>1</v>
      </c>
      <c r="S2193" s="263" t="s">
        <v>1991</v>
      </c>
      <c r="T2193" s="263" t="s">
        <v>932</v>
      </c>
      <c r="Y2193" s="576">
        <v>0.53310185185185188</v>
      </c>
      <c r="Z2193" s="576">
        <v>0.54288194444444449</v>
      </c>
      <c r="AA2193" s="576">
        <f t="shared" si="220"/>
        <v>9.7800925925926041E-3</v>
      </c>
      <c r="AB2193" s="722"/>
    </row>
    <row r="2194" spans="1:28" x14ac:dyDescent="0.35">
      <c r="A2194" s="98" t="s">
        <v>7256</v>
      </c>
      <c r="C2194" s="83">
        <v>43956</v>
      </c>
      <c r="D2194" s="112">
        <v>43983</v>
      </c>
      <c r="E2194" s="83">
        <v>43966</v>
      </c>
      <c r="F2194" s="127" t="s">
        <v>7257</v>
      </c>
      <c r="G2194" s="99" t="s">
        <v>149</v>
      </c>
      <c r="H2194" s="98" t="s">
        <v>220</v>
      </c>
      <c r="I2194" s="98" t="s">
        <v>3893</v>
      </c>
      <c r="J2194" s="75">
        <f t="shared" si="218"/>
        <v>1</v>
      </c>
      <c r="K2194" s="263" t="s">
        <v>211</v>
      </c>
      <c r="N2194" s="78" t="s">
        <v>18</v>
      </c>
      <c r="Q2194" s="78" t="s">
        <v>2056</v>
      </c>
      <c r="R2194" s="75">
        <f t="shared" si="219"/>
        <v>1</v>
      </c>
      <c r="S2194" s="263" t="s">
        <v>1991</v>
      </c>
      <c r="T2194" s="263" t="s">
        <v>934</v>
      </c>
      <c r="Y2194" s="576">
        <v>0.56909722222222225</v>
      </c>
      <c r="Z2194" s="576">
        <v>0.57798611111111109</v>
      </c>
      <c r="AA2194" s="576">
        <f t="shared" si="220"/>
        <v>8.8888888888888351E-3</v>
      </c>
      <c r="AB2194" s="722"/>
    </row>
    <row r="2195" spans="1:28" x14ac:dyDescent="0.35">
      <c r="A2195" s="81" t="s">
        <v>6898</v>
      </c>
      <c r="C2195" s="118">
        <v>43895</v>
      </c>
      <c r="D2195" s="318">
        <v>43984</v>
      </c>
      <c r="E2195" s="83">
        <v>43976</v>
      </c>
      <c r="F2195" s="255" t="s">
        <v>6926</v>
      </c>
      <c r="G2195" s="88" t="s">
        <v>154</v>
      </c>
      <c r="H2195" s="98" t="s">
        <v>220</v>
      </c>
      <c r="I2195" s="98" t="s">
        <v>698</v>
      </c>
      <c r="J2195" s="75">
        <f t="shared" si="218"/>
        <v>1</v>
      </c>
      <c r="K2195" s="263" t="s">
        <v>211</v>
      </c>
      <c r="L2195" s="99" t="s">
        <v>7560</v>
      </c>
      <c r="N2195" s="78" t="s">
        <v>17</v>
      </c>
      <c r="Q2195" s="78" t="s">
        <v>2097</v>
      </c>
      <c r="R2195" s="75">
        <f t="shared" si="219"/>
        <v>1</v>
      </c>
      <c r="S2195" s="263" t="s">
        <v>1991</v>
      </c>
      <c r="T2195" s="263" t="s">
        <v>934</v>
      </c>
      <c r="U2195" s="304" t="s">
        <v>5592</v>
      </c>
      <c r="V2195" s="304" t="s">
        <v>7550</v>
      </c>
      <c r="Y2195" s="576">
        <v>0.41180555555555554</v>
      </c>
      <c r="Z2195" s="576">
        <v>0.43818287037037035</v>
      </c>
      <c r="AA2195" s="576">
        <f t="shared" si="220"/>
        <v>2.6377314814814812E-2</v>
      </c>
      <c r="AB2195" s="722"/>
    </row>
    <row r="2196" spans="1:28" x14ac:dyDescent="0.35">
      <c r="A2196" s="81" t="s">
        <v>6291</v>
      </c>
      <c r="C2196" s="118">
        <v>43908</v>
      </c>
      <c r="D2196" s="318">
        <v>43987</v>
      </c>
      <c r="E2196" s="83">
        <v>43971</v>
      </c>
      <c r="F2196" s="88" t="s">
        <v>6356</v>
      </c>
      <c r="G2196" s="88" t="s">
        <v>154</v>
      </c>
      <c r="H2196" s="98" t="s">
        <v>220</v>
      </c>
      <c r="I2196" s="98" t="s">
        <v>1004</v>
      </c>
      <c r="J2196" s="75">
        <f t="shared" si="218"/>
        <v>1</v>
      </c>
      <c r="K2196" s="263" t="s">
        <v>211</v>
      </c>
      <c r="L2196" s="99" t="s">
        <v>7528</v>
      </c>
      <c r="N2196" s="78" t="s">
        <v>19</v>
      </c>
      <c r="Q2196" s="78" t="s">
        <v>2130</v>
      </c>
      <c r="R2196" s="75">
        <f t="shared" si="219"/>
        <v>1</v>
      </c>
      <c r="S2196" s="263" t="s">
        <v>1991</v>
      </c>
      <c r="T2196" s="263" t="s">
        <v>934</v>
      </c>
      <c r="Y2196" s="576">
        <v>0.69734953703703706</v>
      </c>
      <c r="Z2196" s="576">
        <v>0.70406250000000004</v>
      </c>
      <c r="AA2196" s="576">
        <f t="shared" si="220"/>
        <v>6.7129629629629761E-3</v>
      </c>
      <c r="AB2196" s="722"/>
    </row>
    <row r="2197" spans="1:28" x14ac:dyDescent="0.35">
      <c r="A2197" s="81" t="s">
        <v>6311</v>
      </c>
      <c r="C2197" s="118">
        <v>43909</v>
      </c>
      <c r="D2197" s="318">
        <v>43990</v>
      </c>
      <c r="E2197" s="83">
        <v>43970</v>
      </c>
      <c r="F2197" s="88" t="s">
        <v>6376</v>
      </c>
      <c r="G2197" s="88" t="s">
        <v>162</v>
      </c>
      <c r="H2197" s="98" t="s">
        <v>220</v>
      </c>
      <c r="I2197" s="98" t="s">
        <v>722</v>
      </c>
      <c r="J2197" s="75">
        <f t="shared" si="218"/>
        <v>1</v>
      </c>
      <c r="K2197" s="263" t="s">
        <v>211</v>
      </c>
      <c r="L2197" s="99" t="s">
        <v>7513</v>
      </c>
      <c r="N2197" s="78" t="s">
        <v>18</v>
      </c>
      <c r="Q2197" s="78" t="s">
        <v>2447</v>
      </c>
      <c r="R2197" s="75">
        <f t="shared" si="219"/>
        <v>1</v>
      </c>
      <c r="S2197" s="263" t="s">
        <v>1991</v>
      </c>
      <c r="T2197" s="263" t="s">
        <v>933</v>
      </c>
      <c r="Y2197" s="576">
        <v>0.76759259259259249</v>
      </c>
      <c r="Z2197" s="576">
        <v>0.77375000000000005</v>
      </c>
      <c r="AA2197" s="576">
        <f t="shared" si="220"/>
        <v>6.1574074074075558E-3</v>
      </c>
      <c r="AB2197" s="722"/>
    </row>
    <row r="2198" spans="1:28" x14ac:dyDescent="0.35">
      <c r="A2198" s="81" t="s">
        <v>6415</v>
      </c>
      <c r="C2198" s="118">
        <v>43913</v>
      </c>
      <c r="D2198" s="318">
        <v>43992</v>
      </c>
      <c r="E2198" s="83">
        <v>43971</v>
      </c>
      <c r="F2198" s="88" t="s">
        <v>6457</v>
      </c>
      <c r="G2198" s="88" t="s">
        <v>1230</v>
      </c>
      <c r="H2198" s="98" t="s">
        <v>220</v>
      </c>
      <c r="I2198" s="98" t="s">
        <v>649</v>
      </c>
      <c r="J2198" s="75">
        <f t="shared" si="218"/>
        <v>1</v>
      </c>
      <c r="K2198" s="263" t="s">
        <v>211</v>
      </c>
      <c r="L2198" s="99" t="s">
        <v>7524</v>
      </c>
      <c r="N2198" s="78" t="s">
        <v>18</v>
      </c>
      <c r="Q2198" s="78" t="s">
        <v>2447</v>
      </c>
      <c r="R2198" s="75">
        <f t="shared" si="219"/>
        <v>1</v>
      </c>
      <c r="S2198" s="263" t="s">
        <v>1991</v>
      </c>
      <c r="T2198" s="263" t="s">
        <v>932</v>
      </c>
      <c r="Y2198" s="576">
        <v>0.48247685185185185</v>
      </c>
      <c r="Z2198" s="576">
        <v>0.5040162037037037</v>
      </c>
      <c r="AA2198" s="576">
        <f t="shared" si="220"/>
        <v>2.1539351851851851E-2</v>
      </c>
      <c r="AB2198" s="722"/>
    </row>
    <row r="2199" spans="1:28" x14ac:dyDescent="0.35">
      <c r="A2199" s="81" t="s">
        <v>6419</v>
      </c>
      <c r="C2199" s="118">
        <v>43913</v>
      </c>
      <c r="D2199" s="318">
        <v>43991</v>
      </c>
      <c r="E2199" s="83">
        <v>43970</v>
      </c>
      <c r="F2199" s="88" t="s">
        <v>6461</v>
      </c>
      <c r="G2199" s="88" t="s">
        <v>149</v>
      </c>
      <c r="H2199" s="98" t="s">
        <v>220</v>
      </c>
      <c r="I2199" s="98" t="s">
        <v>649</v>
      </c>
      <c r="J2199" s="75">
        <f t="shared" si="218"/>
        <v>1</v>
      </c>
      <c r="K2199" s="263" t="s">
        <v>211</v>
      </c>
      <c r="L2199" s="99" t="s">
        <v>7514</v>
      </c>
      <c r="N2199" s="78" t="s">
        <v>18</v>
      </c>
      <c r="Q2199" s="78" t="s">
        <v>2447</v>
      </c>
      <c r="R2199" s="75">
        <f t="shared" si="219"/>
        <v>1</v>
      </c>
      <c r="S2199" s="263" t="s">
        <v>1991</v>
      </c>
      <c r="T2199" s="263" t="s">
        <v>933</v>
      </c>
      <c r="Y2199" s="576">
        <v>0.77445601851851853</v>
      </c>
      <c r="Z2199" s="576">
        <v>0.77997685185185184</v>
      </c>
      <c r="AA2199" s="576">
        <f t="shared" si="220"/>
        <v>5.5208333333333082E-3</v>
      </c>
      <c r="AB2199" s="722"/>
    </row>
    <row r="2200" spans="1:28" x14ac:dyDescent="0.35">
      <c r="A2200" s="81" t="s">
        <v>6421</v>
      </c>
      <c r="C2200" s="118">
        <v>43913</v>
      </c>
      <c r="D2200" s="318">
        <v>43992</v>
      </c>
      <c r="E2200" s="83">
        <v>43971</v>
      </c>
      <c r="F2200" s="88" t="s">
        <v>6463</v>
      </c>
      <c r="G2200" s="88" t="s">
        <v>162</v>
      </c>
      <c r="H2200" s="98" t="s">
        <v>220</v>
      </c>
      <c r="I2200" s="98" t="s">
        <v>722</v>
      </c>
      <c r="J2200" s="75">
        <f t="shared" si="218"/>
        <v>1</v>
      </c>
      <c r="K2200" s="263" t="s">
        <v>211</v>
      </c>
      <c r="L2200" s="99" t="s">
        <v>7522</v>
      </c>
      <c r="N2200" s="78" t="s">
        <v>17</v>
      </c>
      <c r="Q2200" s="78" t="s">
        <v>2447</v>
      </c>
      <c r="R2200" s="75">
        <f t="shared" si="219"/>
        <v>1</v>
      </c>
      <c r="S2200" s="263" t="s">
        <v>1991</v>
      </c>
      <c r="T2200" s="263" t="s">
        <v>933</v>
      </c>
      <c r="U2200" s="304" t="s">
        <v>5592</v>
      </c>
      <c r="V2200" s="304" t="s">
        <v>7523</v>
      </c>
      <c r="Y2200" s="576">
        <v>0.47278935185185184</v>
      </c>
      <c r="Z2200" s="576">
        <v>0.48216435185185186</v>
      </c>
      <c r="AA2200" s="576">
        <f t="shared" si="220"/>
        <v>9.3750000000000222E-3</v>
      </c>
      <c r="AB2200" s="722"/>
    </row>
    <row r="2201" spans="1:28" x14ac:dyDescent="0.35">
      <c r="A2201" s="81" t="s">
        <v>6524</v>
      </c>
      <c r="C2201" s="118">
        <v>43914</v>
      </c>
      <c r="D2201" s="318">
        <v>43993</v>
      </c>
      <c r="E2201" s="83">
        <v>43971</v>
      </c>
      <c r="F2201" s="88" t="s">
        <v>6650</v>
      </c>
      <c r="G2201" s="88" t="s">
        <v>195</v>
      </c>
      <c r="H2201" s="98" t="s">
        <v>220</v>
      </c>
      <c r="I2201" s="98" t="s">
        <v>722</v>
      </c>
      <c r="J2201" s="75">
        <f t="shared" si="218"/>
        <v>1</v>
      </c>
      <c r="K2201" s="263" t="s">
        <v>211</v>
      </c>
      <c r="L2201" s="99" t="s">
        <v>7526</v>
      </c>
      <c r="N2201" s="78" t="s">
        <v>17</v>
      </c>
      <c r="Q2201" s="78" t="s">
        <v>2130</v>
      </c>
      <c r="R2201" s="75">
        <f t="shared" si="219"/>
        <v>1</v>
      </c>
      <c r="S2201" s="263" t="s">
        <v>1991</v>
      </c>
      <c r="T2201" s="263" t="s">
        <v>932</v>
      </c>
      <c r="Y2201" s="576">
        <v>0.69081018518518522</v>
      </c>
      <c r="Z2201" s="576">
        <v>0.69631944444444438</v>
      </c>
      <c r="AA2201" s="576">
        <f t="shared" si="220"/>
        <v>5.5092592592591583E-3</v>
      </c>
      <c r="AB2201" s="722"/>
    </row>
    <row r="2202" spans="1:28" x14ac:dyDescent="0.35">
      <c r="A2202" s="81" t="s">
        <v>6536</v>
      </c>
      <c r="C2202" s="118">
        <v>43915</v>
      </c>
      <c r="D2202" s="118">
        <v>43993</v>
      </c>
      <c r="F2202" s="88" t="s">
        <v>6662</v>
      </c>
      <c r="G2202" s="88" t="s">
        <v>195</v>
      </c>
      <c r="H2202" s="98" t="s">
        <v>220</v>
      </c>
      <c r="J2202" s="75">
        <f t="shared" ref="J2202:J2224" si="221">IF(OR(K2202="Документы готовы",K2202="Запрос в ФО",K2202="ЭЗ",K2202="РЕШ",K2202="РЕШ шаблон"),0.1,IF(OR(K2202="ЭЗ согласование",K2202="РЕШ согласование"),0.3,IF(OR(K2202="ЭЗ согласовано",K2202="РЕШ согласовано",K2202="РЕШ подписано"),0.6,IF(OR(K2202="ЭЗ ПР согласование",K2202="РЕШ УВ согласование"),0.9,IF(OR(K2202="ЭЗ ПР DONE",K2202="РЕШ УВ DONE"),1,0)))))</f>
        <v>1</v>
      </c>
      <c r="K2202" s="76" t="s">
        <v>211</v>
      </c>
      <c r="N2202" s="78" t="s">
        <v>17</v>
      </c>
      <c r="Q2202" s="78" t="s">
        <v>2130</v>
      </c>
      <c r="R2202" s="75">
        <f t="shared" ref="R2202:R2224" si="222">IF(S2202="В работе",0.3,IF(S2202="Отписано",0.6,IF(S2202="На доработку",0.9,IF(S2202="Согласовано",1,0))))</f>
        <v>1</v>
      </c>
      <c r="S2202" s="263" t="s">
        <v>1991</v>
      </c>
      <c r="T2202" s="263" t="s">
        <v>933</v>
      </c>
      <c r="AA2202" s="576">
        <f t="shared" ref="AA2202:AA2224" si="223">Z2202-Y2202</f>
        <v>0</v>
      </c>
      <c r="AB2202" s="722"/>
    </row>
    <row r="2203" spans="1:28" x14ac:dyDescent="0.35">
      <c r="A2203" s="81" t="s">
        <v>7272</v>
      </c>
      <c r="C2203" s="118">
        <v>43915</v>
      </c>
      <c r="D2203" s="318">
        <v>43993</v>
      </c>
      <c r="E2203" s="83">
        <v>43971</v>
      </c>
      <c r="F2203" s="88" t="s">
        <v>7393</v>
      </c>
      <c r="G2203" s="88" t="s">
        <v>152</v>
      </c>
      <c r="H2203" s="98" t="s">
        <v>220</v>
      </c>
      <c r="I2203" s="98" t="s">
        <v>722</v>
      </c>
      <c r="J2203" s="75">
        <f t="shared" si="221"/>
        <v>1</v>
      </c>
      <c r="K2203" s="263" t="s">
        <v>211</v>
      </c>
      <c r="L2203" s="99" t="s">
        <v>7527</v>
      </c>
      <c r="N2203" s="78" t="s">
        <v>18</v>
      </c>
      <c r="Q2203" s="78" t="s">
        <v>2097</v>
      </c>
      <c r="R2203" s="75">
        <f t="shared" si="222"/>
        <v>1</v>
      </c>
      <c r="S2203" s="263" t="s">
        <v>1991</v>
      </c>
      <c r="T2203" s="263" t="s">
        <v>933</v>
      </c>
      <c r="Y2203" s="576">
        <v>0.55538194444444444</v>
      </c>
      <c r="Z2203" s="576">
        <v>0.56090277777777775</v>
      </c>
      <c r="AA2203" s="576">
        <f t="shared" si="223"/>
        <v>5.5208333333333082E-3</v>
      </c>
      <c r="AB2203" s="722"/>
    </row>
    <row r="2204" spans="1:28" x14ac:dyDescent="0.35">
      <c r="A2204" s="81" t="s">
        <v>7273</v>
      </c>
      <c r="C2204" s="118">
        <v>43915</v>
      </c>
      <c r="D2204" s="318">
        <v>43993</v>
      </c>
      <c r="E2204" s="83">
        <v>43971</v>
      </c>
      <c r="F2204" s="88" t="s">
        <v>7394</v>
      </c>
      <c r="G2204" s="88" t="s">
        <v>1692</v>
      </c>
      <c r="H2204" s="98" t="s">
        <v>220</v>
      </c>
      <c r="I2204" s="98" t="s">
        <v>649</v>
      </c>
      <c r="J2204" s="75">
        <f t="shared" si="221"/>
        <v>1</v>
      </c>
      <c r="K2204" s="263" t="s">
        <v>211</v>
      </c>
      <c r="L2204" s="99" t="s">
        <v>7524</v>
      </c>
      <c r="N2204" s="78" t="s">
        <v>18</v>
      </c>
      <c r="Q2204" s="78" t="s">
        <v>2097</v>
      </c>
      <c r="R2204" s="75">
        <f t="shared" si="222"/>
        <v>1</v>
      </c>
      <c r="S2204" s="263" t="s">
        <v>1991</v>
      </c>
      <c r="T2204" s="263" t="s">
        <v>933</v>
      </c>
      <c r="Y2204" s="576">
        <v>0.54893518518518525</v>
      </c>
      <c r="Z2204" s="576">
        <v>0.55505787037037035</v>
      </c>
      <c r="AA2204" s="576">
        <f t="shared" si="223"/>
        <v>6.1226851851851061E-3</v>
      </c>
      <c r="AB2204" s="722"/>
    </row>
    <row r="2205" spans="1:28" x14ac:dyDescent="0.35">
      <c r="A2205" s="81" t="s">
        <v>6542</v>
      </c>
      <c r="C2205" s="118">
        <v>43915</v>
      </c>
      <c r="D2205" s="318">
        <v>43997</v>
      </c>
      <c r="E2205" s="83">
        <v>43976</v>
      </c>
      <c r="F2205" s="88" t="s">
        <v>6668</v>
      </c>
      <c r="G2205" s="88" t="s">
        <v>154</v>
      </c>
      <c r="H2205" s="81" t="s">
        <v>275</v>
      </c>
      <c r="I2205" s="98" t="s">
        <v>2777</v>
      </c>
      <c r="J2205" s="75">
        <f t="shared" si="221"/>
        <v>1</v>
      </c>
      <c r="K2205" s="263" t="s">
        <v>211</v>
      </c>
      <c r="L2205" s="99" t="s">
        <v>7556</v>
      </c>
      <c r="N2205" s="78" t="s">
        <v>19</v>
      </c>
      <c r="Q2205" s="78" t="s">
        <v>2163</v>
      </c>
      <c r="R2205" s="75">
        <f t="shared" si="222"/>
        <v>1</v>
      </c>
      <c r="S2205" s="263" t="s">
        <v>1991</v>
      </c>
      <c r="T2205" s="263" t="s">
        <v>933</v>
      </c>
      <c r="Y2205" s="576">
        <v>0.48935185185185182</v>
      </c>
      <c r="Z2205" s="576">
        <v>0.50457175925925923</v>
      </c>
      <c r="AA2205" s="576">
        <f t="shared" si="223"/>
        <v>1.5219907407407418E-2</v>
      </c>
      <c r="AB2205" s="722"/>
    </row>
    <row r="2206" spans="1:28" x14ac:dyDescent="0.35">
      <c r="A2206" s="81" t="s">
        <v>6543</v>
      </c>
      <c r="C2206" s="118">
        <v>43915</v>
      </c>
      <c r="D2206" s="318">
        <v>43993</v>
      </c>
      <c r="E2206" s="83">
        <v>43971</v>
      </c>
      <c r="F2206" s="88" t="s">
        <v>6669</v>
      </c>
      <c r="G2206" s="88" t="s">
        <v>156</v>
      </c>
      <c r="H2206" s="98" t="s">
        <v>220</v>
      </c>
      <c r="I2206" s="98" t="s">
        <v>730</v>
      </c>
      <c r="J2206" s="75">
        <f t="shared" si="221"/>
        <v>1</v>
      </c>
      <c r="K2206" s="263" t="s">
        <v>211</v>
      </c>
      <c r="L2206" s="99" t="s">
        <v>7519</v>
      </c>
      <c r="N2206" s="78" t="s">
        <v>17</v>
      </c>
      <c r="Q2206" s="78" t="s">
        <v>2447</v>
      </c>
      <c r="R2206" s="75">
        <f t="shared" si="222"/>
        <v>1</v>
      </c>
      <c r="S2206" s="263" t="s">
        <v>1991</v>
      </c>
      <c r="T2206" s="263" t="s">
        <v>934</v>
      </c>
      <c r="Y2206" s="576">
        <v>0.4362847222222222</v>
      </c>
      <c r="Z2206" s="576">
        <v>0.45857638888888891</v>
      </c>
      <c r="AA2206" s="576">
        <f t="shared" si="223"/>
        <v>2.229166666666671E-2</v>
      </c>
      <c r="AB2206" s="722"/>
    </row>
    <row r="2207" spans="1:28" x14ac:dyDescent="0.35">
      <c r="A2207" s="81" t="s">
        <v>6545</v>
      </c>
      <c r="C2207" s="118">
        <v>43915</v>
      </c>
      <c r="D2207" s="318">
        <v>43993</v>
      </c>
      <c r="E2207" s="83">
        <v>43971</v>
      </c>
      <c r="F2207" s="88" t="s">
        <v>6671</v>
      </c>
      <c r="G2207" s="88" t="s">
        <v>160</v>
      </c>
      <c r="H2207" s="98" t="s">
        <v>220</v>
      </c>
      <c r="I2207" s="98" t="s">
        <v>649</v>
      </c>
      <c r="J2207" s="75">
        <f t="shared" si="221"/>
        <v>1</v>
      </c>
      <c r="K2207" s="263" t="s">
        <v>211</v>
      </c>
      <c r="L2207" s="99" t="s">
        <v>7521</v>
      </c>
      <c r="N2207" s="78" t="s">
        <v>18</v>
      </c>
      <c r="Q2207" s="78" t="s">
        <v>2447</v>
      </c>
      <c r="R2207" s="75">
        <f t="shared" si="222"/>
        <v>1</v>
      </c>
      <c r="S2207" s="263" t="s">
        <v>1991</v>
      </c>
      <c r="T2207" s="263" t="s">
        <v>932</v>
      </c>
      <c r="Y2207" s="576">
        <v>0.4664814814814815</v>
      </c>
      <c r="Z2207" s="576">
        <v>0.47251157407407413</v>
      </c>
      <c r="AA2207" s="576">
        <f t="shared" si="223"/>
        <v>6.0300925925926285E-3</v>
      </c>
      <c r="AB2207" s="722"/>
    </row>
    <row r="2208" spans="1:28" x14ac:dyDescent="0.35">
      <c r="A2208" s="81" t="s">
        <v>6546</v>
      </c>
      <c r="C2208" s="118">
        <v>43915</v>
      </c>
      <c r="D2208" s="318">
        <v>43997</v>
      </c>
      <c r="E2208" s="83">
        <v>43971</v>
      </c>
      <c r="F2208" s="88" t="s">
        <v>6672</v>
      </c>
      <c r="G2208" s="88" t="s">
        <v>154</v>
      </c>
      <c r="H2208" s="98" t="s">
        <v>220</v>
      </c>
      <c r="I2208" s="98" t="s">
        <v>722</v>
      </c>
      <c r="J2208" s="75">
        <f t="shared" si="221"/>
        <v>1</v>
      </c>
      <c r="K2208" s="263" t="s">
        <v>211</v>
      </c>
      <c r="L2208" s="99" t="s">
        <v>7526</v>
      </c>
      <c r="N2208" s="78" t="s">
        <v>18</v>
      </c>
      <c r="Q2208" s="78" t="s">
        <v>2097</v>
      </c>
      <c r="R2208" s="75">
        <f t="shared" si="222"/>
        <v>1</v>
      </c>
      <c r="S2208" s="263" t="s">
        <v>1991</v>
      </c>
      <c r="T2208" s="263" t="s">
        <v>934</v>
      </c>
      <c r="Y2208" s="576">
        <v>0.51306712962962964</v>
      </c>
      <c r="Z2208" s="576">
        <v>0.54212962962962963</v>
      </c>
      <c r="AA2208" s="576">
        <f t="shared" si="223"/>
        <v>2.9062499999999991E-2</v>
      </c>
      <c r="AB2208" s="722"/>
    </row>
    <row r="2209" spans="1:28" x14ac:dyDescent="0.35">
      <c r="A2209" s="81" t="s">
        <v>6900</v>
      </c>
      <c r="C2209" s="118">
        <v>43916</v>
      </c>
      <c r="D2209" s="318">
        <v>43997</v>
      </c>
      <c r="E2209" s="83">
        <v>43971</v>
      </c>
      <c r="F2209" s="88" t="s">
        <v>6929</v>
      </c>
      <c r="G2209" s="88" t="s">
        <v>149</v>
      </c>
      <c r="H2209" s="98" t="s">
        <v>220</v>
      </c>
      <c r="I2209" s="98" t="s">
        <v>722</v>
      </c>
      <c r="J2209" s="75">
        <f t="shared" si="221"/>
        <v>1</v>
      </c>
      <c r="K2209" s="263" t="s">
        <v>211</v>
      </c>
      <c r="L2209" s="99" t="s">
        <v>7527</v>
      </c>
      <c r="N2209" s="78" t="s">
        <v>17</v>
      </c>
      <c r="Q2209" s="78" t="s">
        <v>2097</v>
      </c>
      <c r="R2209" s="75">
        <f t="shared" si="222"/>
        <v>1</v>
      </c>
      <c r="S2209" s="263" t="s">
        <v>1991</v>
      </c>
      <c r="T2209" s="263" t="s">
        <v>932</v>
      </c>
      <c r="Y2209" s="576">
        <v>0.5427777777777778</v>
      </c>
      <c r="Z2209" s="576">
        <v>0.54863425925925924</v>
      </c>
      <c r="AA2209" s="576">
        <f t="shared" si="223"/>
        <v>5.8564814814814348E-3</v>
      </c>
      <c r="AB2209" s="722"/>
    </row>
    <row r="2210" spans="1:28" x14ac:dyDescent="0.35">
      <c r="A2210" s="81" t="s">
        <v>6570</v>
      </c>
      <c r="C2210" s="118">
        <v>43927</v>
      </c>
      <c r="D2210" s="318">
        <v>43998</v>
      </c>
      <c r="E2210" s="83">
        <v>43971</v>
      </c>
      <c r="F2210" s="88" t="s">
        <v>6695</v>
      </c>
      <c r="G2210" s="88" t="s">
        <v>162</v>
      </c>
      <c r="H2210" s="98" t="s">
        <v>220</v>
      </c>
      <c r="I2210" s="98" t="s">
        <v>722</v>
      </c>
      <c r="J2210" s="75">
        <f t="shared" si="221"/>
        <v>1</v>
      </c>
      <c r="K2210" s="263" t="s">
        <v>211</v>
      </c>
      <c r="L2210" s="99" t="s">
        <v>7525</v>
      </c>
      <c r="N2210" s="78" t="s">
        <v>17</v>
      </c>
      <c r="Q2210" s="78" t="s">
        <v>2097</v>
      </c>
      <c r="R2210" s="75">
        <f t="shared" si="222"/>
        <v>1</v>
      </c>
      <c r="S2210" s="263" t="s">
        <v>1991</v>
      </c>
      <c r="T2210" s="263" t="s">
        <v>934</v>
      </c>
      <c r="Y2210" s="576">
        <v>0.5058449074074074</v>
      </c>
      <c r="Z2210" s="576">
        <v>0.51271990740740747</v>
      </c>
      <c r="AA2210" s="576">
        <f t="shared" si="223"/>
        <v>6.8750000000000755E-3</v>
      </c>
      <c r="AB2210" s="722"/>
    </row>
    <row r="2211" spans="1:28" x14ac:dyDescent="0.35">
      <c r="A2211" s="81" t="s">
        <v>6572</v>
      </c>
      <c r="C2211" s="118">
        <v>43927</v>
      </c>
      <c r="D2211" s="318">
        <v>43998</v>
      </c>
      <c r="E2211" s="83">
        <v>43976</v>
      </c>
      <c r="F2211" s="88" t="s">
        <v>6697</v>
      </c>
      <c r="G2211" s="88" t="s">
        <v>160</v>
      </c>
      <c r="H2211" s="98" t="s">
        <v>220</v>
      </c>
      <c r="I2211" s="98" t="s">
        <v>722</v>
      </c>
      <c r="J2211" s="75">
        <f t="shared" si="221"/>
        <v>1</v>
      </c>
      <c r="K2211" s="263" t="s">
        <v>211</v>
      </c>
      <c r="L2211" s="99" t="s">
        <v>7527</v>
      </c>
      <c r="N2211" s="78" t="s">
        <v>18</v>
      </c>
      <c r="Q2211" s="78" t="s">
        <v>2097</v>
      </c>
      <c r="R2211" s="75">
        <f t="shared" si="222"/>
        <v>1</v>
      </c>
      <c r="S2211" s="263" t="s">
        <v>1991</v>
      </c>
      <c r="T2211" s="263" t="s">
        <v>932</v>
      </c>
      <c r="Y2211" s="576">
        <v>0.73732638888888891</v>
      </c>
      <c r="Z2211" s="576">
        <v>0.74266203703703704</v>
      </c>
      <c r="AA2211" s="576">
        <f t="shared" si="223"/>
        <v>5.335648148148131E-3</v>
      </c>
      <c r="AB2211" s="722"/>
    </row>
    <row r="2212" spans="1:28" x14ac:dyDescent="0.35">
      <c r="A2212" s="81" t="s">
        <v>6578</v>
      </c>
      <c r="C2212" s="118">
        <v>43927</v>
      </c>
      <c r="D2212" s="318">
        <v>43998</v>
      </c>
      <c r="E2212" s="83">
        <v>43976</v>
      </c>
      <c r="F2212" s="88" t="s">
        <v>6703</v>
      </c>
      <c r="G2212" s="88" t="s">
        <v>149</v>
      </c>
      <c r="H2212" s="98" t="s">
        <v>220</v>
      </c>
      <c r="I2212" s="98" t="s">
        <v>649</v>
      </c>
      <c r="J2212" s="75">
        <f t="shared" si="221"/>
        <v>1</v>
      </c>
      <c r="K2212" s="263" t="s">
        <v>211</v>
      </c>
      <c r="L2212" s="99" t="s">
        <v>7563</v>
      </c>
      <c r="N2212" s="78" t="s">
        <v>18</v>
      </c>
      <c r="Q2212" s="78" t="s">
        <v>2097</v>
      </c>
      <c r="R2212" s="75">
        <f t="shared" si="222"/>
        <v>1</v>
      </c>
      <c r="S2212" s="263" t="s">
        <v>1991</v>
      </c>
      <c r="T2212" s="263" t="s">
        <v>934</v>
      </c>
      <c r="Y2212" s="576">
        <v>0.72927083333333342</v>
      </c>
      <c r="Z2212" s="576">
        <v>0.73616898148148147</v>
      </c>
      <c r="AA2212" s="576">
        <f t="shared" si="223"/>
        <v>6.8981481481480422E-3</v>
      </c>
      <c r="AB2212" s="722"/>
    </row>
    <row r="2213" spans="1:28" x14ac:dyDescent="0.35">
      <c r="A2213" s="81" t="s">
        <v>6579</v>
      </c>
      <c r="C2213" s="118">
        <v>43927</v>
      </c>
      <c r="D2213" s="318">
        <v>43998</v>
      </c>
      <c r="E2213" s="83">
        <v>43976</v>
      </c>
      <c r="F2213" s="88" t="s">
        <v>6704</v>
      </c>
      <c r="G2213" s="88" t="s">
        <v>152</v>
      </c>
      <c r="H2213" s="98" t="s">
        <v>220</v>
      </c>
      <c r="I2213" s="98" t="s">
        <v>722</v>
      </c>
      <c r="J2213" s="75">
        <f t="shared" si="221"/>
        <v>1</v>
      </c>
      <c r="K2213" s="263" t="s">
        <v>211</v>
      </c>
      <c r="L2213" s="99" t="s">
        <v>7527</v>
      </c>
      <c r="N2213" s="78" t="s">
        <v>18</v>
      </c>
      <c r="Q2213" s="78" t="s">
        <v>2097</v>
      </c>
      <c r="R2213" s="75">
        <f t="shared" si="222"/>
        <v>1</v>
      </c>
      <c r="S2213" s="263" t="s">
        <v>1991</v>
      </c>
      <c r="T2213" s="263" t="s">
        <v>933</v>
      </c>
      <c r="Y2213" s="576">
        <v>0.72275462962962955</v>
      </c>
      <c r="Z2213" s="576">
        <v>0.72872685185185182</v>
      </c>
      <c r="AA2213" s="576">
        <f t="shared" si="223"/>
        <v>5.9722222222222676E-3</v>
      </c>
      <c r="AB2213" s="722"/>
    </row>
    <row r="2214" spans="1:28" x14ac:dyDescent="0.35">
      <c r="A2214" s="81" t="s">
        <v>6582</v>
      </c>
      <c r="C2214" s="118">
        <v>43927</v>
      </c>
      <c r="D2214" s="318">
        <v>43998</v>
      </c>
      <c r="E2214" s="83">
        <v>43976</v>
      </c>
      <c r="F2214" s="88" t="s">
        <v>6707</v>
      </c>
      <c r="G2214" s="88" t="s">
        <v>1393</v>
      </c>
      <c r="H2214" s="98" t="s">
        <v>220</v>
      </c>
      <c r="I2214" s="98" t="s">
        <v>649</v>
      </c>
      <c r="J2214" s="75">
        <f t="shared" si="221"/>
        <v>1</v>
      </c>
      <c r="K2214" s="263" t="s">
        <v>211</v>
      </c>
      <c r="L2214" s="99" t="s">
        <v>7564</v>
      </c>
      <c r="N2214" s="78" t="s">
        <v>17</v>
      </c>
      <c r="Q2214" s="78" t="s">
        <v>2097</v>
      </c>
      <c r="R2214" s="75">
        <f t="shared" si="222"/>
        <v>1</v>
      </c>
      <c r="S2214" s="263" t="s">
        <v>1991</v>
      </c>
      <c r="T2214" s="263" t="s">
        <v>934</v>
      </c>
      <c r="Y2214" s="576">
        <v>0.65546296296296302</v>
      </c>
      <c r="Z2214" s="576">
        <v>0.67936342592592591</v>
      </c>
      <c r="AA2214" s="576">
        <f t="shared" si="223"/>
        <v>2.3900462962962887E-2</v>
      </c>
      <c r="AB2214" s="722"/>
    </row>
    <row r="2215" spans="1:28" x14ac:dyDescent="0.35">
      <c r="A2215" s="81" t="s">
        <v>6584</v>
      </c>
      <c r="C2215" s="118">
        <v>43928</v>
      </c>
      <c r="D2215" s="318">
        <v>43998</v>
      </c>
      <c r="E2215" s="83">
        <v>43976</v>
      </c>
      <c r="F2215" s="88" t="s">
        <v>6709</v>
      </c>
      <c r="G2215" s="88" t="s">
        <v>152</v>
      </c>
      <c r="H2215" s="98" t="s">
        <v>220</v>
      </c>
      <c r="I2215" s="98" t="s">
        <v>730</v>
      </c>
      <c r="J2215" s="75">
        <f t="shared" si="221"/>
        <v>1</v>
      </c>
      <c r="K2215" s="263" t="s">
        <v>211</v>
      </c>
      <c r="L2215" s="99" t="s">
        <v>7555</v>
      </c>
      <c r="N2215" s="78" t="s">
        <v>17</v>
      </c>
      <c r="Q2215" s="78" t="s">
        <v>2163</v>
      </c>
      <c r="R2215" s="75">
        <f t="shared" si="222"/>
        <v>1</v>
      </c>
      <c r="S2215" s="263" t="s">
        <v>1991</v>
      </c>
      <c r="T2215" s="263" t="s">
        <v>932</v>
      </c>
      <c r="Y2215" s="576">
        <v>0.47728009259259263</v>
      </c>
      <c r="Z2215" s="576">
        <v>0.48900462962962959</v>
      </c>
      <c r="AA2215" s="576">
        <f t="shared" si="223"/>
        <v>1.1724537037036964E-2</v>
      </c>
      <c r="AB2215" s="722"/>
    </row>
    <row r="2216" spans="1:28" x14ac:dyDescent="0.35">
      <c r="A2216" s="81" t="s">
        <v>6592</v>
      </c>
      <c r="C2216" s="118">
        <v>43928</v>
      </c>
      <c r="D2216" s="318">
        <v>43998</v>
      </c>
      <c r="E2216" s="83">
        <v>43976</v>
      </c>
      <c r="F2216" s="88" t="s">
        <v>6717</v>
      </c>
      <c r="G2216" s="88" t="s">
        <v>152</v>
      </c>
      <c r="H2216" s="98" t="s">
        <v>220</v>
      </c>
      <c r="I2216" s="98" t="s">
        <v>652</v>
      </c>
      <c r="J2216" s="75">
        <f t="shared" si="221"/>
        <v>1</v>
      </c>
      <c r="K2216" s="263" t="s">
        <v>211</v>
      </c>
      <c r="L2216" s="99" t="s">
        <v>7553</v>
      </c>
      <c r="N2216" s="78" t="s">
        <v>18</v>
      </c>
      <c r="Q2216" s="78" t="s">
        <v>2163</v>
      </c>
      <c r="R2216" s="75">
        <f t="shared" si="222"/>
        <v>1</v>
      </c>
      <c r="S2216" s="263" t="s">
        <v>1991</v>
      </c>
      <c r="T2216" s="263" t="s">
        <v>933</v>
      </c>
      <c r="Y2216" s="576">
        <v>0.46663194444444445</v>
      </c>
      <c r="Z2216" s="576">
        <v>0.47545138888888888</v>
      </c>
      <c r="AA2216" s="576">
        <f t="shared" si="223"/>
        <v>8.8194444444444353E-3</v>
      </c>
      <c r="AB2216" s="722"/>
    </row>
    <row r="2217" spans="1:28" x14ac:dyDescent="0.35">
      <c r="A2217" s="81" t="s">
        <v>6601</v>
      </c>
      <c r="C2217" s="118">
        <v>43928</v>
      </c>
      <c r="D2217" s="318">
        <v>43998</v>
      </c>
      <c r="E2217" s="83">
        <v>43976</v>
      </c>
      <c r="F2217" s="88" t="s">
        <v>6726</v>
      </c>
      <c r="G2217" s="88" t="s">
        <v>152</v>
      </c>
      <c r="H2217" s="98" t="s">
        <v>220</v>
      </c>
      <c r="I2217" s="98" t="s">
        <v>649</v>
      </c>
      <c r="J2217" s="75">
        <f t="shared" si="221"/>
        <v>1</v>
      </c>
      <c r="K2217" s="263" t="s">
        <v>211</v>
      </c>
      <c r="L2217" s="99" t="s">
        <v>7552</v>
      </c>
      <c r="N2217" s="78" t="s">
        <v>18</v>
      </c>
      <c r="Q2217" s="78" t="s">
        <v>2163</v>
      </c>
      <c r="R2217" s="75">
        <f t="shared" si="222"/>
        <v>1</v>
      </c>
      <c r="S2217" s="263" t="s">
        <v>1991</v>
      </c>
      <c r="T2217" s="263" t="s">
        <v>934</v>
      </c>
      <c r="Y2217" s="576">
        <v>0.4624537037037037</v>
      </c>
      <c r="Z2217" s="576">
        <v>0.47574074074074074</v>
      </c>
      <c r="AA2217" s="576">
        <f t="shared" si="223"/>
        <v>1.3287037037037042E-2</v>
      </c>
      <c r="AB2217" s="722"/>
    </row>
    <row r="2218" spans="1:28" x14ac:dyDescent="0.35">
      <c r="A2218" s="81" t="s">
        <v>6614</v>
      </c>
      <c r="C2218" s="118">
        <v>43928</v>
      </c>
      <c r="D2218" s="318">
        <v>43998</v>
      </c>
      <c r="E2218" s="83">
        <v>43976</v>
      </c>
      <c r="F2218" s="88" t="s">
        <v>6739</v>
      </c>
      <c r="G2218" s="88" t="s">
        <v>162</v>
      </c>
      <c r="H2218" s="98" t="s">
        <v>220</v>
      </c>
      <c r="I2218" s="98" t="s">
        <v>722</v>
      </c>
      <c r="J2218" s="75">
        <f t="shared" si="221"/>
        <v>1</v>
      </c>
      <c r="K2218" s="263" t="s">
        <v>211</v>
      </c>
      <c r="L2218" s="99" t="s">
        <v>7551</v>
      </c>
      <c r="N2218" s="78" t="s">
        <v>17</v>
      </c>
      <c r="Q2218" s="78" t="s">
        <v>2163</v>
      </c>
      <c r="R2218" s="75">
        <f t="shared" si="222"/>
        <v>1</v>
      </c>
      <c r="S2218" s="263" t="s">
        <v>1991</v>
      </c>
      <c r="T2218" s="263" t="s">
        <v>932</v>
      </c>
      <c r="Y2218" s="576">
        <v>0.45276620370370368</v>
      </c>
      <c r="Z2218" s="576">
        <v>0.46211805555555557</v>
      </c>
      <c r="AA2218" s="576">
        <f t="shared" si="223"/>
        <v>9.3518518518518889E-3</v>
      </c>
      <c r="AB2218" s="722"/>
    </row>
    <row r="2219" spans="1:28" x14ac:dyDescent="0.35">
      <c r="A2219" s="81" t="s">
        <v>6615</v>
      </c>
      <c r="C2219" s="118">
        <v>43928</v>
      </c>
      <c r="D2219" s="318">
        <v>43998</v>
      </c>
      <c r="E2219" s="83">
        <v>43976</v>
      </c>
      <c r="F2219" s="88" t="s">
        <v>6740</v>
      </c>
      <c r="G2219" s="88" t="s">
        <v>417</v>
      </c>
      <c r="H2219" s="98" t="s">
        <v>220</v>
      </c>
      <c r="I2219" s="98" t="s">
        <v>722</v>
      </c>
      <c r="J2219" s="75">
        <f t="shared" si="221"/>
        <v>1</v>
      </c>
      <c r="K2219" s="263" t="s">
        <v>211</v>
      </c>
      <c r="L2219" s="99" t="s">
        <v>7557</v>
      </c>
      <c r="N2219" s="78" t="s">
        <v>17</v>
      </c>
      <c r="Q2219" s="78" t="s">
        <v>2163</v>
      </c>
      <c r="R2219" s="75">
        <f t="shared" si="222"/>
        <v>1</v>
      </c>
      <c r="S2219" s="263" t="s">
        <v>1991</v>
      </c>
      <c r="T2219" s="263" t="s">
        <v>933</v>
      </c>
      <c r="U2219" s="304" t="s">
        <v>5592</v>
      </c>
      <c r="V2219" s="304" t="s">
        <v>7558</v>
      </c>
      <c r="Y2219" s="576">
        <v>0.50701388888888888</v>
      </c>
      <c r="Z2219" s="576">
        <v>0.51370370370370366</v>
      </c>
      <c r="AA2219" s="576">
        <f t="shared" si="223"/>
        <v>6.6898148148147873E-3</v>
      </c>
      <c r="AB2219" s="722"/>
    </row>
    <row r="2220" spans="1:28" x14ac:dyDescent="0.35">
      <c r="A2220" s="81" t="s">
        <v>6619</v>
      </c>
      <c r="C2220" s="118">
        <v>43928</v>
      </c>
      <c r="D2220" s="318">
        <v>43998</v>
      </c>
      <c r="E2220" s="83">
        <v>43976</v>
      </c>
      <c r="F2220" s="88" t="s">
        <v>6744</v>
      </c>
      <c r="G2220" s="88" t="s">
        <v>154</v>
      </c>
      <c r="H2220" s="98" t="s">
        <v>220</v>
      </c>
      <c r="I2220" s="98" t="s">
        <v>863</v>
      </c>
      <c r="J2220" s="75">
        <f t="shared" si="221"/>
        <v>1</v>
      </c>
      <c r="K2220" s="263" t="s">
        <v>211</v>
      </c>
      <c r="L2220" s="99" t="s">
        <v>7575</v>
      </c>
      <c r="N2220" s="78" t="s">
        <v>17</v>
      </c>
      <c r="Q2220" s="78" t="s">
        <v>2130</v>
      </c>
      <c r="R2220" s="75">
        <f t="shared" si="222"/>
        <v>1</v>
      </c>
      <c r="S2220" s="263" t="s">
        <v>1991</v>
      </c>
      <c r="T2220" s="263" t="s">
        <v>934</v>
      </c>
      <c r="Y2220" s="576">
        <v>0.94188657407407417</v>
      </c>
      <c r="Z2220" s="576">
        <v>0.95070601851851855</v>
      </c>
      <c r="AA2220" s="576">
        <f t="shared" si="223"/>
        <v>8.8194444444443798E-3</v>
      </c>
      <c r="AB2220" s="722"/>
    </row>
    <row r="2221" spans="1:28" x14ac:dyDescent="0.35">
      <c r="A2221" s="81" t="s">
        <v>6624</v>
      </c>
      <c r="C2221" s="118">
        <v>43929</v>
      </c>
      <c r="D2221" s="318">
        <v>43998</v>
      </c>
      <c r="E2221" s="83">
        <v>43976</v>
      </c>
      <c r="F2221" s="88" t="s">
        <v>6749</v>
      </c>
      <c r="G2221" s="88" t="s">
        <v>152</v>
      </c>
      <c r="H2221" s="98" t="s">
        <v>220</v>
      </c>
      <c r="I2221" s="98" t="s">
        <v>649</v>
      </c>
      <c r="J2221" s="75">
        <f t="shared" si="221"/>
        <v>1</v>
      </c>
      <c r="K2221" s="263" t="s">
        <v>211</v>
      </c>
      <c r="L2221" s="99" t="s">
        <v>7563</v>
      </c>
      <c r="N2221" s="78" t="s">
        <v>18</v>
      </c>
      <c r="Q2221" s="78" t="s">
        <v>2097</v>
      </c>
      <c r="R2221" s="75">
        <f t="shared" si="222"/>
        <v>1</v>
      </c>
      <c r="S2221" s="263" t="s">
        <v>1991</v>
      </c>
      <c r="T2221" s="263" t="s">
        <v>932</v>
      </c>
      <c r="Y2221" s="576">
        <v>0.64930555555555558</v>
      </c>
      <c r="Z2221" s="576">
        <v>0.65482638888888889</v>
      </c>
      <c r="AA2221" s="576">
        <f t="shared" si="223"/>
        <v>5.5208333333333082E-3</v>
      </c>
      <c r="AB2221" s="722"/>
    </row>
    <row r="2222" spans="1:28" x14ac:dyDescent="0.35">
      <c r="A2222" s="81" t="s">
        <v>6625</v>
      </c>
      <c r="C2222" s="118">
        <v>43929</v>
      </c>
      <c r="D2222" s="318">
        <v>43998</v>
      </c>
      <c r="E2222" s="83">
        <v>43976</v>
      </c>
      <c r="F2222" s="88" t="s">
        <v>6750</v>
      </c>
      <c r="G2222" s="88" t="s">
        <v>3684</v>
      </c>
      <c r="H2222" s="98" t="s">
        <v>220</v>
      </c>
      <c r="I2222" s="98" t="s">
        <v>652</v>
      </c>
      <c r="J2222" s="75">
        <f t="shared" si="221"/>
        <v>1</v>
      </c>
      <c r="K2222" s="263" t="s">
        <v>211</v>
      </c>
      <c r="L2222" s="99" t="s">
        <v>7572</v>
      </c>
      <c r="N2222" s="78" t="s">
        <v>18</v>
      </c>
      <c r="Q2222" s="78" t="s">
        <v>2163</v>
      </c>
      <c r="R2222" s="75">
        <f t="shared" si="222"/>
        <v>1</v>
      </c>
      <c r="S2222" s="263" t="s">
        <v>1991</v>
      </c>
      <c r="T2222" s="263" t="s">
        <v>933</v>
      </c>
      <c r="Y2222" s="576">
        <v>0.89579861111111114</v>
      </c>
      <c r="Z2222" s="576">
        <v>0.9081597222222223</v>
      </c>
      <c r="AA2222" s="576">
        <f t="shared" si="223"/>
        <v>1.2361111111111156E-2</v>
      </c>
      <c r="AB2222" s="722"/>
    </row>
    <row r="2223" spans="1:28" x14ac:dyDescent="0.35">
      <c r="A2223" s="81" t="s">
        <v>6626</v>
      </c>
      <c r="C2223" s="118">
        <v>43929</v>
      </c>
      <c r="D2223" s="318">
        <v>43998</v>
      </c>
      <c r="E2223" s="83">
        <v>43976</v>
      </c>
      <c r="F2223" s="88" t="s">
        <v>6751</v>
      </c>
      <c r="G2223" s="88" t="s">
        <v>154</v>
      </c>
      <c r="H2223" s="98" t="s">
        <v>220</v>
      </c>
      <c r="I2223" s="98" t="s">
        <v>656</v>
      </c>
      <c r="J2223" s="75">
        <f t="shared" si="221"/>
        <v>1</v>
      </c>
      <c r="K2223" s="263" t="s">
        <v>211</v>
      </c>
      <c r="L2223" s="99" t="s">
        <v>7547</v>
      </c>
      <c r="N2223" s="78" t="s">
        <v>17</v>
      </c>
      <c r="Q2223" s="78" t="s">
        <v>2056</v>
      </c>
      <c r="R2223" s="75">
        <f t="shared" si="222"/>
        <v>1</v>
      </c>
      <c r="S2223" s="263" t="s">
        <v>1991</v>
      </c>
      <c r="T2223" s="263" t="s">
        <v>932</v>
      </c>
      <c r="Y2223" s="576">
        <v>0.79106481481481483</v>
      </c>
      <c r="Z2223" s="576">
        <v>0.80527777777777787</v>
      </c>
      <c r="AA2223" s="576">
        <f t="shared" si="223"/>
        <v>1.4212962962963038E-2</v>
      </c>
      <c r="AB2223" s="722"/>
    </row>
    <row r="2224" spans="1:28" x14ac:dyDescent="0.35">
      <c r="A2224" s="81" t="s">
        <v>6632</v>
      </c>
      <c r="C2224" s="118">
        <v>43930</v>
      </c>
      <c r="D2224" s="318">
        <v>43998</v>
      </c>
      <c r="E2224" s="83">
        <v>43976</v>
      </c>
      <c r="F2224" s="88" t="s">
        <v>6758</v>
      </c>
      <c r="G2224" s="88" t="s">
        <v>156</v>
      </c>
      <c r="H2224" s="98" t="s">
        <v>220</v>
      </c>
      <c r="I2224" s="98" t="s">
        <v>722</v>
      </c>
      <c r="J2224" s="75">
        <f t="shared" si="221"/>
        <v>1</v>
      </c>
      <c r="K2224" s="263" t="s">
        <v>211</v>
      </c>
      <c r="L2224" s="99" t="s">
        <v>7526</v>
      </c>
      <c r="N2224" s="78" t="s">
        <v>18</v>
      </c>
      <c r="Q2224" s="78" t="s">
        <v>2163</v>
      </c>
      <c r="R2224" s="75">
        <f t="shared" si="222"/>
        <v>1</v>
      </c>
      <c r="S2224" s="263" t="s">
        <v>1991</v>
      </c>
      <c r="T2224" s="263" t="s">
        <v>934</v>
      </c>
      <c r="Y2224" s="576">
        <v>0.91262731481481474</v>
      </c>
      <c r="Z2224" s="576">
        <v>0.92106481481481473</v>
      </c>
      <c r="AA2224" s="576">
        <f t="shared" si="223"/>
        <v>8.4374999999999867E-3</v>
      </c>
      <c r="AB2224" s="722"/>
    </row>
    <row r="2225" spans="1:28" x14ac:dyDescent="0.35">
      <c r="A2225" s="81" t="s">
        <v>6856</v>
      </c>
      <c r="C2225" s="118">
        <v>43934</v>
      </c>
      <c r="D2225" s="318">
        <v>43998</v>
      </c>
      <c r="E2225" s="83">
        <v>43976</v>
      </c>
      <c r="F2225" s="88" t="s">
        <v>6884</v>
      </c>
      <c r="G2225" s="88" t="s">
        <v>152</v>
      </c>
      <c r="H2225" s="98" t="s">
        <v>220</v>
      </c>
      <c r="I2225" s="98" t="s">
        <v>722</v>
      </c>
      <c r="J2225" s="75">
        <f t="shared" ref="J2225:J2232" si="224">IF(OR(K2225="Документы готовы",K2225="Запрос в ФО",K2225="ЭЗ",K2225="РЕШ",K2225="РЕШ шаблон"),0.1,IF(OR(K2225="ЭЗ согласование",K2225="РЕШ согласование"),0.3,IF(OR(K2225="ЭЗ согласовано",K2225="РЕШ согласовано",K2225="РЕШ подписано"),0.6,IF(OR(K2225="ЭЗ ПР согласование",K2225="РЕШ УВ согласование"),0.9,IF(OR(K2225="ЭЗ ПР DONE",K2225="РЕШ УВ DONE"),1,0)))))</f>
        <v>1</v>
      </c>
      <c r="K2225" s="263" t="s">
        <v>211</v>
      </c>
      <c r="L2225" s="99" t="s">
        <v>7526</v>
      </c>
      <c r="N2225" s="78" t="s">
        <v>17</v>
      </c>
      <c r="Q2225" s="78" t="s">
        <v>2097</v>
      </c>
      <c r="R2225" s="75">
        <f t="shared" ref="R2225:R2232" si="225">IF(S2225="В работе",0.3,IF(S2225="Отписано",0.6,IF(S2225="На доработку",0.9,IF(S2225="Согласовано",1,0))))</f>
        <v>1</v>
      </c>
      <c r="S2225" s="263" t="s">
        <v>1991</v>
      </c>
      <c r="T2225" s="263" t="s">
        <v>933</v>
      </c>
      <c r="Y2225" s="576">
        <v>0.61699074074074078</v>
      </c>
      <c r="Z2225" s="576">
        <v>0.6231944444444445</v>
      </c>
      <c r="AA2225" s="576">
        <f t="shared" ref="AA2225:AA2232" si="226">Z2225-Y2225</f>
        <v>6.2037037037037113E-3</v>
      </c>
      <c r="AB2225" s="722"/>
    </row>
    <row r="2226" spans="1:28" x14ac:dyDescent="0.35">
      <c r="A2226" s="81" t="s">
        <v>6903</v>
      </c>
      <c r="C2226" s="118">
        <v>43935</v>
      </c>
      <c r="D2226" s="318">
        <v>43998</v>
      </c>
      <c r="E2226" s="83">
        <v>43976</v>
      </c>
      <c r="F2226" s="88" t="s">
        <v>6932</v>
      </c>
      <c r="G2226" s="88" t="s">
        <v>152</v>
      </c>
      <c r="H2226" s="98" t="s">
        <v>220</v>
      </c>
      <c r="I2226" s="98" t="s">
        <v>730</v>
      </c>
      <c r="J2226" s="75">
        <f t="shared" si="224"/>
        <v>1</v>
      </c>
      <c r="K2226" s="263" t="s">
        <v>211</v>
      </c>
      <c r="L2226" s="99" t="s">
        <v>7569</v>
      </c>
      <c r="N2226" s="78" t="s">
        <v>18</v>
      </c>
      <c r="Q2226" s="78" t="s">
        <v>2056</v>
      </c>
      <c r="R2226" s="75">
        <f t="shared" si="225"/>
        <v>1</v>
      </c>
      <c r="S2226" s="263" t="s">
        <v>1991</v>
      </c>
      <c r="T2226" s="263" t="s">
        <v>934</v>
      </c>
      <c r="Y2226" s="576">
        <v>0.77797453703703701</v>
      </c>
      <c r="Z2226" s="576">
        <v>0.79035879629629635</v>
      </c>
      <c r="AA2226" s="576">
        <f t="shared" si="226"/>
        <v>1.2384259259259345E-2</v>
      </c>
      <c r="AB2226" s="722"/>
    </row>
    <row r="2227" spans="1:28" x14ac:dyDescent="0.35">
      <c r="A2227" s="81" t="s">
        <v>6917</v>
      </c>
      <c r="C2227" s="118">
        <v>43938</v>
      </c>
      <c r="D2227" s="318">
        <v>43998</v>
      </c>
      <c r="E2227" s="83">
        <v>43976</v>
      </c>
      <c r="F2227" s="88" t="s">
        <v>6946</v>
      </c>
      <c r="G2227" s="88" t="s">
        <v>154</v>
      </c>
      <c r="H2227" s="98" t="s">
        <v>220</v>
      </c>
      <c r="I2227" s="98" t="s">
        <v>722</v>
      </c>
      <c r="J2227" s="75">
        <f t="shared" si="224"/>
        <v>1</v>
      </c>
      <c r="K2227" s="263" t="s">
        <v>211</v>
      </c>
      <c r="L2227" s="99" t="s">
        <v>7522</v>
      </c>
      <c r="N2227" s="78" t="s">
        <v>17</v>
      </c>
      <c r="Q2227" s="78" t="s">
        <v>2097</v>
      </c>
      <c r="R2227" s="75">
        <f t="shared" si="225"/>
        <v>1</v>
      </c>
      <c r="S2227" s="263" t="s">
        <v>1991</v>
      </c>
      <c r="T2227" s="263" t="s">
        <v>932</v>
      </c>
      <c r="Y2227" s="576">
        <v>0.62358796296296293</v>
      </c>
      <c r="Z2227" s="576">
        <v>0.63437500000000002</v>
      </c>
      <c r="AA2227" s="576">
        <f t="shared" si="226"/>
        <v>1.0787037037037095E-2</v>
      </c>
      <c r="AB2227" s="722"/>
    </row>
    <row r="2228" spans="1:28" x14ac:dyDescent="0.35">
      <c r="A2228" s="81" t="s">
        <v>6922</v>
      </c>
      <c r="C2228" s="118">
        <v>43942</v>
      </c>
      <c r="D2228" s="318">
        <v>43998</v>
      </c>
      <c r="E2228" s="83">
        <v>43976</v>
      </c>
      <c r="F2228" s="88" t="s">
        <v>6951</v>
      </c>
      <c r="G2228" s="88" t="s">
        <v>162</v>
      </c>
      <c r="H2228" s="98" t="s">
        <v>220</v>
      </c>
      <c r="I2228" s="98" t="s">
        <v>648</v>
      </c>
      <c r="J2228" s="75">
        <f t="shared" si="224"/>
        <v>1</v>
      </c>
      <c r="K2228" s="263" t="s">
        <v>211</v>
      </c>
      <c r="L2228" s="99" t="s">
        <v>7570</v>
      </c>
      <c r="N2228" s="78" t="s">
        <v>17</v>
      </c>
      <c r="Q2228" s="78" t="s">
        <v>2056</v>
      </c>
      <c r="R2228" s="75">
        <f t="shared" si="225"/>
        <v>1</v>
      </c>
      <c r="S2228" s="263" t="s">
        <v>1991</v>
      </c>
      <c r="T2228" s="263" t="s">
        <v>934</v>
      </c>
      <c r="U2228" s="304" t="s">
        <v>5592</v>
      </c>
      <c r="V2228" s="304" t="s">
        <v>7568</v>
      </c>
      <c r="Y2228" s="576">
        <v>0.76157407407407407</v>
      </c>
      <c r="Z2228" s="576">
        <v>0.76896990740740734</v>
      </c>
      <c r="AA2228" s="576">
        <f t="shared" si="226"/>
        <v>7.3958333333332682E-3</v>
      </c>
      <c r="AB2228" s="722"/>
    </row>
    <row r="2229" spans="1:28" x14ac:dyDescent="0.35">
      <c r="A2229" s="81" t="s">
        <v>6923</v>
      </c>
      <c r="C2229" s="118">
        <v>43942</v>
      </c>
      <c r="D2229" s="318">
        <v>43998</v>
      </c>
      <c r="E2229" s="83">
        <v>43976</v>
      </c>
      <c r="F2229" s="88" t="s">
        <v>6952</v>
      </c>
      <c r="G2229" s="88" t="s">
        <v>152</v>
      </c>
      <c r="H2229" s="98" t="s">
        <v>220</v>
      </c>
      <c r="I2229" s="98" t="s">
        <v>649</v>
      </c>
      <c r="J2229" s="75">
        <f t="shared" si="224"/>
        <v>1</v>
      </c>
      <c r="K2229" s="263" t="s">
        <v>211</v>
      </c>
      <c r="L2229" s="99" t="s">
        <v>7524</v>
      </c>
      <c r="N2229" s="78" t="s">
        <v>18</v>
      </c>
      <c r="Q2229" s="78" t="s">
        <v>2056</v>
      </c>
      <c r="R2229" s="75">
        <f t="shared" si="225"/>
        <v>1</v>
      </c>
      <c r="S2229" s="263" t="s">
        <v>1991</v>
      </c>
      <c r="T2229" s="263" t="s">
        <v>932</v>
      </c>
      <c r="Y2229" s="576">
        <v>0.76946759259259256</v>
      </c>
      <c r="Z2229" s="576">
        <v>0.77337962962962958</v>
      </c>
      <c r="AA2229" s="576">
        <f t="shared" si="226"/>
        <v>3.9120370370370194E-3</v>
      </c>
      <c r="AB2229" s="722"/>
    </row>
    <row r="2230" spans="1:28" x14ac:dyDescent="0.35">
      <c r="A2230" s="81" t="s">
        <v>6963</v>
      </c>
      <c r="C2230" s="118">
        <v>43944</v>
      </c>
      <c r="D2230" s="318">
        <v>43998</v>
      </c>
      <c r="E2230" s="83">
        <v>43976</v>
      </c>
      <c r="F2230" s="88" t="s">
        <v>6982</v>
      </c>
      <c r="G2230" s="88" t="s">
        <v>191</v>
      </c>
      <c r="H2230" s="98" t="s">
        <v>220</v>
      </c>
      <c r="I2230" s="98" t="s">
        <v>649</v>
      </c>
      <c r="J2230" s="75">
        <f t="shared" si="224"/>
        <v>1</v>
      </c>
      <c r="K2230" s="263" t="s">
        <v>211</v>
      </c>
      <c r="L2230" s="99" t="s">
        <v>7565</v>
      </c>
      <c r="N2230" s="78" t="s">
        <v>18</v>
      </c>
      <c r="Q2230" s="78" t="s">
        <v>2056</v>
      </c>
      <c r="R2230" s="75">
        <f t="shared" si="225"/>
        <v>1</v>
      </c>
      <c r="S2230" s="263" t="s">
        <v>1991</v>
      </c>
      <c r="T2230" s="263" t="s">
        <v>933</v>
      </c>
      <c r="Y2230" s="576">
        <v>0.77379629629629632</v>
      </c>
      <c r="Z2230" s="576">
        <v>0.77730324074074064</v>
      </c>
      <c r="AA2230" s="576">
        <f t="shared" si="226"/>
        <v>3.5069444444443265E-3</v>
      </c>
      <c r="AB2230" s="722"/>
    </row>
    <row r="2231" spans="1:28" x14ac:dyDescent="0.35">
      <c r="A2231" s="81" t="s">
        <v>6965</v>
      </c>
      <c r="C2231" s="118">
        <v>43944</v>
      </c>
      <c r="D2231" s="318">
        <v>43998</v>
      </c>
      <c r="E2231" s="83">
        <v>43976</v>
      </c>
      <c r="F2231" s="88" t="s">
        <v>6984</v>
      </c>
      <c r="G2231" s="88" t="s">
        <v>149</v>
      </c>
      <c r="H2231" s="98" t="s">
        <v>220</v>
      </c>
      <c r="I2231" s="98" t="s">
        <v>649</v>
      </c>
      <c r="J2231" s="75">
        <f t="shared" si="224"/>
        <v>1</v>
      </c>
      <c r="K2231" s="263" t="s">
        <v>211</v>
      </c>
      <c r="L2231" s="99" t="s">
        <v>7571</v>
      </c>
      <c r="N2231" s="78" t="s">
        <v>18</v>
      </c>
      <c r="Q2231" s="78" t="s">
        <v>2056</v>
      </c>
      <c r="R2231" s="75">
        <f t="shared" si="225"/>
        <v>1</v>
      </c>
      <c r="S2231" s="263" t="s">
        <v>1991</v>
      </c>
      <c r="T2231" s="263" t="s">
        <v>934</v>
      </c>
      <c r="Y2231" s="576">
        <v>0.84488425925925925</v>
      </c>
      <c r="Z2231" s="576">
        <v>0.85138888888888886</v>
      </c>
      <c r="AA2231" s="576">
        <f t="shared" si="226"/>
        <v>6.5046296296296102E-3</v>
      </c>
      <c r="AB2231" s="722"/>
    </row>
    <row r="2232" spans="1:28" x14ac:dyDescent="0.35">
      <c r="A2232" s="81" t="s">
        <v>6966</v>
      </c>
      <c r="C2232" s="118">
        <v>43944</v>
      </c>
      <c r="D2232" s="318">
        <v>43998</v>
      </c>
      <c r="E2232" s="83">
        <v>43976</v>
      </c>
      <c r="F2232" s="88" t="s">
        <v>6985</v>
      </c>
      <c r="G2232" s="88" t="s">
        <v>162</v>
      </c>
      <c r="H2232" s="98" t="s">
        <v>220</v>
      </c>
      <c r="I2232" s="98" t="s">
        <v>722</v>
      </c>
      <c r="J2232" s="75">
        <f t="shared" si="224"/>
        <v>1</v>
      </c>
      <c r="K2232" s="263" t="s">
        <v>211</v>
      </c>
      <c r="L2232" s="99" t="s">
        <v>7567</v>
      </c>
      <c r="N2232" s="78" t="s">
        <v>17</v>
      </c>
      <c r="Q2232" s="78" t="s">
        <v>2056</v>
      </c>
      <c r="R2232" s="75">
        <f t="shared" si="225"/>
        <v>1</v>
      </c>
      <c r="S2232" s="263" t="s">
        <v>1991</v>
      </c>
      <c r="T2232" s="263" t="s">
        <v>932</v>
      </c>
      <c r="Y2232" s="576">
        <v>0.75497685185185182</v>
      </c>
      <c r="Z2232" s="576">
        <v>0.76140046296296304</v>
      </c>
      <c r="AA2232" s="576">
        <f t="shared" si="226"/>
        <v>6.4236111111112271E-3</v>
      </c>
      <c r="AB2232" s="722"/>
    </row>
    <row r="2233" spans="1:28" x14ac:dyDescent="0.35">
      <c r="A2233" s="81" t="s">
        <v>7007</v>
      </c>
      <c r="C2233" s="118">
        <v>43948</v>
      </c>
      <c r="D2233" s="318">
        <v>43998</v>
      </c>
      <c r="E2233" s="83">
        <v>43976</v>
      </c>
      <c r="F2233" s="88" t="s">
        <v>7072</v>
      </c>
      <c r="G2233" s="88" t="s">
        <v>158</v>
      </c>
      <c r="H2233" s="98" t="s">
        <v>220</v>
      </c>
      <c r="I2233" s="98" t="s">
        <v>722</v>
      </c>
      <c r="J2233" s="75">
        <f t="shared" ref="J2233:J2238" si="227">IF(OR(K2233="Документы готовы",K2233="Запрос в ФО",K2233="ЭЗ",K2233="РЕШ",K2233="РЕШ шаблон"),0.1,IF(OR(K2233="ЭЗ согласование",K2233="РЕШ согласование"),0.3,IF(OR(K2233="ЭЗ согласовано",K2233="РЕШ согласовано",K2233="РЕШ подписано"),0.6,IF(OR(K2233="ЭЗ ПР согласование",K2233="РЕШ УВ согласование"),0.9,IF(OR(K2233="ЭЗ ПР DONE",K2233="РЕШ УВ DONE"),1,0)))))</f>
        <v>1</v>
      </c>
      <c r="K2233" s="263" t="s">
        <v>211</v>
      </c>
      <c r="L2233" s="99" t="s">
        <v>7527</v>
      </c>
      <c r="N2233" s="78" t="s">
        <v>17</v>
      </c>
      <c r="Q2233" s="78" t="s">
        <v>2163</v>
      </c>
      <c r="R2233" s="75">
        <f t="shared" ref="R2233:R2238" si="228">IF(S2233="В работе",0.3,IF(S2233="Отписано",0.6,IF(S2233="На доработку",0.9,IF(S2233="Согласовано",1,0))))</f>
        <v>1</v>
      </c>
      <c r="S2233" s="263" t="s">
        <v>1991</v>
      </c>
      <c r="T2233" s="263" t="s">
        <v>933</v>
      </c>
      <c r="Y2233" s="576">
        <v>0.44711805555555556</v>
      </c>
      <c r="Z2233" s="576">
        <v>0.45152777777777775</v>
      </c>
      <c r="AA2233" s="576">
        <f t="shared" ref="AA2233:AA2238" si="229">Z2233-Y2233</f>
        <v>4.4097222222221899E-3</v>
      </c>
      <c r="AB2233" s="722"/>
    </row>
    <row r="2234" spans="1:28" x14ac:dyDescent="0.35">
      <c r="A2234" s="81" t="s">
        <v>7027</v>
      </c>
      <c r="C2234" s="118">
        <v>43949</v>
      </c>
      <c r="D2234" s="318">
        <v>43998</v>
      </c>
      <c r="E2234" s="83">
        <v>43976</v>
      </c>
      <c r="F2234" s="88" t="s">
        <v>7090</v>
      </c>
      <c r="G2234" s="88" t="s">
        <v>154</v>
      </c>
      <c r="H2234" s="98" t="s">
        <v>220</v>
      </c>
      <c r="I2234" s="98" t="s">
        <v>652</v>
      </c>
      <c r="J2234" s="75">
        <f t="shared" si="227"/>
        <v>1</v>
      </c>
      <c r="K2234" s="263" t="s">
        <v>211</v>
      </c>
      <c r="L2234" s="99" t="s">
        <v>7779</v>
      </c>
      <c r="N2234" s="78" t="s">
        <v>19</v>
      </c>
      <c r="Q2234" s="78" t="s">
        <v>2097</v>
      </c>
      <c r="R2234" s="75">
        <f t="shared" si="228"/>
        <v>1</v>
      </c>
      <c r="S2234" s="263" t="s">
        <v>1991</v>
      </c>
      <c r="T2234" s="263" t="s">
        <v>932</v>
      </c>
      <c r="U2234" s="304" t="s">
        <v>5592</v>
      </c>
      <c r="V2234" s="304" t="s">
        <v>7562</v>
      </c>
      <c r="Y2234" s="576">
        <v>0.6347800925925926</v>
      </c>
      <c r="Z2234" s="576">
        <v>0.64887731481481481</v>
      </c>
      <c r="AA2234" s="576">
        <f t="shared" si="229"/>
        <v>1.4097222222222205E-2</v>
      </c>
      <c r="AB2234" s="722"/>
    </row>
    <row r="2235" spans="1:28" x14ac:dyDescent="0.35">
      <c r="A2235" s="81" t="s">
        <v>7034</v>
      </c>
      <c r="C2235" s="118">
        <v>43949</v>
      </c>
      <c r="D2235" s="318">
        <v>43998</v>
      </c>
      <c r="E2235" s="83">
        <v>43976</v>
      </c>
      <c r="F2235" s="88" t="s">
        <v>7097</v>
      </c>
      <c r="G2235" s="88" t="s">
        <v>3078</v>
      </c>
      <c r="H2235" s="98" t="s">
        <v>220</v>
      </c>
      <c r="I2235" s="98" t="s">
        <v>649</v>
      </c>
      <c r="J2235" s="75">
        <f t="shared" si="227"/>
        <v>1</v>
      </c>
      <c r="K2235" s="263" t="s">
        <v>211</v>
      </c>
      <c r="L2235" s="99" t="s">
        <v>7566</v>
      </c>
      <c r="N2235" s="78" t="s">
        <v>18</v>
      </c>
      <c r="Q2235" s="78" t="s">
        <v>2097</v>
      </c>
      <c r="R2235" s="75">
        <f t="shared" si="228"/>
        <v>1</v>
      </c>
      <c r="S2235" s="263" t="s">
        <v>1991</v>
      </c>
      <c r="T2235" s="263" t="s">
        <v>933</v>
      </c>
      <c r="Y2235" s="576">
        <v>0.74319444444444438</v>
      </c>
      <c r="Z2235" s="576">
        <v>0.75010416666666668</v>
      </c>
      <c r="AA2235" s="576">
        <f t="shared" si="229"/>
        <v>6.9097222222223031E-3</v>
      </c>
      <c r="AB2235" s="722"/>
    </row>
    <row r="2236" spans="1:28" x14ac:dyDescent="0.35">
      <c r="A2236" s="98" t="s">
        <v>7048</v>
      </c>
      <c r="C2236" s="118">
        <v>43950</v>
      </c>
      <c r="D2236" s="318">
        <v>43983</v>
      </c>
      <c r="E2236" s="83">
        <v>43976</v>
      </c>
      <c r="F2236" s="255" t="s">
        <v>7111</v>
      </c>
      <c r="G2236" s="88" t="s">
        <v>152</v>
      </c>
      <c r="H2236" s="98" t="s">
        <v>220</v>
      </c>
      <c r="I2236" s="98" t="s">
        <v>730</v>
      </c>
      <c r="J2236" s="75">
        <f t="shared" si="227"/>
        <v>1</v>
      </c>
      <c r="K2236" s="263" t="s">
        <v>211</v>
      </c>
      <c r="L2236" s="99" t="s">
        <v>7573</v>
      </c>
      <c r="N2236" s="78" t="s">
        <v>18</v>
      </c>
      <c r="Q2236" s="78" t="s">
        <v>2130</v>
      </c>
      <c r="R2236" s="75">
        <f t="shared" si="228"/>
        <v>1</v>
      </c>
      <c r="S2236" s="263" t="s">
        <v>1991</v>
      </c>
      <c r="T2236" s="263" t="s">
        <v>934</v>
      </c>
      <c r="U2236" s="304" t="s">
        <v>5592</v>
      </c>
      <c r="V2236" s="304" t="s">
        <v>7574</v>
      </c>
      <c r="Y2236" s="576">
        <v>0.92152777777777783</v>
      </c>
      <c r="Z2236" s="576">
        <v>0.9412152777777778</v>
      </c>
      <c r="AA2236" s="576">
        <f t="shared" si="229"/>
        <v>1.9687499999999969E-2</v>
      </c>
      <c r="AB2236" s="722"/>
    </row>
    <row r="2237" spans="1:28" x14ac:dyDescent="0.35">
      <c r="A2237" s="81" t="s">
        <v>7313</v>
      </c>
      <c r="C2237" s="118">
        <v>43951</v>
      </c>
      <c r="D2237" s="318">
        <v>43983</v>
      </c>
      <c r="E2237" s="83">
        <v>43972</v>
      </c>
      <c r="F2237" s="88" t="s">
        <v>7434</v>
      </c>
      <c r="G2237" s="88" t="s">
        <v>172</v>
      </c>
      <c r="H2237" s="98" t="s">
        <v>220</v>
      </c>
      <c r="I2237" s="98" t="s">
        <v>656</v>
      </c>
      <c r="J2237" s="75">
        <f t="shared" si="227"/>
        <v>1</v>
      </c>
      <c r="K2237" s="263" t="s">
        <v>211</v>
      </c>
      <c r="L2237" s="99" t="s">
        <v>7537</v>
      </c>
      <c r="N2237" s="78" t="s">
        <v>18</v>
      </c>
      <c r="Q2237" s="78" t="s">
        <v>2097</v>
      </c>
      <c r="R2237" s="75">
        <f t="shared" si="228"/>
        <v>1</v>
      </c>
      <c r="S2237" s="263" t="s">
        <v>1991</v>
      </c>
      <c r="T2237" s="263" t="s">
        <v>932</v>
      </c>
      <c r="Y2237" s="576">
        <v>0.5236574074074074</v>
      </c>
      <c r="Z2237" s="576">
        <v>0.59173611111111113</v>
      </c>
      <c r="AA2237" s="576">
        <f t="shared" si="229"/>
        <v>6.8078703703703725E-2</v>
      </c>
      <c r="AB2237" s="722"/>
    </row>
    <row r="2238" spans="1:28" x14ac:dyDescent="0.35">
      <c r="A2238" s="81" t="s">
        <v>7314</v>
      </c>
      <c r="C2238" s="118">
        <v>43951</v>
      </c>
      <c r="D2238" s="318">
        <v>43983</v>
      </c>
      <c r="E2238" s="83">
        <v>43971</v>
      </c>
      <c r="F2238" s="88" t="s">
        <v>7435</v>
      </c>
      <c r="G2238" s="88" t="s">
        <v>152</v>
      </c>
      <c r="H2238" s="98" t="s">
        <v>220</v>
      </c>
      <c r="I2238" s="98" t="s">
        <v>730</v>
      </c>
      <c r="J2238" s="75">
        <f t="shared" si="227"/>
        <v>1</v>
      </c>
      <c r="K2238" s="263" t="s">
        <v>211</v>
      </c>
      <c r="L2238" s="99" t="s">
        <v>7533</v>
      </c>
      <c r="N2238" s="78" t="s">
        <v>18</v>
      </c>
      <c r="Q2238" s="78" t="s">
        <v>2163</v>
      </c>
      <c r="R2238" s="75">
        <f t="shared" si="228"/>
        <v>1</v>
      </c>
      <c r="S2238" s="263" t="s">
        <v>1991</v>
      </c>
      <c r="T2238" s="263" t="s">
        <v>934</v>
      </c>
      <c r="X2238" s="304" t="s">
        <v>7549</v>
      </c>
      <c r="Y2238" s="576">
        <v>0.91465277777777787</v>
      </c>
      <c r="Z2238" s="576">
        <v>0.92849537037037033</v>
      </c>
      <c r="AA2238" s="576">
        <f t="shared" si="229"/>
        <v>1.3842592592592462E-2</v>
      </c>
      <c r="AB2238" s="722"/>
    </row>
    <row r="2239" spans="1:28" x14ac:dyDescent="0.35">
      <c r="A2239" s="98" t="s">
        <v>7319</v>
      </c>
      <c r="C2239" s="118">
        <v>43956</v>
      </c>
      <c r="D2239" s="318">
        <v>43983</v>
      </c>
      <c r="E2239" s="83">
        <v>43973</v>
      </c>
      <c r="F2239" s="88" t="s">
        <v>7440</v>
      </c>
      <c r="G2239" s="88" t="s">
        <v>156</v>
      </c>
      <c r="H2239" s="98" t="s">
        <v>220</v>
      </c>
      <c r="I2239" s="98" t="s">
        <v>652</v>
      </c>
      <c r="J2239" s="75">
        <f t="shared" ref="J2239:J2258" si="230">IF(OR(K2239="Документы готовы",K2239="Запрос в ФО",K2239="ЭЗ",K2239="РЕШ",K2239="РЕШ шаблон"),0.1,IF(OR(K2239="ЭЗ согласование",K2239="РЕШ согласование"),0.3,IF(OR(K2239="ЭЗ согласовано",K2239="РЕШ согласовано",K2239="РЕШ подписано"),0.6,IF(OR(K2239="ЭЗ ПР согласование",K2239="РЕШ УВ согласование"),0.9,IF(OR(K2239="ЭЗ ПР DONE",K2239="РЕШ УВ DONE"),1,0)))))</f>
        <v>1</v>
      </c>
      <c r="K2239" s="263" t="s">
        <v>211</v>
      </c>
      <c r="L2239" s="99" t="s">
        <v>7548</v>
      </c>
      <c r="N2239" s="78" t="s">
        <v>19</v>
      </c>
      <c r="Q2239" s="78" t="s">
        <v>2163</v>
      </c>
      <c r="R2239" s="75">
        <f t="shared" ref="R2239:R2258" si="231">IF(S2239="В работе",0.3,IF(S2239="Отписано",0.6,IF(S2239="На доработку",0.9,IF(S2239="Согласовано",1,0))))</f>
        <v>1</v>
      </c>
      <c r="S2239" s="263" t="s">
        <v>1991</v>
      </c>
      <c r="T2239" s="263" t="s">
        <v>933</v>
      </c>
      <c r="X2239" s="304" t="s">
        <v>7554</v>
      </c>
      <c r="Y2239" s="576">
        <v>0.86980324074074078</v>
      </c>
      <c r="Z2239" s="576">
        <v>0.88942129629629629</v>
      </c>
      <c r="AA2239" s="576">
        <f t="shared" ref="AA2239:AA2258" si="232">Z2239-Y2239</f>
        <v>1.9618055555555514E-2</v>
      </c>
      <c r="AB2239" s="722"/>
    </row>
    <row r="2240" spans="1:28" x14ac:dyDescent="0.35">
      <c r="A2240" s="81" t="s">
        <v>7320</v>
      </c>
      <c r="C2240" s="118">
        <v>43956</v>
      </c>
      <c r="D2240" s="318">
        <v>43983</v>
      </c>
      <c r="E2240" s="83">
        <v>43973</v>
      </c>
      <c r="F2240" s="88" t="s">
        <v>7441</v>
      </c>
      <c r="G2240" s="88" t="s">
        <v>162</v>
      </c>
      <c r="H2240" s="98" t="s">
        <v>220</v>
      </c>
      <c r="I2240" s="98" t="s">
        <v>656</v>
      </c>
      <c r="J2240" s="75">
        <f t="shared" si="230"/>
        <v>1</v>
      </c>
      <c r="K2240" s="263" t="s">
        <v>211</v>
      </c>
      <c r="L2240" s="99" t="s">
        <v>7515</v>
      </c>
      <c r="N2240" s="78" t="s">
        <v>17</v>
      </c>
      <c r="Q2240" s="78" t="s">
        <v>2163</v>
      </c>
      <c r="R2240" s="75">
        <f t="shared" si="231"/>
        <v>1</v>
      </c>
      <c r="S2240" s="263" t="s">
        <v>1991</v>
      </c>
      <c r="T2240" s="263" t="s">
        <v>934</v>
      </c>
      <c r="Y2240" s="576">
        <v>0.85271990740740744</v>
      </c>
      <c r="Z2240" s="576">
        <v>0.85834490740740732</v>
      </c>
      <c r="AA2240" s="576">
        <f t="shared" si="232"/>
        <v>5.6249999999998801E-3</v>
      </c>
      <c r="AB2240" s="722"/>
    </row>
    <row r="2241" spans="1:28" x14ac:dyDescent="0.35">
      <c r="A2241" s="81" t="s">
        <v>7322</v>
      </c>
      <c r="C2241" s="118">
        <v>43956</v>
      </c>
      <c r="D2241" s="318">
        <v>43983</v>
      </c>
      <c r="E2241" s="83">
        <v>43971</v>
      </c>
      <c r="F2241" s="88" t="s">
        <v>7443</v>
      </c>
      <c r="G2241" s="88" t="s">
        <v>149</v>
      </c>
      <c r="H2241" s="98" t="s">
        <v>220</v>
      </c>
      <c r="I2241" s="98" t="s">
        <v>6509</v>
      </c>
      <c r="J2241" s="75">
        <f t="shared" si="230"/>
        <v>1</v>
      </c>
      <c r="K2241" s="76" t="s">
        <v>211</v>
      </c>
      <c r="L2241" s="99" t="s">
        <v>7517</v>
      </c>
      <c r="N2241" s="78" t="s">
        <v>18</v>
      </c>
      <c r="Q2241" s="78" t="s">
        <v>2056</v>
      </c>
      <c r="R2241" s="75">
        <f t="shared" si="231"/>
        <v>1</v>
      </c>
      <c r="S2241" s="263" t="s">
        <v>1991</v>
      </c>
      <c r="T2241" s="263" t="s">
        <v>934</v>
      </c>
      <c r="Y2241" s="576">
        <v>0.41591435185185183</v>
      </c>
      <c r="Z2241" s="576">
        <v>0.42792824074074076</v>
      </c>
      <c r="AA2241" s="576">
        <f t="shared" si="232"/>
        <v>1.2013888888888935E-2</v>
      </c>
      <c r="AB2241" s="722"/>
    </row>
    <row r="2242" spans="1:28" x14ac:dyDescent="0.35">
      <c r="A2242" s="81" t="s">
        <v>7329</v>
      </c>
      <c r="C2242" s="118">
        <v>43956</v>
      </c>
      <c r="D2242" s="318">
        <v>43983</v>
      </c>
      <c r="E2242" s="83">
        <v>43972</v>
      </c>
      <c r="F2242" s="88" t="s">
        <v>7450</v>
      </c>
      <c r="G2242" s="88" t="s">
        <v>152</v>
      </c>
      <c r="H2242" s="98" t="s">
        <v>220</v>
      </c>
      <c r="I2242" s="98" t="s">
        <v>863</v>
      </c>
      <c r="J2242" s="75">
        <f t="shared" si="230"/>
        <v>1</v>
      </c>
      <c r="K2242" s="263" t="s">
        <v>211</v>
      </c>
      <c r="L2242" s="99" t="s">
        <v>7542</v>
      </c>
      <c r="N2242" s="78" t="s">
        <v>18</v>
      </c>
      <c r="Q2242" s="78" t="s">
        <v>2447</v>
      </c>
      <c r="R2242" s="75">
        <f t="shared" si="231"/>
        <v>1</v>
      </c>
      <c r="S2242" s="263" t="s">
        <v>1991</v>
      </c>
      <c r="T2242" s="263" t="s">
        <v>932</v>
      </c>
      <c r="Y2242" s="576">
        <v>0.70699074074074064</v>
      </c>
      <c r="Z2242" s="576">
        <v>0.72895833333333337</v>
      </c>
      <c r="AA2242" s="576">
        <f t="shared" si="232"/>
        <v>2.1967592592592733E-2</v>
      </c>
      <c r="AB2242" s="722"/>
    </row>
    <row r="2243" spans="1:28" x14ac:dyDescent="0.35">
      <c r="A2243" s="81" t="s">
        <v>7333</v>
      </c>
      <c r="C2243" s="118">
        <v>43957</v>
      </c>
      <c r="D2243" s="318">
        <v>43983</v>
      </c>
      <c r="E2243" s="83">
        <v>43971</v>
      </c>
      <c r="F2243" s="88" t="s">
        <v>7454</v>
      </c>
      <c r="G2243" s="88" t="s">
        <v>156</v>
      </c>
      <c r="H2243" s="98" t="s">
        <v>220</v>
      </c>
      <c r="I2243" s="98" t="s">
        <v>656</v>
      </c>
      <c r="J2243" s="75">
        <f t="shared" si="230"/>
        <v>1</v>
      </c>
      <c r="K2243" s="263" t="s">
        <v>211</v>
      </c>
      <c r="L2243" s="99" t="s">
        <v>7516</v>
      </c>
      <c r="N2243" s="78" t="s">
        <v>17</v>
      </c>
      <c r="Q2243" s="78" t="s">
        <v>2056</v>
      </c>
      <c r="R2243" s="75">
        <f t="shared" si="231"/>
        <v>1</v>
      </c>
      <c r="S2243" s="263" t="s">
        <v>1991</v>
      </c>
      <c r="T2243" s="263" t="s">
        <v>932</v>
      </c>
      <c r="Y2243" s="576">
        <v>0.40475694444444449</v>
      </c>
      <c r="Z2243" s="576">
        <v>0.41539351851851852</v>
      </c>
      <c r="AA2243" s="576">
        <f t="shared" si="232"/>
        <v>1.0636574074074034E-2</v>
      </c>
      <c r="AB2243" s="722"/>
    </row>
    <row r="2244" spans="1:28" x14ac:dyDescent="0.35">
      <c r="A2244" s="81" t="s">
        <v>7339</v>
      </c>
      <c r="C2244" s="118">
        <v>43957</v>
      </c>
      <c r="D2244" s="318">
        <v>43983</v>
      </c>
      <c r="E2244" s="83">
        <v>43971</v>
      </c>
      <c r="F2244" s="88" t="s">
        <v>7460</v>
      </c>
      <c r="G2244" s="88" t="s">
        <v>181</v>
      </c>
      <c r="H2244" s="98" t="s">
        <v>220</v>
      </c>
      <c r="I2244" s="98" t="s">
        <v>656</v>
      </c>
      <c r="J2244" s="75">
        <f t="shared" si="230"/>
        <v>1</v>
      </c>
      <c r="K2244" s="263" t="s">
        <v>211</v>
      </c>
      <c r="L2244" s="99" t="s">
        <v>7530</v>
      </c>
      <c r="N2244" s="78" t="s">
        <v>18</v>
      </c>
      <c r="Q2244" s="78" t="s">
        <v>2056</v>
      </c>
      <c r="R2244" s="75">
        <f t="shared" si="231"/>
        <v>1</v>
      </c>
      <c r="S2244" s="263" t="s">
        <v>1991</v>
      </c>
      <c r="T2244" s="263" t="s">
        <v>933</v>
      </c>
      <c r="Y2244" s="576">
        <v>0.75114583333333329</v>
      </c>
      <c r="Z2244" s="576">
        <v>0.77189814814814817</v>
      </c>
      <c r="AA2244" s="576">
        <f t="shared" si="232"/>
        <v>2.0752314814814876E-2</v>
      </c>
      <c r="AB2244" s="722"/>
    </row>
    <row r="2245" spans="1:28" x14ac:dyDescent="0.35">
      <c r="A2245" s="81" t="s">
        <v>7341</v>
      </c>
      <c r="C2245" s="118">
        <v>43957</v>
      </c>
      <c r="D2245" s="318">
        <v>43983</v>
      </c>
      <c r="E2245" s="83">
        <v>43972</v>
      </c>
      <c r="F2245" s="88" t="s">
        <v>7462</v>
      </c>
      <c r="G2245" s="88" t="s">
        <v>149</v>
      </c>
      <c r="H2245" s="98" t="s">
        <v>220</v>
      </c>
      <c r="I2245" s="98" t="s">
        <v>981</v>
      </c>
      <c r="J2245" s="75">
        <f t="shared" si="230"/>
        <v>1</v>
      </c>
      <c r="K2245" s="263" t="s">
        <v>211</v>
      </c>
      <c r="L2245" s="99" t="s">
        <v>7534</v>
      </c>
      <c r="N2245" s="78" t="s">
        <v>17</v>
      </c>
      <c r="Q2245" s="78" t="s">
        <v>2097</v>
      </c>
      <c r="R2245" s="75">
        <f t="shared" si="231"/>
        <v>1</v>
      </c>
      <c r="S2245" s="263" t="s">
        <v>1991</v>
      </c>
      <c r="T2245" s="263" t="s">
        <v>933</v>
      </c>
      <c r="Y2245" s="576">
        <v>0.41692129629629626</v>
      </c>
      <c r="Z2245" s="576">
        <v>0.44096064814814812</v>
      </c>
      <c r="AA2245" s="576">
        <f t="shared" si="232"/>
        <v>2.4039351851851853E-2</v>
      </c>
      <c r="AB2245" s="722"/>
    </row>
    <row r="2246" spans="1:28" x14ac:dyDescent="0.35">
      <c r="A2246" s="81" t="s">
        <v>7343</v>
      </c>
      <c r="C2246" s="118">
        <v>43957</v>
      </c>
      <c r="D2246" s="318">
        <v>43983</v>
      </c>
      <c r="E2246" s="83">
        <v>43972</v>
      </c>
      <c r="F2246" s="88" t="s">
        <v>7464</v>
      </c>
      <c r="G2246" s="88" t="s">
        <v>152</v>
      </c>
      <c r="H2246" s="98" t="s">
        <v>220</v>
      </c>
      <c r="I2246" s="98" t="s">
        <v>730</v>
      </c>
      <c r="J2246" s="75">
        <f t="shared" si="230"/>
        <v>1</v>
      </c>
      <c r="K2246" s="263" t="s">
        <v>211</v>
      </c>
      <c r="L2246" s="99" t="s">
        <v>7536</v>
      </c>
      <c r="N2246" s="78" t="s">
        <v>18</v>
      </c>
      <c r="Q2246" s="78" t="s">
        <v>2097</v>
      </c>
      <c r="R2246" s="75">
        <f t="shared" si="231"/>
        <v>1</v>
      </c>
      <c r="S2246" s="263" t="s">
        <v>1991</v>
      </c>
      <c r="T2246" s="263" t="s">
        <v>934</v>
      </c>
      <c r="Y2246" s="576">
        <v>0.49075231481481479</v>
      </c>
      <c r="Z2246" s="576">
        <v>0.51784722222222224</v>
      </c>
      <c r="AA2246" s="576">
        <f t="shared" si="232"/>
        <v>2.7094907407407443E-2</v>
      </c>
      <c r="AB2246" s="722"/>
    </row>
    <row r="2247" spans="1:28" x14ac:dyDescent="0.35">
      <c r="A2247" s="81" t="s">
        <v>7348</v>
      </c>
      <c r="C2247" s="118">
        <v>43958</v>
      </c>
      <c r="D2247" s="318">
        <v>43983</v>
      </c>
      <c r="E2247" s="83">
        <v>43971</v>
      </c>
      <c r="F2247" s="88" t="s">
        <v>7469</v>
      </c>
      <c r="G2247" s="88" t="s">
        <v>154</v>
      </c>
      <c r="H2247" s="98" t="s">
        <v>220</v>
      </c>
      <c r="I2247" s="98" t="s">
        <v>656</v>
      </c>
      <c r="J2247" s="75">
        <f t="shared" si="230"/>
        <v>1</v>
      </c>
      <c r="K2247" s="263" t="s">
        <v>211</v>
      </c>
      <c r="L2247" s="99" t="s">
        <v>7515</v>
      </c>
      <c r="N2247" s="78" t="s">
        <v>17</v>
      </c>
      <c r="Q2247" s="78" t="s">
        <v>2130</v>
      </c>
      <c r="R2247" s="75">
        <f t="shared" si="231"/>
        <v>1</v>
      </c>
      <c r="S2247" s="263" t="s">
        <v>1991</v>
      </c>
      <c r="T2247" s="263" t="s">
        <v>932</v>
      </c>
      <c r="Y2247" s="576">
        <v>0.71534722222222225</v>
      </c>
      <c r="Z2247" s="576">
        <v>0.7316435185185185</v>
      </c>
      <c r="AA2247" s="576">
        <f t="shared" si="232"/>
        <v>1.6296296296296253E-2</v>
      </c>
      <c r="AB2247" s="722"/>
    </row>
    <row r="2248" spans="1:28" x14ac:dyDescent="0.35">
      <c r="A2248" s="81" t="s">
        <v>7349</v>
      </c>
      <c r="C2248" s="118">
        <v>43958</v>
      </c>
      <c r="D2248" s="318">
        <v>43983</v>
      </c>
      <c r="E2248" s="83">
        <v>43972</v>
      </c>
      <c r="F2248" s="88" t="s">
        <v>7470</v>
      </c>
      <c r="G2248" s="88" t="s">
        <v>417</v>
      </c>
      <c r="H2248" s="98" t="s">
        <v>220</v>
      </c>
      <c r="I2248" s="98" t="s">
        <v>730</v>
      </c>
      <c r="J2248" s="75">
        <f t="shared" si="230"/>
        <v>1</v>
      </c>
      <c r="K2248" s="263" t="s">
        <v>211</v>
      </c>
      <c r="L2248" s="99" t="s">
        <v>7535</v>
      </c>
      <c r="N2248" s="78" t="s">
        <v>18</v>
      </c>
      <c r="Q2248" s="78" t="s">
        <v>2097</v>
      </c>
      <c r="R2248" s="75">
        <f t="shared" si="231"/>
        <v>1</v>
      </c>
      <c r="S2248" s="263" t="s">
        <v>1991</v>
      </c>
      <c r="T2248" s="263" t="s">
        <v>933</v>
      </c>
      <c r="Y2248" s="576">
        <v>0.4846064814814815</v>
      </c>
      <c r="Z2248" s="576">
        <v>0.49018518518518522</v>
      </c>
      <c r="AA2248" s="576">
        <f t="shared" si="232"/>
        <v>5.5787037037037246E-3</v>
      </c>
      <c r="AB2248" s="722"/>
    </row>
    <row r="2249" spans="1:28" x14ac:dyDescent="0.35">
      <c r="A2249" s="81" t="s">
        <v>7351</v>
      </c>
      <c r="C2249" s="118">
        <v>43958</v>
      </c>
      <c r="D2249" s="318">
        <v>43983</v>
      </c>
      <c r="E2249" s="83">
        <v>43972</v>
      </c>
      <c r="F2249" s="88" t="s">
        <v>7472</v>
      </c>
      <c r="G2249" s="88" t="s">
        <v>152</v>
      </c>
      <c r="H2249" s="98" t="s">
        <v>220</v>
      </c>
      <c r="I2249" s="98" t="s">
        <v>656</v>
      </c>
      <c r="J2249" s="75">
        <f t="shared" si="230"/>
        <v>1</v>
      </c>
      <c r="K2249" s="263" t="s">
        <v>211</v>
      </c>
      <c r="L2249" s="99" t="s">
        <v>7540</v>
      </c>
      <c r="N2249" s="78" t="s">
        <v>18</v>
      </c>
      <c r="Q2249" s="78" t="s">
        <v>2447</v>
      </c>
      <c r="R2249" s="75">
        <f t="shared" si="231"/>
        <v>1</v>
      </c>
      <c r="S2249" s="263" t="s">
        <v>1991</v>
      </c>
      <c r="T2249" s="263" t="s">
        <v>934</v>
      </c>
      <c r="Y2249" s="576">
        <v>0.69898148148148154</v>
      </c>
      <c r="Z2249" s="576">
        <v>0.70601851851851849</v>
      </c>
      <c r="AA2249" s="576">
        <f t="shared" si="232"/>
        <v>7.0370370370369528E-3</v>
      </c>
      <c r="AB2249" s="722"/>
    </row>
    <row r="2250" spans="1:28" x14ac:dyDescent="0.35">
      <c r="A2250" s="81" t="s">
        <v>7355</v>
      </c>
      <c r="C2250" s="118">
        <v>43958</v>
      </c>
      <c r="D2250" s="318">
        <v>43983</v>
      </c>
      <c r="E2250" s="83">
        <v>43976</v>
      </c>
      <c r="F2250" s="88" t="s">
        <v>7476</v>
      </c>
      <c r="G2250" s="88" t="s">
        <v>158</v>
      </c>
      <c r="H2250" s="98" t="s">
        <v>220</v>
      </c>
      <c r="I2250" s="98" t="s">
        <v>1122</v>
      </c>
      <c r="J2250" s="75">
        <f t="shared" si="230"/>
        <v>1</v>
      </c>
      <c r="K2250" s="263" t="s">
        <v>211</v>
      </c>
      <c r="L2250" s="99" t="s">
        <v>7559</v>
      </c>
      <c r="N2250" s="78" t="s">
        <v>18</v>
      </c>
      <c r="Q2250" s="78" t="s">
        <v>2130</v>
      </c>
      <c r="R2250" s="75">
        <f t="shared" si="231"/>
        <v>1</v>
      </c>
      <c r="S2250" s="263" t="s">
        <v>1991</v>
      </c>
      <c r="T2250" s="263" t="s">
        <v>933</v>
      </c>
      <c r="Y2250" s="576">
        <v>0.56380787037037039</v>
      </c>
      <c r="Z2250" s="576">
        <v>0.56773148148148145</v>
      </c>
      <c r="AA2250" s="576">
        <f t="shared" si="232"/>
        <v>3.9236111111110583E-3</v>
      </c>
      <c r="AB2250" s="722"/>
    </row>
    <row r="2251" spans="1:28" x14ac:dyDescent="0.35">
      <c r="A2251" s="81" t="s">
        <v>7362</v>
      </c>
      <c r="C2251" s="118">
        <v>43959</v>
      </c>
      <c r="D2251" s="318">
        <v>43984</v>
      </c>
      <c r="E2251" s="83">
        <v>43972</v>
      </c>
      <c r="F2251" s="88" t="s">
        <v>7482</v>
      </c>
      <c r="G2251" s="88" t="s">
        <v>154</v>
      </c>
      <c r="H2251" s="98" t="s">
        <v>220</v>
      </c>
      <c r="I2251" s="98" t="s">
        <v>3553</v>
      </c>
      <c r="J2251" s="75">
        <f t="shared" si="230"/>
        <v>1</v>
      </c>
      <c r="K2251" s="263" t="s">
        <v>211</v>
      </c>
      <c r="L2251" s="99" t="s">
        <v>7543</v>
      </c>
      <c r="N2251" s="78" t="s">
        <v>19</v>
      </c>
      <c r="Q2251" s="78" t="s">
        <v>2447</v>
      </c>
      <c r="R2251" s="75">
        <f t="shared" si="231"/>
        <v>1</v>
      </c>
      <c r="S2251" s="263" t="s">
        <v>1991</v>
      </c>
      <c r="T2251" s="263" t="s">
        <v>932</v>
      </c>
      <c r="Y2251" s="576">
        <v>0.77777777777777779</v>
      </c>
      <c r="Z2251" s="576">
        <v>0.78540509259259261</v>
      </c>
      <c r="AA2251" s="576">
        <f t="shared" si="232"/>
        <v>7.6273148148148229E-3</v>
      </c>
      <c r="AB2251" s="722"/>
    </row>
    <row r="2252" spans="1:28" x14ac:dyDescent="0.35">
      <c r="A2252" s="81" t="s">
        <v>7363</v>
      </c>
      <c r="C2252" s="118">
        <v>43959</v>
      </c>
      <c r="D2252" s="318">
        <v>43984</v>
      </c>
      <c r="E2252" s="83">
        <v>43973</v>
      </c>
      <c r="F2252" s="88" t="s">
        <v>7483</v>
      </c>
      <c r="G2252" s="88" t="s">
        <v>170</v>
      </c>
      <c r="H2252" s="98" t="s">
        <v>220</v>
      </c>
      <c r="I2252" s="98" t="s">
        <v>656</v>
      </c>
      <c r="J2252" s="75">
        <f t="shared" si="230"/>
        <v>1</v>
      </c>
      <c r="K2252" s="263" t="s">
        <v>211</v>
      </c>
      <c r="L2252" s="99" t="s">
        <v>7547</v>
      </c>
      <c r="N2252" s="78" t="s">
        <v>17</v>
      </c>
      <c r="Q2252" s="78" t="s">
        <v>2163</v>
      </c>
      <c r="R2252" s="75">
        <f t="shared" si="231"/>
        <v>1</v>
      </c>
      <c r="S2252" s="263" t="s">
        <v>1991</v>
      </c>
      <c r="T2252" s="263" t="s">
        <v>932</v>
      </c>
      <c r="Y2252" s="576">
        <v>0.85862268518518514</v>
      </c>
      <c r="Z2252" s="576">
        <v>0.86812500000000004</v>
      </c>
      <c r="AA2252" s="576">
        <f t="shared" si="232"/>
        <v>9.5023148148148939E-3</v>
      </c>
      <c r="AB2252" s="722"/>
    </row>
    <row r="2253" spans="1:28" x14ac:dyDescent="0.35">
      <c r="A2253" s="81" t="s">
        <v>7364</v>
      </c>
      <c r="C2253" s="118">
        <v>43959</v>
      </c>
      <c r="D2253" s="318">
        <v>43984</v>
      </c>
      <c r="E2253" s="83">
        <v>43972</v>
      </c>
      <c r="F2253" s="88" t="s">
        <v>7484</v>
      </c>
      <c r="G2253" s="88" t="s">
        <v>162</v>
      </c>
      <c r="H2253" s="98" t="s">
        <v>220</v>
      </c>
      <c r="I2253" s="98" t="s">
        <v>3260</v>
      </c>
      <c r="J2253" s="75">
        <f t="shared" si="230"/>
        <v>1</v>
      </c>
      <c r="K2253" s="263" t="s">
        <v>211</v>
      </c>
      <c r="N2253" s="78" t="s">
        <v>19</v>
      </c>
      <c r="Q2253" s="78" t="s">
        <v>2447</v>
      </c>
      <c r="R2253" s="75">
        <f t="shared" si="231"/>
        <v>1</v>
      </c>
      <c r="S2253" s="263" t="s">
        <v>1991</v>
      </c>
      <c r="T2253" s="263" t="s">
        <v>933</v>
      </c>
      <c r="X2253" s="304" t="s">
        <v>7796</v>
      </c>
      <c r="Y2253" s="576">
        <v>0.77188657407407402</v>
      </c>
      <c r="Z2253" s="576">
        <v>0.78942129629629632</v>
      </c>
      <c r="AA2253" s="576">
        <f t="shared" si="232"/>
        <v>1.7534722222222299E-2</v>
      </c>
      <c r="AB2253" s="722"/>
    </row>
    <row r="2254" spans="1:28" x14ac:dyDescent="0.35">
      <c r="A2254" s="81" t="s">
        <v>7365</v>
      </c>
      <c r="C2254" s="118">
        <v>43963</v>
      </c>
      <c r="D2254" s="318">
        <v>43985</v>
      </c>
      <c r="E2254" s="83">
        <v>43971</v>
      </c>
      <c r="F2254" s="88" t="s">
        <v>7485</v>
      </c>
      <c r="G2254" s="88" t="s">
        <v>154</v>
      </c>
      <c r="H2254" s="98" t="s">
        <v>220</v>
      </c>
      <c r="I2254" s="98" t="s">
        <v>5215</v>
      </c>
      <c r="J2254" s="75">
        <f t="shared" si="230"/>
        <v>1</v>
      </c>
      <c r="K2254" s="263" t="s">
        <v>211</v>
      </c>
      <c r="L2254" s="99" t="s">
        <v>7528</v>
      </c>
      <c r="N2254" s="78" t="s">
        <v>19</v>
      </c>
      <c r="Q2254" s="78" t="s">
        <v>2056</v>
      </c>
      <c r="R2254" s="75">
        <f t="shared" si="231"/>
        <v>1</v>
      </c>
      <c r="S2254" s="263" t="s">
        <v>1991</v>
      </c>
      <c r="T2254" s="263" t="s">
        <v>933</v>
      </c>
      <c r="Y2254" s="576">
        <v>0.77265046296296302</v>
      </c>
      <c r="Z2254" s="576">
        <v>0.7793402777777777</v>
      </c>
      <c r="AA2254" s="576">
        <f t="shared" si="232"/>
        <v>6.6898148148146763E-3</v>
      </c>
      <c r="AB2254" s="722"/>
    </row>
    <row r="2255" spans="1:28" x14ac:dyDescent="0.35">
      <c r="A2255" s="81" t="s">
        <v>7367</v>
      </c>
      <c r="C2255" s="118">
        <v>43963</v>
      </c>
      <c r="D2255" s="318">
        <v>43984</v>
      </c>
      <c r="E2255" s="83">
        <v>43971</v>
      </c>
      <c r="F2255" s="88" t="s">
        <v>7487</v>
      </c>
      <c r="G2255" s="88" t="s">
        <v>152</v>
      </c>
      <c r="H2255" s="98" t="s">
        <v>220</v>
      </c>
      <c r="I2255" s="98" t="s">
        <v>7532</v>
      </c>
      <c r="J2255" s="75">
        <f t="shared" si="230"/>
        <v>1</v>
      </c>
      <c r="K2255" s="263" t="s">
        <v>211</v>
      </c>
      <c r="L2255" s="99" t="s">
        <v>7531</v>
      </c>
      <c r="N2255" s="78" t="s">
        <v>19</v>
      </c>
      <c r="Q2255" s="78" t="s">
        <v>2056</v>
      </c>
      <c r="R2255" s="75">
        <f t="shared" si="231"/>
        <v>1</v>
      </c>
      <c r="S2255" s="263" t="s">
        <v>1991</v>
      </c>
      <c r="T2255" s="263" t="s">
        <v>932</v>
      </c>
      <c r="Y2255" s="576">
        <v>0.89908564814814806</v>
      </c>
      <c r="Z2255" s="576">
        <v>0.91372685185185187</v>
      </c>
      <c r="AA2255" s="576">
        <f t="shared" si="232"/>
        <v>1.4641203703703809E-2</v>
      </c>
      <c r="AB2255" s="722"/>
    </row>
    <row r="2256" spans="1:28" x14ac:dyDescent="0.35">
      <c r="A2256" s="81" t="s">
        <v>7368</v>
      </c>
      <c r="C2256" s="118">
        <v>43963</v>
      </c>
      <c r="D2256" s="318">
        <v>43984</v>
      </c>
      <c r="E2256" s="83">
        <v>43971</v>
      </c>
      <c r="F2256" s="88" t="s">
        <v>7488</v>
      </c>
      <c r="G2256" s="88" t="s">
        <v>170</v>
      </c>
      <c r="H2256" s="98" t="s">
        <v>220</v>
      </c>
      <c r="I2256" s="98" t="s">
        <v>656</v>
      </c>
      <c r="J2256" s="75">
        <f t="shared" si="230"/>
        <v>1</v>
      </c>
      <c r="K2256" s="263" t="s">
        <v>211</v>
      </c>
      <c r="L2256" s="99" t="s">
        <v>7515</v>
      </c>
      <c r="N2256" s="78" t="s">
        <v>17</v>
      </c>
      <c r="Q2256" s="78" t="s">
        <v>2056</v>
      </c>
      <c r="R2256" s="75">
        <f t="shared" si="231"/>
        <v>1</v>
      </c>
      <c r="S2256" s="263" t="s">
        <v>1991</v>
      </c>
      <c r="T2256" s="263" t="s">
        <v>934</v>
      </c>
      <c r="Y2256" s="576">
        <v>0.39613425925925921</v>
      </c>
      <c r="Z2256" s="576">
        <v>0.40432870370370372</v>
      </c>
      <c r="AA2256" s="576">
        <f t="shared" si="232"/>
        <v>8.1944444444445041E-3</v>
      </c>
      <c r="AB2256" s="722"/>
    </row>
    <row r="2257" spans="1:28" x14ac:dyDescent="0.35">
      <c r="A2257" s="81" t="s">
        <v>7369</v>
      </c>
      <c r="C2257" s="118">
        <v>43963</v>
      </c>
      <c r="D2257" s="318">
        <v>43984</v>
      </c>
      <c r="E2257" s="83">
        <v>43973</v>
      </c>
      <c r="F2257" s="88" t="s">
        <v>7489</v>
      </c>
      <c r="G2257" s="88" t="s">
        <v>172</v>
      </c>
      <c r="H2257" s="98" t="s">
        <v>220</v>
      </c>
      <c r="I2257" s="98" t="s">
        <v>656</v>
      </c>
      <c r="J2257" s="75">
        <f t="shared" si="230"/>
        <v>1</v>
      </c>
      <c r="K2257" s="263" t="s">
        <v>211</v>
      </c>
      <c r="L2257" s="99" t="s">
        <v>7544</v>
      </c>
      <c r="N2257" s="78" t="s">
        <v>17</v>
      </c>
      <c r="Q2257" s="78" t="s">
        <v>2097</v>
      </c>
      <c r="R2257" s="75">
        <f t="shared" si="231"/>
        <v>1</v>
      </c>
      <c r="S2257" s="263" t="s">
        <v>1991</v>
      </c>
      <c r="T2257" s="263" t="s">
        <v>932</v>
      </c>
      <c r="Y2257" s="576">
        <v>0.76986111111111111</v>
      </c>
      <c r="Z2257" s="576">
        <v>0.77872685185185186</v>
      </c>
      <c r="AA2257" s="576">
        <f t="shared" si="232"/>
        <v>8.8657407407407574E-3</v>
      </c>
      <c r="AB2257" s="722"/>
    </row>
    <row r="2258" spans="1:28" x14ac:dyDescent="0.35">
      <c r="A2258" s="81" t="s">
        <v>7371</v>
      </c>
      <c r="C2258" s="118">
        <v>43963</v>
      </c>
      <c r="D2258" s="318">
        <v>43985</v>
      </c>
      <c r="E2258" s="83">
        <v>43973</v>
      </c>
      <c r="F2258" s="88" t="s">
        <v>7491</v>
      </c>
      <c r="G2258" s="88" t="s">
        <v>149</v>
      </c>
      <c r="H2258" s="81" t="s">
        <v>275</v>
      </c>
      <c r="I2258" s="98" t="s">
        <v>656</v>
      </c>
      <c r="J2258" s="75">
        <f t="shared" si="230"/>
        <v>1</v>
      </c>
      <c r="K2258" s="263" t="s">
        <v>211</v>
      </c>
      <c r="L2258" s="99" t="s">
        <v>7546</v>
      </c>
      <c r="N2258" s="78" t="s">
        <v>17</v>
      </c>
      <c r="Q2258" s="78" t="s">
        <v>2097</v>
      </c>
      <c r="R2258" s="75">
        <f t="shared" si="231"/>
        <v>1</v>
      </c>
      <c r="S2258" s="263" t="s">
        <v>1991</v>
      </c>
      <c r="T2258" s="263" t="s">
        <v>932</v>
      </c>
      <c r="Y2258" s="576">
        <v>0.78710648148148143</v>
      </c>
      <c r="Z2258" s="576">
        <v>0.85063657407407411</v>
      </c>
      <c r="AA2258" s="576">
        <f t="shared" si="232"/>
        <v>6.353009259259268E-2</v>
      </c>
      <c r="AB2258" s="722"/>
    </row>
    <row r="2259" spans="1:28" x14ac:dyDescent="0.35">
      <c r="A2259" s="81" t="s">
        <v>7375</v>
      </c>
      <c r="C2259" s="118">
        <v>43963</v>
      </c>
      <c r="D2259" s="318">
        <v>43985</v>
      </c>
      <c r="E2259" s="83">
        <v>43972</v>
      </c>
      <c r="F2259" s="88" t="s">
        <v>7495</v>
      </c>
      <c r="G2259" s="88" t="s">
        <v>186</v>
      </c>
      <c r="H2259" s="81" t="s">
        <v>275</v>
      </c>
      <c r="I2259" s="98" t="s">
        <v>2841</v>
      </c>
      <c r="J2259" s="75">
        <f t="shared" ref="J2259:J2287" si="233">IF(OR(K2259="Документы готовы",K2259="Запрос в ФО",K2259="ЭЗ",K2259="РЕШ",K2259="РЕШ шаблон"),0.1,IF(OR(K2259="ЭЗ согласование",K2259="РЕШ согласование"),0.3,IF(OR(K2259="ЭЗ согласовано",K2259="РЕШ согласовано",K2259="РЕШ подписано"),0.6,IF(OR(K2259="ЭЗ ПР согласование",K2259="РЕШ УВ согласование"),0.9,IF(OR(K2259="ЭЗ ПР DONE",K2259="РЕШ УВ DONE"),1,0)))))</f>
        <v>1</v>
      </c>
      <c r="K2259" s="263" t="s">
        <v>211</v>
      </c>
      <c r="L2259" s="99" t="s">
        <v>7538</v>
      </c>
      <c r="N2259" s="78" t="s">
        <v>19</v>
      </c>
      <c r="Q2259" s="78" t="s">
        <v>2447</v>
      </c>
      <c r="R2259" s="75">
        <f t="shared" ref="R2259:R2287" si="234">IF(S2259="В работе",0.3,IF(S2259="Отписано",0.6,IF(S2259="На доработку",0.9,IF(S2259="Согласовано",1,0))))</f>
        <v>1</v>
      </c>
      <c r="S2259" s="263" t="s">
        <v>1991</v>
      </c>
      <c r="T2259" s="263" t="s">
        <v>934</v>
      </c>
      <c r="U2259" s="304" t="s">
        <v>5592</v>
      </c>
      <c r="V2259" s="304" t="s">
        <v>7245</v>
      </c>
      <c r="Y2259" s="576">
        <v>0.4422106481481482</v>
      </c>
      <c r="Z2259" s="576">
        <v>0.45748842592592592</v>
      </c>
      <c r="AA2259" s="576">
        <f t="shared" ref="AA2259:AA2287" si="235">Z2259-Y2259</f>
        <v>1.5277777777777724E-2</v>
      </c>
      <c r="AB2259" s="722"/>
    </row>
    <row r="2260" spans="1:28" x14ac:dyDescent="0.35">
      <c r="A2260" s="81" t="s">
        <v>7381</v>
      </c>
      <c r="C2260" s="118">
        <v>43963</v>
      </c>
      <c r="D2260" s="318">
        <v>43984</v>
      </c>
      <c r="E2260" s="83">
        <v>43971</v>
      </c>
      <c r="F2260" s="88" t="s">
        <v>7501</v>
      </c>
      <c r="G2260" s="88" t="s">
        <v>152</v>
      </c>
      <c r="H2260" s="98" t="s">
        <v>220</v>
      </c>
      <c r="I2260" s="98" t="s">
        <v>656</v>
      </c>
      <c r="J2260" s="75">
        <f t="shared" si="233"/>
        <v>1</v>
      </c>
      <c r="K2260" s="263" t="s">
        <v>211</v>
      </c>
      <c r="L2260" s="99" t="s">
        <v>7520</v>
      </c>
      <c r="N2260" s="78" t="s">
        <v>17</v>
      </c>
      <c r="Q2260" s="78" t="s">
        <v>2447</v>
      </c>
      <c r="R2260" s="75">
        <f t="shared" si="234"/>
        <v>1</v>
      </c>
      <c r="S2260" s="263" t="s">
        <v>1991</v>
      </c>
      <c r="T2260" s="263" t="s">
        <v>933</v>
      </c>
      <c r="Y2260" s="576">
        <v>0.45905092592592589</v>
      </c>
      <c r="Z2260" s="576">
        <v>0.465787037037037</v>
      </c>
      <c r="AA2260" s="576">
        <f t="shared" si="235"/>
        <v>6.7361111111111094E-3</v>
      </c>
      <c r="AB2260" s="722"/>
    </row>
    <row r="2261" spans="1:28" x14ac:dyDescent="0.35">
      <c r="A2261" s="81" t="s">
        <v>7384</v>
      </c>
      <c r="C2261" s="118">
        <v>43963</v>
      </c>
      <c r="D2261" s="318">
        <v>43985</v>
      </c>
      <c r="E2261" s="83">
        <v>43973</v>
      </c>
      <c r="F2261" s="88" t="s">
        <v>7504</v>
      </c>
      <c r="G2261" s="88" t="s">
        <v>162</v>
      </c>
      <c r="H2261" s="98" t="s">
        <v>220</v>
      </c>
      <c r="I2261" s="98" t="s">
        <v>763</v>
      </c>
      <c r="J2261" s="75">
        <f t="shared" si="233"/>
        <v>1</v>
      </c>
      <c r="K2261" s="263" t="s">
        <v>211</v>
      </c>
      <c r="L2261" s="99" t="s">
        <v>7561</v>
      </c>
      <c r="N2261" s="78" t="s">
        <v>18</v>
      </c>
      <c r="Q2261" s="78" t="s">
        <v>2097</v>
      </c>
      <c r="R2261" s="75">
        <f t="shared" si="234"/>
        <v>1</v>
      </c>
      <c r="S2261" s="263" t="s">
        <v>1991</v>
      </c>
      <c r="T2261" s="263" t="s">
        <v>933</v>
      </c>
      <c r="U2261" s="304" t="s">
        <v>5592</v>
      </c>
      <c r="V2261" s="304" t="s">
        <v>7545</v>
      </c>
      <c r="Y2261" s="576">
        <v>0.7791203703703703</v>
      </c>
      <c r="Z2261" s="576">
        <v>0.78636574074074073</v>
      </c>
      <c r="AA2261" s="576">
        <f t="shared" si="235"/>
        <v>7.2453703703704297E-3</v>
      </c>
      <c r="AB2261" s="722"/>
    </row>
    <row r="2262" spans="1:28" x14ac:dyDescent="0.35">
      <c r="A2262" s="98" t="s">
        <v>7385</v>
      </c>
      <c r="C2262" s="118">
        <v>43963</v>
      </c>
      <c r="D2262" s="318">
        <v>43985</v>
      </c>
      <c r="E2262" s="83">
        <v>43972</v>
      </c>
      <c r="F2262" s="88" t="s">
        <v>7505</v>
      </c>
      <c r="G2262" s="88" t="s">
        <v>195</v>
      </c>
      <c r="H2262" s="98" t="s">
        <v>220</v>
      </c>
      <c r="I2262" s="98" t="s">
        <v>656</v>
      </c>
      <c r="J2262" s="75">
        <f t="shared" si="233"/>
        <v>1</v>
      </c>
      <c r="K2262" s="263" t="s">
        <v>211</v>
      </c>
      <c r="L2262" s="99" t="s">
        <v>7539</v>
      </c>
      <c r="N2262" s="78" t="s">
        <v>17</v>
      </c>
      <c r="Q2262" s="78" t="s">
        <v>2447</v>
      </c>
      <c r="R2262" s="75">
        <f t="shared" si="234"/>
        <v>1</v>
      </c>
      <c r="S2262" s="263" t="s">
        <v>1991</v>
      </c>
      <c r="T2262" s="263" t="s">
        <v>933</v>
      </c>
      <c r="Y2262" s="576">
        <v>0.62534722222222217</v>
      </c>
      <c r="Z2262" s="576">
        <v>0.68916666666666659</v>
      </c>
      <c r="AA2262" s="576">
        <f t="shared" si="235"/>
        <v>6.3819444444444429E-2</v>
      </c>
      <c r="AB2262" s="722"/>
    </row>
    <row r="2263" spans="1:28" x14ac:dyDescent="0.35">
      <c r="A2263" s="81" t="s">
        <v>6402</v>
      </c>
      <c r="C2263" s="118">
        <v>43896</v>
      </c>
      <c r="D2263" s="318">
        <v>43991</v>
      </c>
      <c r="E2263" s="83">
        <v>43977</v>
      </c>
      <c r="F2263" s="255" t="s">
        <v>6444</v>
      </c>
      <c r="G2263" s="88" t="s">
        <v>170</v>
      </c>
      <c r="H2263" s="81" t="s">
        <v>275</v>
      </c>
      <c r="I2263" s="98" t="s">
        <v>1004</v>
      </c>
      <c r="J2263" s="75">
        <f t="shared" si="233"/>
        <v>1</v>
      </c>
      <c r="K2263" s="263" t="s">
        <v>211</v>
      </c>
      <c r="L2263" s="99" t="s">
        <v>7772</v>
      </c>
      <c r="N2263" s="78" t="s">
        <v>19</v>
      </c>
      <c r="Q2263" s="78" t="s">
        <v>2447</v>
      </c>
      <c r="R2263" s="75">
        <f t="shared" si="234"/>
        <v>1</v>
      </c>
      <c r="S2263" s="263" t="s">
        <v>1991</v>
      </c>
      <c r="T2263" s="263" t="s">
        <v>932</v>
      </c>
      <c r="Y2263" s="576">
        <v>0.67421296296296296</v>
      </c>
      <c r="Z2263" s="576">
        <v>0.68443287037037026</v>
      </c>
      <c r="AA2263" s="576">
        <f t="shared" si="235"/>
        <v>1.0219907407407303E-2</v>
      </c>
      <c r="AB2263" s="722"/>
    </row>
    <row r="2264" spans="1:28" x14ac:dyDescent="0.35">
      <c r="A2264" s="81" t="s">
        <v>6115</v>
      </c>
      <c r="C2264" s="118">
        <v>43903</v>
      </c>
      <c r="D2264" s="318">
        <v>43984</v>
      </c>
      <c r="E2264" s="83">
        <v>43980</v>
      </c>
      <c r="F2264" s="88" t="s">
        <v>6169</v>
      </c>
      <c r="G2264" s="88" t="s">
        <v>7204</v>
      </c>
      <c r="H2264" s="98" t="s">
        <v>220</v>
      </c>
      <c r="I2264" s="98" t="s">
        <v>722</v>
      </c>
      <c r="J2264" s="75">
        <f t="shared" si="233"/>
        <v>1</v>
      </c>
      <c r="K2264" s="263" t="s">
        <v>211</v>
      </c>
      <c r="L2264" s="99" t="s">
        <v>7513</v>
      </c>
      <c r="N2264" s="78" t="s">
        <v>18</v>
      </c>
      <c r="Q2264" s="78" t="s">
        <v>2130</v>
      </c>
      <c r="R2264" s="75">
        <f t="shared" si="234"/>
        <v>1</v>
      </c>
      <c r="S2264" s="263" t="s">
        <v>1991</v>
      </c>
      <c r="T2264" s="263" t="s">
        <v>932</v>
      </c>
      <c r="Y2264" s="576">
        <v>0.52037037037037037</v>
      </c>
      <c r="Z2264" s="576">
        <v>0.53641203703703699</v>
      </c>
      <c r="AA2264" s="576">
        <f t="shared" si="235"/>
        <v>1.6041666666666621E-2</v>
      </c>
      <c r="AB2264" s="722"/>
    </row>
    <row r="2265" spans="1:28" x14ac:dyDescent="0.35">
      <c r="A2265" s="81" t="s">
        <v>6268</v>
      </c>
      <c r="C2265" s="118">
        <v>43907</v>
      </c>
      <c r="D2265" s="318">
        <v>43986</v>
      </c>
      <c r="E2265" s="83">
        <v>43983</v>
      </c>
      <c r="F2265" s="88" t="s">
        <v>6334</v>
      </c>
      <c r="G2265" s="88" t="s">
        <v>156</v>
      </c>
      <c r="H2265" s="81" t="s">
        <v>275</v>
      </c>
      <c r="I2265" s="98" t="s">
        <v>722</v>
      </c>
      <c r="J2265" s="75">
        <f t="shared" si="233"/>
        <v>1</v>
      </c>
      <c r="K2265" s="76" t="s">
        <v>211</v>
      </c>
      <c r="L2265" s="99" t="s">
        <v>7527</v>
      </c>
      <c r="N2265" s="78" t="s">
        <v>18</v>
      </c>
      <c r="Q2265" s="78" t="s">
        <v>2130</v>
      </c>
      <c r="R2265" s="75">
        <f t="shared" si="234"/>
        <v>1</v>
      </c>
      <c r="S2265" s="263" t="s">
        <v>1991</v>
      </c>
      <c r="T2265" s="263" t="s">
        <v>933</v>
      </c>
      <c r="Y2265" s="576">
        <v>0.43814814814814818</v>
      </c>
      <c r="Z2265" s="576">
        <v>0.45027777777777778</v>
      </c>
      <c r="AA2265" s="576">
        <f t="shared" si="235"/>
        <v>1.2129629629629601E-2</v>
      </c>
      <c r="AB2265" s="722"/>
    </row>
    <row r="2266" spans="1:28" x14ac:dyDescent="0.35">
      <c r="A2266" s="81" t="s">
        <v>7194</v>
      </c>
      <c r="C2266" s="118">
        <v>43907</v>
      </c>
      <c r="D2266" s="318">
        <v>43986</v>
      </c>
      <c r="E2266" s="83">
        <v>43978</v>
      </c>
      <c r="F2266" s="88" t="s">
        <v>7205</v>
      </c>
      <c r="G2266" s="88" t="s">
        <v>191</v>
      </c>
      <c r="H2266" s="98" t="s">
        <v>220</v>
      </c>
      <c r="I2266" s="98" t="s">
        <v>649</v>
      </c>
      <c r="J2266" s="75">
        <f t="shared" si="233"/>
        <v>1</v>
      </c>
      <c r="K2266" s="263" t="s">
        <v>211</v>
      </c>
      <c r="L2266" s="99" t="s">
        <v>7565</v>
      </c>
      <c r="N2266" s="78" t="s">
        <v>18</v>
      </c>
      <c r="Q2266" s="78" t="s">
        <v>2130</v>
      </c>
      <c r="R2266" s="75">
        <f t="shared" si="234"/>
        <v>1</v>
      </c>
      <c r="S2266" s="263" t="s">
        <v>1991</v>
      </c>
      <c r="T2266" s="263" t="s">
        <v>932</v>
      </c>
      <c r="Y2266" s="576">
        <v>0.84504629629629635</v>
      </c>
      <c r="Z2266" s="576">
        <v>0.85135416666666675</v>
      </c>
      <c r="AA2266" s="576">
        <f t="shared" si="235"/>
        <v>6.3078703703703942E-3</v>
      </c>
      <c r="AB2266" s="722"/>
    </row>
    <row r="2267" spans="1:28" x14ac:dyDescent="0.35">
      <c r="A2267" s="81" t="s">
        <v>6540</v>
      </c>
      <c r="C2267" s="118">
        <v>43915</v>
      </c>
      <c r="D2267" s="318">
        <v>43997</v>
      </c>
      <c r="E2267" s="83">
        <v>43978</v>
      </c>
      <c r="F2267" s="88" t="s">
        <v>6666</v>
      </c>
      <c r="G2267" s="88" t="s">
        <v>158</v>
      </c>
      <c r="H2267" s="98" t="s">
        <v>220</v>
      </c>
      <c r="I2267" s="98" t="s">
        <v>722</v>
      </c>
      <c r="J2267" s="75">
        <f t="shared" si="233"/>
        <v>1</v>
      </c>
      <c r="K2267" s="263" t="s">
        <v>211</v>
      </c>
      <c r="L2267" s="99" t="s">
        <v>7791</v>
      </c>
      <c r="N2267" s="78" t="s">
        <v>18</v>
      </c>
      <c r="Q2267" s="78" t="s">
        <v>2130</v>
      </c>
      <c r="R2267" s="75">
        <f t="shared" si="234"/>
        <v>1</v>
      </c>
      <c r="S2267" s="263" t="s">
        <v>1991</v>
      </c>
      <c r="T2267" s="263" t="s">
        <v>933</v>
      </c>
      <c r="Y2267" s="576">
        <v>0.5562731481481481</v>
      </c>
      <c r="Z2267" s="576">
        <v>0.57633101851851853</v>
      </c>
      <c r="AA2267" s="576">
        <f t="shared" si="235"/>
        <v>2.0057870370370434E-2</v>
      </c>
      <c r="AB2267" s="722"/>
    </row>
    <row r="2268" spans="1:28" x14ac:dyDescent="0.35">
      <c r="A2268" s="81" t="s">
        <v>6551</v>
      </c>
      <c r="C2268" s="118">
        <v>43916</v>
      </c>
      <c r="D2268" s="318">
        <v>43997</v>
      </c>
      <c r="E2268" s="83">
        <v>43977</v>
      </c>
      <c r="F2268" s="88" t="s">
        <v>6677</v>
      </c>
      <c r="G2268" s="88" t="s">
        <v>7204</v>
      </c>
      <c r="H2268" s="98" t="s">
        <v>220</v>
      </c>
      <c r="I2268" s="98" t="s">
        <v>649</v>
      </c>
      <c r="J2268" s="75">
        <f t="shared" si="233"/>
        <v>1</v>
      </c>
      <c r="K2268" s="263" t="s">
        <v>211</v>
      </c>
      <c r="L2268" s="99" t="s">
        <v>7524</v>
      </c>
      <c r="N2268" s="78" t="s">
        <v>18</v>
      </c>
      <c r="Q2268" s="78" t="s">
        <v>2447</v>
      </c>
      <c r="R2268" s="75">
        <f t="shared" si="234"/>
        <v>1</v>
      </c>
      <c r="S2268" s="263" t="s">
        <v>1991</v>
      </c>
      <c r="T2268" s="263" t="s">
        <v>932</v>
      </c>
      <c r="Y2268" s="576">
        <v>0.63521990740740741</v>
      </c>
      <c r="Z2268" s="576">
        <v>0.65697916666666667</v>
      </c>
      <c r="AA2268" s="576">
        <f t="shared" si="235"/>
        <v>2.1759259259259256E-2</v>
      </c>
      <c r="AB2268" s="722"/>
    </row>
    <row r="2269" spans="1:28" x14ac:dyDescent="0.35">
      <c r="A2269" s="81" t="s">
        <v>6552</v>
      </c>
      <c r="C2269" s="118">
        <v>43916</v>
      </c>
      <c r="D2269" s="318">
        <v>43998</v>
      </c>
      <c r="E2269" s="83">
        <v>43983</v>
      </c>
      <c r="F2269" s="88" t="s">
        <v>6678</v>
      </c>
      <c r="G2269" s="88" t="s">
        <v>3866</v>
      </c>
      <c r="H2269" s="98" t="s">
        <v>220</v>
      </c>
      <c r="I2269" s="98" t="s">
        <v>649</v>
      </c>
      <c r="J2269" s="75">
        <f t="shared" si="233"/>
        <v>1</v>
      </c>
      <c r="K2269" s="76" t="s">
        <v>211</v>
      </c>
      <c r="L2269" s="99" t="s">
        <v>7825</v>
      </c>
      <c r="N2269" s="78" t="s">
        <v>18</v>
      </c>
      <c r="Q2269" s="78" t="s">
        <v>2056</v>
      </c>
      <c r="R2269" s="75">
        <f t="shared" si="234"/>
        <v>1</v>
      </c>
      <c r="S2269" s="263" t="s">
        <v>1991</v>
      </c>
      <c r="T2269" s="263" t="s">
        <v>933</v>
      </c>
      <c r="Y2269" s="576">
        <v>0.48836805555555557</v>
      </c>
      <c r="Z2269" s="576">
        <v>0.49435185185185188</v>
      </c>
      <c r="AA2269" s="576">
        <f t="shared" si="235"/>
        <v>5.9837962962963065E-3</v>
      </c>
      <c r="AB2269" s="722"/>
    </row>
    <row r="2270" spans="1:28" x14ac:dyDescent="0.35">
      <c r="A2270" s="81" t="s">
        <v>6557</v>
      </c>
      <c r="C2270" s="118">
        <v>43916</v>
      </c>
      <c r="D2270" s="318">
        <v>43997</v>
      </c>
      <c r="E2270" s="83">
        <v>43978</v>
      </c>
      <c r="F2270" s="88" t="s">
        <v>6683</v>
      </c>
      <c r="G2270" s="88" t="s">
        <v>154</v>
      </c>
      <c r="H2270" s="98" t="s">
        <v>220</v>
      </c>
      <c r="I2270" s="98" t="s">
        <v>1004</v>
      </c>
      <c r="J2270" s="75">
        <f t="shared" si="233"/>
        <v>1</v>
      </c>
      <c r="K2270" s="76" t="s">
        <v>211</v>
      </c>
      <c r="L2270" s="99" t="s">
        <v>7528</v>
      </c>
      <c r="N2270" s="78" t="s">
        <v>19</v>
      </c>
      <c r="Q2270" s="78" t="s">
        <v>2130</v>
      </c>
      <c r="R2270" s="75">
        <f t="shared" si="234"/>
        <v>1</v>
      </c>
      <c r="S2270" s="263" t="s">
        <v>1991</v>
      </c>
      <c r="T2270" s="263" t="s">
        <v>934</v>
      </c>
      <c r="U2270" s="304" t="s">
        <v>5592</v>
      </c>
      <c r="V2270" s="304" t="s">
        <v>8007</v>
      </c>
      <c r="Y2270" s="576">
        <v>0.54166666666666663</v>
      </c>
      <c r="Z2270" s="576">
        <v>0.56734953703703705</v>
      </c>
      <c r="AA2270" s="576">
        <f t="shared" si="235"/>
        <v>2.5682870370370425E-2</v>
      </c>
      <c r="AB2270" s="722"/>
    </row>
    <row r="2271" spans="1:28" x14ac:dyDescent="0.35">
      <c r="A2271" s="81" t="s">
        <v>7274</v>
      </c>
      <c r="C2271" s="118">
        <v>43927</v>
      </c>
      <c r="D2271" s="318">
        <v>43998</v>
      </c>
      <c r="E2271" s="83">
        <v>43977</v>
      </c>
      <c r="F2271" s="88" t="s">
        <v>7395</v>
      </c>
      <c r="G2271" s="88" t="s">
        <v>162</v>
      </c>
      <c r="H2271" s="98" t="s">
        <v>220</v>
      </c>
      <c r="I2271" s="98" t="s">
        <v>652</v>
      </c>
      <c r="J2271" s="75">
        <f t="shared" si="233"/>
        <v>1</v>
      </c>
      <c r="K2271" s="263" t="s">
        <v>211</v>
      </c>
      <c r="L2271" s="99" t="s">
        <v>7769</v>
      </c>
      <c r="N2271" s="78" t="s">
        <v>18</v>
      </c>
      <c r="Q2271" s="78" t="s">
        <v>2447</v>
      </c>
      <c r="R2271" s="75">
        <f t="shared" si="234"/>
        <v>1</v>
      </c>
      <c r="S2271" s="263" t="s">
        <v>1991</v>
      </c>
      <c r="T2271" s="263" t="s">
        <v>932</v>
      </c>
      <c r="Y2271" s="576">
        <v>0.5394444444444445</v>
      </c>
      <c r="Z2271" s="576">
        <v>0.546875</v>
      </c>
      <c r="AA2271" s="576">
        <f t="shared" si="235"/>
        <v>7.4305555555554959E-3</v>
      </c>
      <c r="AB2271" s="722"/>
    </row>
    <row r="2272" spans="1:28" x14ac:dyDescent="0.35">
      <c r="A2272" s="81" t="s">
        <v>6577</v>
      </c>
      <c r="C2272" s="118">
        <v>43927</v>
      </c>
      <c r="D2272" s="318">
        <v>43998</v>
      </c>
      <c r="E2272" s="83">
        <v>43977</v>
      </c>
      <c r="F2272" s="88" t="s">
        <v>6702</v>
      </c>
      <c r="G2272" s="88" t="s">
        <v>172</v>
      </c>
      <c r="H2272" s="98" t="s">
        <v>220</v>
      </c>
      <c r="I2272" s="98" t="s">
        <v>649</v>
      </c>
      <c r="J2272" s="75">
        <f t="shared" si="233"/>
        <v>1</v>
      </c>
      <c r="K2272" s="263" t="s">
        <v>211</v>
      </c>
      <c r="L2272" s="99" t="s">
        <v>7563</v>
      </c>
      <c r="N2272" s="78" t="s">
        <v>18</v>
      </c>
      <c r="Q2272" s="78" t="s">
        <v>2097</v>
      </c>
      <c r="R2272" s="75">
        <f t="shared" si="234"/>
        <v>1</v>
      </c>
      <c r="S2272" s="263" t="s">
        <v>1991</v>
      </c>
      <c r="T2272" s="263" t="s">
        <v>932</v>
      </c>
      <c r="Y2272" s="576">
        <v>0.82278935185185187</v>
      </c>
      <c r="Z2272" s="576">
        <v>0.85797453703703708</v>
      </c>
      <c r="AA2272" s="576">
        <f t="shared" si="235"/>
        <v>3.5185185185185208E-2</v>
      </c>
      <c r="AB2272" s="722"/>
    </row>
    <row r="2273" spans="1:28" x14ac:dyDescent="0.35">
      <c r="A2273" s="81" t="s">
        <v>7275</v>
      </c>
      <c r="C2273" s="118">
        <v>43927</v>
      </c>
      <c r="D2273" s="318">
        <v>43998</v>
      </c>
      <c r="E2273" s="83">
        <v>43977</v>
      </c>
      <c r="F2273" s="88" t="s">
        <v>7396</v>
      </c>
      <c r="G2273" s="88" t="s">
        <v>152</v>
      </c>
      <c r="H2273" s="98" t="s">
        <v>220</v>
      </c>
      <c r="I2273" s="98" t="s">
        <v>3260</v>
      </c>
      <c r="J2273" s="75">
        <f t="shared" si="233"/>
        <v>1</v>
      </c>
      <c r="K2273" s="263" t="s">
        <v>211</v>
      </c>
      <c r="L2273" s="99" t="s">
        <v>7768</v>
      </c>
      <c r="N2273" s="78" t="s">
        <v>19</v>
      </c>
      <c r="Q2273" s="78" t="s">
        <v>2447</v>
      </c>
      <c r="R2273" s="75">
        <f t="shared" si="234"/>
        <v>1</v>
      </c>
      <c r="S2273" s="263" t="s">
        <v>1991</v>
      </c>
      <c r="T2273" s="263" t="s">
        <v>934</v>
      </c>
      <c r="Y2273" s="576">
        <v>0.52776620370370375</v>
      </c>
      <c r="Z2273" s="576">
        <v>0.5387615740740741</v>
      </c>
      <c r="AA2273" s="576">
        <f t="shared" si="235"/>
        <v>1.099537037037035E-2</v>
      </c>
      <c r="AB2273" s="722"/>
    </row>
    <row r="2274" spans="1:28" x14ac:dyDescent="0.35">
      <c r="A2274" s="81" t="s">
        <v>7276</v>
      </c>
      <c r="C2274" s="118">
        <v>43927</v>
      </c>
      <c r="D2274" s="318">
        <v>43998</v>
      </c>
      <c r="E2274" s="83">
        <v>43977</v>
      </c>
      <c r="F2274" s="88" t="s">
        <v>7397</v>
      </c>
      <c r="G2274" s="88" t="s">
        <v>154</v>
      </c>
      <c r="H2274" s="98" t="s">
        <v>220</v>
      </c>
      <c r="I2274" s="98" t="s">
        <v>652</v>
      </c>
      <c r="J2274" s="75">
        <f t="shared" si="233"/>
        <v>1</v>
      </c>
      <c r="K2274" s="263" t="s">
        <v>211</v>
      </c>
      <c r="L2274" s="99" t="s">
        <v>7767</v>
      </c>
      <c r="N2274" s="78" t="s">
        <v>17</v>
      </c>
      <c r="Q2274" s="78" t="s">
        <v>2447</v>
      </c>
      <c r="R2274" s="75">
        <f t="shared" si="234"/>
        <v>1</v>
      </c>
      <c r="S2274" s="263" t="s">
        <v>1991</v>
      </c>
      <c r="T2274" s="263" t="s">
        <v>932</v>
      </c>
      <c r="Y2274" s="576">
        <v>0.51656250000000004</v>
      </c>
      <c r="Z2274" s="576">
        <v>0.52695601851851859</v>
      </c>
      <c r="AA2274" s="576">
        <f t="shared" si="235"/>
        <v>1.0393518518518552E-2</v>
      </c>
      <c r="AB2274" s="722"/>
    </row>
    <row r="2275" spans="1:28" x14ac:dyDescent="0.35">
      <c r="A2275" s="81" t="s">
        <v>7277</v>
      </c>
      <c r="C2275" s="118">
        <v>43927</v>
      </c>
      <c r="D2275" s="318">
        <v>43998</v>
      </c>
      <c r="E2275" s="83">
        <v>43977</v>
      </c>
      <c r="F2275" s="88" t="s">
        <v>7398</v>
      </c>
      <c r="G2275" s="88" t="s">
        <v>158</v>
      </c>
      <c r="H2275" s="98" t="s">
        <v>220</v>
      </c>
      <c r="I2275" s="98" t="s">
        <v>722</v>
      </c>
      <c r="J2275" s="75">
        <f t="shared" si="233"/>
        <v>1</v>
      </c>
      <c r="K2275" s="263" t="s">
        <v>211</v>
      </c>
      <c r="L2275" s="99" t="s">
        <v>7527</v>
      </c>
      <c r="N2275" s="78" t="s">
        <v>18</v>
      </c>
      <c r="Q2275" s="78" t="s">
        <v>2447</v>
      </c>
      <c r="R2275" s="75">
        <f t="shared" si="234"/>
        <v>1</v>
      </c>
      <c r="S2275" s="263" t="s">
        <v>1991</v>
      </c>
      <c r="T2275" s="263" t="s">
        <v>933</v>
      </c>
      <c r="Y2275" s="576">
        <v>0.51116898148148149</v>
      </c>
      <c r="Z2275" s="576">
        <v>0.51607638888888896</v>
      </c>
      <c r="AA2275" s="576">
        <f t="shared" si="235"/>
        <v>4.9074074074074714E-3</v>
      </c>
      <c r="AB2275" s="722"/>
    </row>
    <row r="2276" spans="1:28" x14ac:dyDescent="0.35">
      <c r="A2276" s="81" t="s">
        <v>7278</v>
      </c>
      <c r="C2276" s="118">
        <v>43927</v>
      </c>
      <c r="D2276" s="318">
        <v>43998</v>
      </c>
      <c r="E2276" s="83">
        <v>43977</v>
      </c>
      <c r="F2276" s="88" t="s">
        <v>7399</v>
      </c>
      <c r="G2276" s="88" t="s">
        <v>156</v>
      </c>
      <c r="H2276" s="98" t="s">
        <v>220</v>
      </c>
      <c r="I2276" s="98" t="s">
        <v>648</v>
      </c>
      <c r="J2276" s="75">
        <f t="shared" si="233"/>
        <v>1</v>
      </c>
      <c r="K2276" s="263" t="s">
        <v>211</v>
      </c>
      <c r="L2276" s="99" t="s">
        <v>7527</v>
      </c>
      <c r="N2276" s="78" t="s">
        <v>17</v>
      </c>
      <c r="Q2276" s="78" t="s">
        <v>2447</v>
      </c>
      <c r="R2276" s="75">
        <f t="shared" si="234"/>
        <v>1</v>
      </c>
      <c r="S2276" s="263" t="s">
        <v>1991</v>
      </c>
      <c r="T2276" s="263" t="s">
        <v>934</v>
      </c>
      <c r="Y2276" s="576">
        <v>0.46956018518518516</v>
      </c>
      <c r="Z2276" s="576">
        <v>0.50023148148148155</v>
      </c>
      <c r="AA2276" s="576">
        <f t="shared" si="235"/>
        <v>3.0671296296296391E-2</v>
      </c>
      <c r="AB2276" s="722"/>
    </row>
    <row r="2277" spans="1:28" x14ac:dyDescent="0.35">
      <c r="A2277" s="81" t="s">
        <v>6586</v>
      </c>
      <c r="C2277" s="118">
        <v>43928</v>
      </c>
      <c r="D2277" s="318">
        <v>43998</v>
      </c>
      <c r="E2277" s="83">
        <v>43977</v>
      </c>
      <c r="F2277" s="88" t="s">
        <v>6711</v>
      </c>
      <c r="G2277" s="88" t="s">
        <v>162</v>
      </c>
      <c r="H2277" s="98" t="s">
        <v>220</v>
      </c>
      <c r="I2277" s="98" t="s">
        <v>722</v>
      </c>
      <c r="J2277" s="75">
        <f t="shared" si="233"/>
        <v>1</v>
      </c>
      <c r="K2277" s="263" t="s">
        <v>211</v>
      </c>
      <c r="L2277" s="99" t="s">
        <v>7527</v>
      </c>
      <c r="N2277" s="78" t="s">
        <v>18</v>
      </c>
      <c r="Q2277" s="78" t="s">
        <v>2447</v>
      </c>
      <c r="R2277" s="75">
        <f t="shared" si="234"/>
        <v>1</v>
      </c>
      <c r="S2277" s="263" t="s">
        <v>1991</v>
      </c>
      <c r="T2277" s="263" t="s">
        <v>933</v>
      </c>
      <c r="Y2277" s="576">
        <v>0.44091435185185185</v>
      </c>
      <c r="Z2277" s="576">
        <v>0.46922453703703698</v>
      </c>
      <c r="AA2277" s="576">
        <f t="shared" si="235"/>
        <v>2.8310185185185133E-2</v>
      </c>
      <c r="AB2277" s="722"/>
    </row>
    <row r="2278" spans="1:28" x14ac:dyDescent="0.35">
      <c r="A2278" s="81" t="s">
        <v>7279</v>
      </c>
      <c r="C2278" s="118">
        <v>43928</v>
      </c>
      <c r="D2278" s="318">
        <v>43998</v>
      </c>
      <c r="E2278" s="83">
        <v>43977</v>
      </c>
      <c r="F2278" s="88" t="s">
        <v>7400</v>
      </c>
      <c r="G2278" s="88" t="s">
        <v>158</v>
      </c>
      <c r="H2278" s="98" t="s">
        <v>220</v>
      </c>
      <c r="I2278" s="98" t="s">
        <v>722</v>
      </c>
      <c r="J2278" s="75">
        <f t="shared" si="233"/>
        <v>1</v>
      </c>
      <c r="K2278" s="263" t="s">
        <v>211</v>
      </c>
      <c r="L2278" s="99" t="s">
        <v>7527</v>
      </c>
      <c r="N2278" s="78" t="s">
        <v>18</v>
      </c>
      <c r="Q2278" s="78" t="s">
        <v>2447</v>
      </c>
      <c r="R2278" s="75">
        <f t="shared" si="234"/>
        <v>1</v>
      </c>
      <c r="S2278" s="263" t="s">
        <v>1991</v>
      </c>
      <c r="T2278" s="263" t="s">
        <v>932</v>
      </c>
      <c r="Y2278" s="576">
        <v>0.43059027777777775</v>
      </c>
      <c r="Z2278" s="576">
        <v>0.44035879629629626</v>
      </c>
      <c r="AA2278" s="576">
        <f t="shared" si="235"/>
        <v>9.7685185185185097E-3</v>
      </c>
      <c r="AB2278" s="722"/>
    </row>
    <row r="2279" spans="1:28" x14ac:dyDescent="0.35">
      <c r="A2279" s="81" t="s">
        <v>6596</v>
      </c>
      <c r="C2279" s="118">
        <v>43928</v>
      </c>
      <c r="D2279" s="318">
        <v>43998</v>
      </c>
      <c r="E2279" s="83">
        <v>43977</v>
      </c>
      <c r="F2279" s="88" t="s">
        <v>6721</v>
      </c>
      <c r="G2279" s="88" t="s">
        <v>417</v>
      </c>
      <c r="H2279" s="98" t="s">
        <v>220</v>
      </c>
      <c r="I2279" s="98" t="s">
        <v>763</v>
      </c>
      <c r="J2279" s="75">
        <f t="shared" si="233"/>
        <v>1</v>
      </c>
      <c r="K2279" s="263" t="s">
        <v>211</v>
      </c>
      <c r="L2279" s="99" t="s">
        <v>7754</v>
      </c>
      <c r="N2279" s="78" t="s">
        <v>18</v>
      </c>
      <c r="Q2279" s="78" t="s">
        <v>2447</v>
      </c>
      <c r="R2279" s="75">
        <f t="shared" si="234"/>
        <v>1</v>
      </c>
      <c r="S2279" s="263" t="s">
        <v>1991</v>
      </c>
      <c r="T2279" s="263" t="s">
        <v>934</v>
      </c>
      <c r="Y2279" s="576">
        <v>0.41844907407407406</v>
      </c>
      <c r="Z2279" s="576">
        <v>0.43023148148148144</v>
      </c>
      <c r="AA2279" s="576">
        <f t="shared" si="235"/>
        <v>1.178240740740738E-2</v>
      </c>
      <c r="AB2279" s="722"/>
    </row>
    <row r="2280" spans="1:28" x14ac:dyDescent="0.35">
      <c r="A2280" s="81" t="s">
        <v>6597</v>
      </c>
      <c r="C2280" s="118">
        <v>43928</v>
      </c>
      <c r="D2280" s="318">
        <v>43998</v>
      </c>
      <c r="E2280" s="83">
        <v>43977</v>
      </c>
      <c r="F2280" s="88" t="s">
        <v>6722</v>
      </c>
      <c r="G2280" s="88" t="s">
        <v>149</v>
      </c>
      <c r="H2280" s="98" t="s">
        <v>220</v>
      </c>
      <c r="I2280" s="98" t="s">
        <v>649</v>
      </c>
      <c r="J2280" s="75">
        <f t="shared" si="233"/>
        <v>1</v>
      </c>
      <c r="K2280" s="263" t="s">
        <v>211</v>
      </c>
      <c r="L2280" s="99" t="s">
        <v>7565</v>
      </c>
      <c r="N2280" s="78" t="s">
        <v>18</v>
      </c>
      <c r="Q2280" s="78" t="s">
        <v>2447</v>
      </c>
      <c r="R2280" s="75">
        <f t="shared" si="234"/>
        <v>1</v>
      </c>
      <c r="S2280" s="263" t="s">
        <v>1991</v>
      </c>
      <c r="T2280" s="263" t="s">
        <v>932</v>
      </c>
      <c r="Y2280" s="576">
        <v>0.40916666666666668</v>
      </c>
      <c r="Z2280" s="576">
        <v>0.41809027777777774</v>
      </c>
      <c r="AA2280" s="576">
        <f t="shared" si="235"/>
        <v>8.9236111111110628E-3</v>
      </c>
      <c r="AB2280" s="722"/>
    </row>
    <row r="2281" spans="1:28" x14ac:dyDescent="0.35">
      <c r="A2281" s="81" t="s">
        <v>7281</v>
      </c>
      <c r="C2281" s="118">
        <v>43928</v>
      </c>
      <c r="D2281" s="318">
        <v>43998</v>
      </c>
      <c r="E2281" s="83">
        <v>43979</v>
      </c>
      <c r="F2281" s="88" t="s">
        <v>7402</v>
      </c>
      <c r="G2281" s="88" t="s">
        <v>152</v>
      </c>
      <c r="H2281" s="98" t="s">
        <v>220</v>
      </c>
      <c r="I2281" s="98" t="s">
        <v>649</v>
      </c>
      <c r="J2281" s="75">
        <f t="shared" si="233"/>
        <v>1</v>
      </c>
      <c r="K2281" s="263" t="s">
        <v>211</v>
      </c>
      <c r="L2281" s="99" t="s">
        <v>7524</v>
      </c>
      <c r="N2281" s="78" t="s">
        <v>18</v>
      </c>
      <c r="Q2281" s="78" t="s">
        <v>2447</v>
      </c>
      <c r="R2281" s="75">
        <f t="shared" si="234"/>
        <v>1</v>
      </c>
      <c r="S2281" s="263" t="s">
        <v>1991</v>
      </c>
      <c r="T2281" s="263" t="s">
        <v>932</v>
      </c>
      <c r="Y2281" s="576">
        <v>0.43986111111111109</v>
      </c>
      <c r="Z2281" s="576">
        <v>0.44563657407407403</v>
      </c>
      <c r="AA2281" s="576">
        <f t="shared" si="235"/>
        <v>5.7754629629629406E-3</v>
      </c>
      <c r="AB2281" s="722"/>
    </row>
    <row r="2282" spans="1:28" x14ac:dyDescent="0.35">
      <c r="A2282" s="81" t="s">
        <v>6600</v>
      </c>
      <c r="C2282" s="118">
        <v>43928</v>
      </c>
      <c r="D2282" s="318">
        <v>43998</v>
      </c>
      <c r="E2282" s="83">
        <v>43979</v>
      </c>
      <c r="F2282" s="88" t="s">
        <v>6725</v>
      </c>
      <c r="G2282" s="88" t="s">
        <v>152</v>
      </c>
      <c r="H2282" s="98" t="s">
        <v>220</v>
      </c>
      <c r="I2282" s="98" t="s">
        <v>722</v>
      </c>
      <c r="J2282" s="75">
        <f t="shared" si="233"/>
        <v>1</v>
      </c>
      <c r="K2282" s="263" t="s">
        <v>211</v>
      </c>
      <c r="L2282" s="99" t="s">
        <v>7527</v>
      </c>
      <c r="N2282" s="78" t="s">
        <v>18</v>
      </c>
      <c r="Q2282" s="78" t="s">
        <v>2447</v>
      </c>
      <c r="R2282" s="75">
        <f t="shared" si="234"/>
        <v>1</v>
      </c>
      <c r="S2282" s="263" t="s">
        <v>1991</v>
      </c>
      <c r="T2282" s="263" t="s">
        <v>933</v>
      </c>
      <c r="Y2282" s="576">
        <v>0.42796296296296293</v>
      </c>
      <c r="Z2282" s="576">
        <v>0.43438657407407405</v>
      </c>
      <c r="AA2282" s="576">
        <f t="shared" si="235"/>
        <v>6.423611111111116E-3</v>
      </c>
      <c r="AB2282" s="722"/>
    </row>
    <row r="2283" spans="1:28" x14ac:dyDescent="0.35">
      <c r="A2283" s="81" t="s">
        <v>6605</v>
      </c>
      <c r="C2283" s="118">
        <v>43928</v>
      </c>
      <c r="D2283" s="318">
        <v>43998</v>
      </c>
      <c r="E2283" s="83">
        <v>43979</v>
      </c>
      <c r="F2283" s="88" t="s">
        <v>6730</v>
      </c>
      <c r="G2283" s="88" t="s">
        <v>152</v>
      </c>
      <c r="H2283" s="98" t="s">
        <v>220</v>
      </c>
      <c r="I2283" s="98" t="s">
        <v>763</v>
      </c>
      <c r="J2283" s="75">
        <f t="shared" si="233"/>
        <v>1</v>
      </c>
      <c r="K2283" s="263" t="s">
        <v>211</v>
      </c>
      <c r="L2283" s="99" t="s">
        <v>7798</v>
      </c>
      <c r="N2283" s="78" t="s">
        <v>17</v>
      </c>
      <c r="Q2283" s="78" t="s">
        <v>2447</v>
      </c>
      <c r="R2283" s="75">
        <f t="shared" si="234"/>
        <v>1</v>
      </c>
      <c r="S2283" s="263" t="s">
        <v>1991</v>
      </c>
      <c r="T2283" s="263" t="s">
        <v>933</v>
      </c>
      <c r="Y2283" s="576">
        <v>0.41722222222222222</v>
      </c>
      <c r="Z2283" s="576">
        <v>0.42768518518518522</v>
      </c>
      <c r="AA2283" s="576">
        <f t="shared" si="235"/>
        <v>1.0462962962963007E-2</v>
      </c>
      <c r="AB2283" s="722"/>
    </row>
    <row r="2284" spans="1:28" x14ac:dyDescent="0.35">
      <c r="A2284" s="81" t="s">
        <v>6606</v>
      </c>
      <c r="C2284" s="118">
        <v>43928</v>
      </c>
      <c r="D2284" s="318">
        <v>43998</v>
      </c>
      <c r="E2284" s="83">
        <v>43979</v>
      </c>
      <c r="F2284" s="88" t="s">
        <v>6731</v>
      </c>
      <c r="G2284" s="88" t="s">
        <v>158</v>
      </c>
      <c r="H2284" s="98" t="s">
        <v>220</v>
      </c>
      <c r="I2284" s="98" t="s">
        <v>722</v>
      </c>
      <c r="J2284" s="75">
        <f t="shared" si="233"/>
        <v>1</v>
      </c>
      <c r="K2284" s="263" t="s">
        <v>211</v>
      </c>
      <c r="L2284" s="99" t="s">
        <v>7803</v>
      </c>
      <c r="N2284" s="78" t="s">
        <v>18</v>
      </c>
      <c r="Q2284" s="78" t="s">
        <v>2447</v>
      </c>
      <c r="R2284" s="75">
        <f t="shared" si="234"/>
        <v>1</v>
      </c>
      <c r="S2284" s="263" t="s">
        <v>1991</v>
      </c>
      <c r="T2284" s="263" t="s">
        <v>932</v>
      </c>
      <c r="Y2284" s="576">
        <v>0.53434027777777782</v>
      </c>
      <c r="Z2284" s="576">
        <v>0.54810185185185178</v>
      </c>
      <c r="AA2284" s="576">
        <f t="shared" si="235"/>
        <v>1.3761574074073968E-2</v>
      </c>
      <c r="AB2284" s="722"/>
    </row>
    <row r="2285" spans="1:28" x14ac:dyDescent="0.35">
      <c r="A2285" s="81" t="s">
        <v>7283</v>
      </c>
      <c r="C2285" s="118">
        <v>43928</v>
      </c>
      <c r="D2285" s="318">
        <v>43998</v>
      </c>
      <c r="E2285" s="83">
        <v>43978</v>
      </c>
      <c r="F2285" s="88" t="s">
        <v>7404</v>
      </c>
      <c r="G2285" s="88" t="s">
        <v>191</v>
      </c>
      <c r="H2285" s="98" t="s">
        <v>220</v>
      </c>
      <c r="I2285" s="98" t="s">
        <v>649</v>
      </c>
      <c r="J2285" s="75">
        <f t="shared" si="233"/>
        <v>1</v>
      </c>
      <c r="K2285" s="263" t="s">
        <v>211</v>
      </c>
      <c r="L2285" s="99" t="s">
        <v>7521</v>
      </c>
      <c r="N2285" s="78" t="s">
        <v>18</v>
      </c>
      <c r="Q2285" s="78" t="s">
        <v>2097</v>
      </c>
      <c r="R2285" s="75">
        <f t="shared" si="234"/>
        <v>1</v>
      </c>
      <c r="S2285" s="263" t="s">
        <v>1991</v>
      </c>
      <c r="T2285" s="263" t="s">
        <v>933</v>
      </c>
      <c r="Y2285" s="576">
        <v>0.68182870370370363</v>
      </c>
      <c r="Z2285" s="576">
        <v>0.68729166666666675</v>
      </c>
      <c r="AA2285" s="576">
        <f t="shared" si="235"/>
        <v>5.4629629629631138E-3</v>
      </c>
      <c r="AB2285" s="722"/>
    </row>
    <row r="2286" spans="1:28" x14ac:dyDescent="0.35">
      <c r="A2286" s="81" t="s">
        <v>6612</v>
      </c>
      <c r="C2286" s="118">
        <v>43928</v>
      </c>
      <c r="D2286" s="318">
        <v>43998</v>
      </c>
      <c r="E2286" s="83">
        <v>43979</v>
      </c>
      <c r="F2286" s="88" t="s">
        <v>6737</v>
      </c>
      <c r="G2286" s="88" t="s">
        <v>158</v>
      </c>
      <c r="H2286" s="98" t="s">
        <v>220</v>
      </c>
      <c r="I2286" s="98" t="s">
        <v>730</v>
      </c>
      <c r="J2286" s="75">
        <f t="shared" si="233"/>
        <v>1</v>
      </c>
      <c r="K2286" s="263" t="s">
        <v>211</v>
      </c>
      <c r="L2286" s="99" t="s">
        <v>7777</v>
      </c>
      <c r="N2286" s="78" t="s">
        <v>17</v>
      </c>
      <c r="Q2286" s="78" t="s">
        <v>2447</v>
      </c>
      <c r="R2286" s="75">
        <f t="shared" si="234"/>
        <v>1</v>
      </c>
      <c r="S2286" s="263" t="s">
        <v>1991</v>
      </c>
      <c r="T2286" s="263" t="s">
        <v>934</v>
      </c>
      <c r="Y2286" s="576">
        <v>0.52329861111111109</v>
      </c>
      <c r="Z2286" s="576">
        <v>0.53381944444444451</v>
      </c>
      <c r="AA2286" s="576">
        <f t="shared" si="235"/>
        <v>1.0520833333333424E-2</v>
      </c>
      <c r="AB2286" s="722"/>
    </row>
    <row r="2287" spans="1:28" x14ac:dyDescent="0.35">
      <c r="A2287" s="81" t="s">
        <v>6617</v>
      </c>
      <c r="C2287" s="118">
        <v>43928</v>
      </c>
      <c r="D2287" s="318">
        <v>43998</v>
      </c>
      <c r="E2287" s="83">
        <v>43979</v>
      </c>
      <c r="F2287" s="88" t="s">
        <v>6742</v>
      </c>
      <c r="G2287" s="88" t="s">
        <v>1692</v>
      </c>
      <c r="H2287" s="98" t="s">
        <v>220</v>
      </c>
      <c r="I2287" s="98" t="s">
        <v>722</v>
      </c>
      <c r="J2287" s="75">
        <f t="shared" si="233"/>
        <v>1</v>
      </c>
      <c r="K2287" s="263" t="s">
        <v>211</v>
      </c>
      <c r="L2287" s="99" t="s">
        <v>7526</v>
      </c>
      <c r="N2287" s="78" t="s">
        <v>17</v>
      </c>
      <c r="Q2287" s="78" t="s">
        <v>2447</v>
      </c>
      <c r="R2287" s="75">
        <f t="shared" si="234"/>
        <v>1</v>
      </c>
      <c r="S2287" s="263" t="s">
        <v>1991</v>
      </c>
      <c r="T2287" s="263" t="s">
        <v>933</v>
      </c>
      <c r="Y2287" s="576">
        <v>0.51469907407407411</v>
      </c>
      <c r="Z2287" s="576">
        <v>0.52274305555555556</v>
      </c>
      <c r="AA2287" s="576">
        <f t="shared" si="235"/>
        <v>8.0439814814814437E-3</v>
      </c>
      <c r="AB2287" s="722"/>
    </row>
    <row r="2288" spans="1:28" x14ac:dyDescent="0.35">
      <c r="A2288" s="81" t="s">
        <v>7285</v>
      </c>
      <c r="C2288" s="118">
        <v>43930</v>
      </c>
      <c r="D2288" s="318">
        <v>43998</v>
      </c>
      <c r="E2288" s="83">
        <v>43978</v>
      </c>
      <c r="F2288" s="88" t="s">
        <v>7406</v>
      </c>
      <c r="G2288" s="88" t="s">
        <v>152</v>
      </c>
      <c r="H2288" s="98" t="s">
        <v>220</v>
      </c>
      <c r="J2288" s="75">
        <f t="shared" ref="J2288:J2314" si="236">IF(OR(K2288="Документы готовы",K2288="Запрос в ФО",K2288="ЭЗ",K2288="РЕШ",K2288="РЕШ шаблон"),0.1,IF(OR(K2288="ЭЗ согласование",K2288="РЕШ согласование"),0.3,IF(OR(K2288="ЭЗ согласовано",K2288="РЕШ согласовано",K2288="РЕШ подписано"),0.6,IF(OR(K2288="ЭЗ ПР согласование",K2288="РЕШ УВ согласование"),0.9,IF(OR(K2288="ЭЗ ПР DONE",K2288="РЕШ УВ DONE"),1,0)))))</f>
        <v>1</v>
      </c>
      <c r="K2288" s="263" t="s">
        <v>211</v>
      </c>
      <c r="L2288" s="99" t="s">
        <v>7789</v>
      </c>
      <c r="N2288" s="78" t="s">
        <v>18</v>
      </c>
      <c r="Q2288" s="78" t="s">
        <v>2163</v>
      </c>
      <c r="R2288" s="75">
        <f t="shared" ref="R2288:R2314" si="237">IF(S2288="В работе",0.3,IF(S2288="Отписано",0.6,IF(S2288="На доработку",0.9,IF(S2288="Согласовано",1,0))))</f>
        <v>1</v>
      </c>
      <c r="S2288" s="263" t="s">
        <v>1991</v>
      </c>
      <c r="T2288" s="263" t="s">
        <v>932</v>
      </c>
      <c r="Y2288" s="576">
        <v>0.52473379629629624</v>
      </c>
      <c r="Z2288" s="576">
        <v>0.53194444444444444</v>
      </c>
      <c r="AA2288" s="576">
        <f t="shared" ref="AA2288:AA2314" si="238">Z2288-Y2288</f>
        <v>7.2106481481482021E-3</v>
      </c>
      <c r="AB2288" s="722"/>
    </row>
    <row r="2289" spans="1:28" x14ac:dyDescent="0.35">
      <c r="A2289" s="81" t="s">
        <v>7286</v>
      </c>
      <c r="C2289" s="118">
        <v>43930</v>
      </c>
      <c r="D2289" s="318">
        <v>43998</v>
      </c>
      <c r="E2289" s="83">
        <v>43979</v>
      </c>
      <c r="F2289" s="88" t="s">
        <v>7407</v>
      </c>
      <c r="G2289" s="88" t="s">
        <v>158</v>
      </c>
      <c r="H2289" s="98" t="s">
        <v>220</v>
      </c>
      <c r="I2289" s="98" t="s">
        <v>3737</v>
      </c>
      <c r="J2289" s="75">
        <f t="shared" si="236"/>
        <v>1</v>
      </c>
      <c r="K2289" s="76" t="s">
        <v>211</v>
      </c>
      <c r="L2289" s="99" t="s">
        <v>7807</v>
      </c>
      <c r="N2289" s="78" t="s">
        <v>17</v>
      </c>
      <c r="Q2289" s="78" t="s">
        <v>2447</v>
      </c>
      <c r="R2289" s="75">
        <f t="shared" si="237"/>
        <v>1</v>
      </c>
      <c r="S2289" s="263" t="s">
        <v>1991</v>
      </c>
      <c r="T2289" s="263" t="s">
        <v>934</v>
      </c>
      <c r="U2289" s="304" t="s">
        <v>5592</v>
      </c>
      <c r="V2289" s="304" t="s">
        <v>7808</v>
      </c>
      <c r="Y2289" s="576">
        <v>0.83229166666666676</v>
      </c>
      <c r="Z2289" s="576">
        <v>0.84629629629629621</v>
      </c>
      <c r="AA2289" s="576">
        <f t="shared" si="238"/>
        <v>1.400462962962945E-2</v>
      </c>
      <c r="AB2289" s="722"/>
    </row>
    <row r="2290" spans="1:28" x14ac:dyDescent="0.35">
      <c r="A2290" s="81" t="s">
        <v>7287</v>
      </c>
      <c r="C2290" s="118">
        <v>43930</v>
      </c>
      <c r="D2290" s="318">
        <v>43998</v>
      </c>
      <c r="E2290" s="83">
        <v>43983</v>
      </c>
      <c r="F2290" s="88" t="s">
        <v>7408</v>
      </c>
      <c r="G2290" s="88" t="s">
        <v>172</v>
      </c>
      <c r="H2290" s="98" t="s">
        <v>220</v>
      </c>
      <c r="I2290" s="98" t="s">
        <v>611</v>
      </c>
      <c r="J2290" s="75">
        <f t="shared" si="236"/>
        <v>1</v>
      </c>
      <c r="K2290" s="76" t="s">
        <v>211</v>
      </c>
      <c r="L2290" s="99" t="s">
        <v>7838</v>
      </c>
      <c r="N2290" s="78" t="s">
        <v>18</v>
      </c>
      <c r="Q2290" s="78" t="s">
        <v>2447</v>
      </c>
      <c r="R2290" s="75">
        <f t="shared" si="237"/>
        <v>1</v>
      </c>
      <c r="S2290" s="263" t="s">
        <v>1991</v>
      </c>
      <c r="T2290" s="263" t="s">
        <v>933</v>
      </c>
      <c r="Y2290" s="576">
        <v>0.82936342592592593</v>
      </c>
      <c r="Z2290" s="576">
        <v>0.84657407407407403</v>
      </c>
      <c r="AA2290" s="576">
        <f t="shared" si="238"/>
        <v>1.72106481481481E-2</v>
      </c>
      <c r="AB2290" s="722" t="s">
        <v>7816</v>
      </c>
    </row>
    <row r="2291" spans="1:28" x14ac:dyDescent="0.35">
      <c r="A2291" s="81" t="s">
        <v>6842</v>
      </c>
      <c r="C2291" s="118">
        <v>43931</v>
      </c>
      <c r="D2291" s="318">
        <v>43998</v>
      </c>
      <c r="E2291" s="83">
        <v>43978</v>
      </c>
      <c r="F2291" s="88" t="s">
        <v>6870</v>
      </c>
      <c r="G2291" s="88" t="s">
        <v>158</v>
      </c>
      <c r="H2291" s="98" t="s">
        <v>220</v>
      </c>
      <c r="I2291" s="98" t="s">
        <v>722</v>
      </c>
      <c r="J2291" s="75">
        <f t="shared" si="236"/>
        <v>1</v>
      </c>
      <c r="K2291" s="263" t="s">
        <v>211</v>
      </c>
      <c r="L2291" s="99" t="s">
        <v>7527</v>
      </c>
      <c r="N2291" s="78" t="s">
        <v>18</v>
      </c>
      <c r="Q2291" s="78" t="s">
        <v>2163</v>
      </c>
      <c r="R2291" s="75">
        <f t="shared" si="237"/>
        <v>1</v>
      </c>
      <c r="S2291" s="263" t="s">
        <v>1991</v>
      </c>
      <c r="T2291" s="263" t="s">
        <v>934</v>
      </c>
      <c r="Y2291" s="576">
        <v>0.51881944444444439</v>
      </c>
      <c r="Z2291" s="576">
        <v>0.52425925925925931</v>
      </c>
      <c r="AA2291" s="576">
        <f t="shared" si="238"/>
        <v>5.439814814814925E-3</v>
      </c>
      <c r="AB2291" s="722"/>
    </row>
    <row r="2292" spans="1:28" x14ac:dyDescent="0.35">
      <c r="A2292" s="81" t="s">
        <v>6844</v>
      </c>
      <c r="C2292" s="118">
        <v>43931</v>
      </c>
      <c r="D2292" s="318">
        <v>43998</v>
      </c>
      <c r="E2292" s="83">
        <v>43978</v>
      </c>
      <c r="F2292" s="88" t="s">
        <v>6872</v>
      </c>
      <c r="G2292" s="88" t="s">
        <v>152</v>
      </c>
      <c r="H2292" s="98" t="s">
        <v>220</v>
      </c>
      <c r="I2292" s="98" t="s">
        <v>722</v>
      </c>
      <c r="J2292" s="75">
        <f t="shared" si="236"/>
        <v>1</v>
      </c>
      <c r="K2292" s="263" t="s">
        <v>211</v>
      </c>
      <c r="L2292" s="99" t="s">
        <v>7788</v>
      </c>
      <c r="N2292" s="78" t="s">
        <v>17</v>
      </c>
      <c r="Q2292" s="78" t="s">
        <v>2163</v>
      </c>
      <c r="R2292" s="75">
        <f t="shared" si="237"/>
        <v>1</v>
      </c>
      <c r="S2292" s="263" t="s">
        <v>1991</v>
      </c>
      <c r="T2292" s="263" t="s">
        <v>932</v>
      </c>
      <c r="Y2292" s="576">
        <v>0.50537037037037036</v>
      </c>
      <c r="Z2292" s="576">
        <v>0.5131944444444444</v>
      </c>
      <c r="AA2292" s="576">
        <f t="shared" si="238"/>
        <v>7.8240740740740389E-3</v>
      </c>
      <c r="AB2292" s="722"/>
    </row>
    <row r="2293" spans="1:28" x14ac:dyDescent="0.35">
      <c r="A2293" s="81" t="s">
        <v>7289</v>
      </c>
      <c r="C2293" s="118">
        <v>43931</v>
      </c>
      <c r="D2293" s="318">
        <v>43998</v>
      </c>
      <c r="E2293" s="83">
        <v>43978</v>
      </c>
      <c r="F2293" s="88" t="s">
        <v>7410</v>
      </c>
      <c r="G2293" s="88" t="s">
        <v>162</v>
      </c>
      <c r="H2293" s="98" t="s">
        <v>220</v>
      </c>
      <c r="I2293" s="98" t="s">
        <v>649</v>
      </c>
      <c r="J2293" s="75">
        <f t="shared" si="236"/>
        <v>1</v>
      </c>
      <c r="K2293" s="263" t="s">
        <v>211</v>
      </c>
      <c r="L2293" s="99" t="s">
        <v>7526</v>
      </c>
      <c r="N2293" s="78" t="s">
        <v>17</v>
      </c>
      <c r="Q2293" s="78" t="s">
        <v>2163</v>
      </c>
      <c r="R2293" s="75">
        <f t="shared" si="237"/>
        <v>1</v>
      </c>
      <c r="S2293" s="263" t="s">
        <v>1991</v>
      </c>
      <c r="T2293" s="263" t="s">
        <v>933</v>
      </c>
      <c r="Y2293" s="576">
        <v>0.50157407407407406</v>
      </c>
      <c r="Z2293" s="576">
        <v>0.50490740740740747</v>
      </c>
      <c r="AA2293" s="576">
        <f t="shared" si="238"/>
        <v>3.3333333333334103E-3</v>
      </c>
      <c r="AB2293" s="722"/>
    </row>
    <row r="2294" spans="1:28" x14ac:dyDescent="0.35">
      <c r="A2294" s="81" t="s">
        <v>6845</v>
      </c>
      <c r="C2294" s="118">
        <v>43931</v>
      </c>
      <c r="D2294" s="118">
        <v>43998</v>
      </c>
      <c r="E2294" s="83">
        <v>43983</v>
      </c>
      <c r="F2294" s="88" t="s">
        <v>6873</v>
      </c>
      <c r="G2294" s="88" t="s">
        <v>158</v>
      </c>
      <c r="H2294" s="98" t="s">
        <v>220</v>
      </c>
      <c r="I2294" s="98" t="s">
        <v>722</v>
      </c>
      <c r="J2294" s="75">
        <f t="shared" si="236"/>
        <v>1</v>
      </c>
      <c r="K2294" s="76" t="s">
        <v>211</v>
      </c>
      <c r="L2294" s="99" t="s">
        <v>7527</v>
      </c>
      <c r="N2294" s="78" t="s">
        <v>18</v>
      </c>
      <c r="Q2294" s="78" t="s">
        <v>2056</v>
      </c>
      <c r="R2294" s="75">
        <f t="shared" si="237"/>
        <v>1</v>
      </c>
      <c r="S2294" s="263" t="s">
        <v>1991</v>
      </c>
      <c r="T2294" s="263" t="s">
        <v>933</v>
      </c>
      <c r="Y2294" s="576">
        <v>0.4826388888888889</v>
      </c>
      <c r="Z2294" s="576">
        <v>0.48807870370370371</v>
      </c>
      <c r="AA2294" s="576">
        <f t="shared" si="238"/>
        <v>5.439814814814814E-3</v>
      </c>
      <c r="AB2294" s="722"/>
    </row>
    <row r="2295" spans="1:28" x14ac:dyDescent="0.35">
      <c r="A2295" s="81" t="s">
        <v>6849</v>
      </c>
      <c r="C2295" s="118">
        <v>43934</v>
      </c>
      <c r="D2295" s="318">
        <v>43998</v>
      </c>
      <c r="E2295" s="83">
        <v>43978</v>
      </c>
      <c r="F2295" s="88" t="s">
        <v>6877</v>
      </c>
      <c r="G2295" s="88" t="s">
        <v>176</v>
      </c>
      <c r="H2295" s="98" t="s">
        <v>220</v>
      </c>
      <c r="I2295" s="98" t="s">
        <v>648</v>
      </c>
      <c r="J2295" s="75">
        <f t="shared" si="236"/>
        <v>1</v>
      </c>
      <c r="K2295" s="263" t="s">
        <v>211</v>
      </c>
      <c r="L2295" s="99" t="s">
        <v>7787</v>
      </c>
      <c r="N2295" s="78" t="s">
        <v>17</v>
      </c>
      <c r="Q2295" s="78" t="s">
        <v>2163</v>
      </c>
      <c r="R2295" s="75">
        <f t="shared" si="237"/>
        <v>1</v>
      </c>
      <c r="S2295" s="263" t="s">
        <v>1991</v>
      </c>
      <c r="T2295" s="263" t="s">
        <v>934</v>
      </c>
      <c r="Y2295" s="576">
        <v>0.48600694444444442</v>
      </c>
      <c r="Z2295" s="576">
        <v>0.50086805555555558</v>
      </c>
      <c r="AA2295" s="576">
        <f t="shared" si="238"/>
        <v>1.4861111111111158E-2</v>
      </c>
      <c r="AB2295" s="722"/>
    </row>
    <row r="2296" spans="1:28" x14ac:dyDescent="0.35">
      <c r="A2296" s="81" t="s">
        <v>6850</v>
      </c>
      <c r="C2296" s="118">
        <v>43934</v>
      </c>
      <c r="D2296" s="318">
        <v>43998</v>
      </c>
      <c r="E2296" s="83">
        <v>43977</v>
      </c>
      <c r="F2296" s="88" t="s">
        <v>6878</v>
      </c>
      <c r="G2296" s="88" t="s">
        <v>152</v>
      </c>
      <c r="H2296" s="98" t="s">
        <v>220</v>
      </c>
      <c r="I2296" s="98" t="s">
        <v>730</v>
      </c>
      <c r="J2296" s="75">
        <f t="shared" si="236"/>
        <v>1</v>
      </c>
      <c r="K2296" s="263" t="s">
        <v>211</v>
      </c>
      <c r="L2296" s="99" t="s">
        <v>7777</v>
      </c>
      <c r="N2296" s="78" t="s">
        <v>18</v>
      </c>
      <c r="Q2296" s="78" t="s">
        <v>2163</v>
      </c>
      <c r="R2296" s="75">
        <f t="shared" si="237"/>
        <v>1</v>
      </c>
      <c r="S2296" s="263" t="s">
        <v>1991</v>
      </c>
      <c r="T2296" s="263" t="s">
        <v>932</v>
      </c>
      <c r="Y2296" s="576">
        <v>0.93947916666666664</v>
      </c>
      <c r="Z2296" s="576">
        <v>0.94673611111111111</v>
      </c>
      <c r="AA2296" s="576">
        <f t="shared" si="238"/>
        <v>7.2569444444444686E-3</v>
      </c>
      <c r="AB2296" s="722"/>
    </row>
    <row r="2297" spans="1:28" x14ac:dyDescent="0.35">
      <c r="A2297" s="81" t="s">
        <v>7293</v>
      </c>
      <c r="C2297" s="118">
        <v>43934</v>
      </c>
      <c r="D2297" s="318">
        <v>43998</v>
      </c>
      <c r="E2297" s="83">
        <v>43977</v>
      </c>
      <c r="F2297" s="88" t="s">
        <v>7414</v>
      </c>
      <c r="G2297" s="88" t="s">
        <v>193</v>
      </c>
      <c r="H2297" s="98" t="s">
        <v>220</v>
      </c>
      <c r="I2297" s="98" t="s">
        <v>649</v>
      </c>
      <c r="J2297" s="75">
        <f t="shared" si="236"/>
        <v>1</v>
      </c>
      <c r="K2297" s="263" t="s">
        <v>211</v>
      </c>
      <c r="L2297" s="99" t="s">
        <v>7521</v>
      </c>
      <c r="N2297" s="78" t="s">
        <v>18</v>
      </c>
      <c r="Q2297" s="78" t="s">
        <v>2447</v>
      </c>
      <c r="R2297" s="75">
        <f t="shared" si="237"/>
        <v>1</v>
      </c>
      <c r="S2297" s="263" t="s">
        <v>1991</v>
      </c>
      <c r="T2297" s="263" t="s">
        <v>933</v>
      </c>
      <c r="Y2297" s="576">
        <v>0.55618055555555557</v>
      </c>
      <c r="Z2297" s="576">
        <v>0.57349537037037035</v>
      </c>
      <c r="AA2297" s="576">
        <f t="shared" si="238"/>
        <v>1.7314814814814783E-2</v>
      </c>
      <c r="AB2297" s="722"/>
    </row>
    <row r="2298" spans="1:28" x14ac:dyDescent="0.35">
      <c r="A2298" s="81" t="s">
        <v>6852</v>
      </c>
      <c r="C2298" s="118">
        <v>43934</v>
      </c>
      <c r="D2298" s="318">
        <v>43998</v>
      </c>
      <c r="E2298" s="83">
        <v>43977</v>
      </c>
      <c r="F2298" s="88" t="s">
        <v>6880</v>
      </c>
      <c r="G2298" s="88" t="s">
        <v>152</v>
      </c>
      <c r="H2298" s="98" t="s">
        <v>220</v>
      </c>
      <c r="I2298" s="98" t="s">
        <v>722</v>
      </c>
      <c r="J2298" s="75">
        <f t="shared" si="236"/>
        <v>1</v>
      </c>
      <c r="K2298" s="263" t="s">
        <v>211</v>
      </c>
      <c r="L2298" s="99" t="s">
        <v>7527</v>
      </c>
      <c r="N2298" s="78" t="s">
        <v>17</v>
      </c>
      <c r="Q2298" s="78" t="s">
        <v>2097</v>
      </c>
      <c r="R2298" s="75">
        <f t="shared" si="237"/>
        <v>1</v>
      </c>
      <c r="S2298" s="263" t="s">
        <v>1991</v>
      </c>
      <c r="T2298" s="263" t="s">
        <v>932</v>
      </c>
      <c r="Y2298" s="576">
        <v>0.858912037037037</v>
      </c>
      <c r="Z2298" s="576">
        <v>0.86600694444444448</v>
      </c>
      <c r="AA2298" s="576">
        <f t="shared" si="238"/>
        <v>7.0949074074074803E-3</v>
      </c>
      <c r="AB2298" s="722"/>
    </row>
    <row r="2299" spans="1:28" x14ac:dyDescent="0.35">
      <c r="A2299" s="81" t="s">
        <v>6854</v>
      </c>
      <c r="C2299" s="118">
        <v>43934</v>
      </c>
      <c r="D2299" s="318">
        <v>43998</v>
      </c>
      <c r="E2299" s="83">
        <v>43978</v>
      </c>
      <c r="F2299" s="88" t="s">
        <v>6882</v>
      </c>
      <c r="G2299" s="88" t="s">
        <v>191</v>
      </c>
      <c r="H2299" s="98" t="s">
        <v>220</v>
      </c>
      <c r="I2299" s="98" t="s">
        <v>652</v>
      </c>
      <c r="J2299" s="75">
        <f t="shared" si="236"/>
        <v>1</v>
      </c>
      <c r="K2299" s="263" t="s">
        <v>211</v>
      </c>
      <c r="L2299" s="99" t="s">
        <v>7814</v>
      </c>
      <c r="N2299" s="78" t="s">
        <v>17</v>
      </c>
      <c r="Q2299" s="78" t="s">
        <v>2163</v>
      </c>
      <c r="R2299" s="75">
        <f t="shared" si="237"/>
        <v>1</v>
      </c>
      <c r="S2299" s="263" t="s">
        <v>1991</v>
      </c>
      <c r="T2299" s="263" t="s">
        <v>933</v>
      </c>
      <c r="U2299" s="304" t="s">
        <v>5592</v>
      </c>
      <c r="V2299" s="304" t="s">
        <v>7785</v>
      </c>
      <c r="Y2299" s="576">
        <v>0.41628472222222218</v>
      </c>
      <c r="Z2299" s="576">
        <v>0.47062500000000002</v>
      </c>
      <c r="AA2299" s="576">
        <f t="shared" si="238"/>
        <v>5.4340277777777835E-2</v>
      </c>
      <c r="AB2299" s="722"/>
    </row>
    <row r="2300" spans="1:28" x14ac:dyDescent="0.35">
      <c r="A2300" s="81" t="s">
        <v>7295</v>
      </c>
      <c r="C2300" s="118">
        <v>43935</v>
      </c>
      <c r="D2300" s="318">
        <v>43998</v>
      </c>
      <c r="E2300" s="83">
        <v>43977</v>
      </c>
      <c r="F2300" s="88" t="s">
        <v>7416</v>
      </c>
      <c r="G2300" s="88" t="s">
        <v>158</v>
      </c>
      <c r="H2300" s="98" t="s">
        <v>220</v>
      </c>
      <c r="I2300" s="98" t="s">
        <v>763</v>
      </c>
      <c r="J2300" s="75">
        <f t="shared" si="236"/>
        <v>1</v>
      </c>
      <c r="K2300" s="263" t="s">
        <v>211</v>
      </c>
      <c r="L2300" s="99" t="s">
        <v>7770</v>
      </c>
      <c r="N2300" s="78" t="s">
        <v>17</v>
      </c>
      <c r="Q2300" s="78" t="s">
        <v>2447</v>
      </c>
      <c r="R2300" s="75">
        <f t="shared" si="237"/>
        <v>1</v>
      </c>
      <c r="S2300" s="263" t="s">
        <v>1991</v>
      </c>
      <c r="T2300" s="263" t="s">
        <v>933</v>
      </c>
      <c r="Y2300" s="576">
        <v>0.54758101851851848</v>
      </c>
      <c r="Z2300" s="576">
        <v>0.55589120370370371</v>
      </c>
      <c r="AA2300" s="576">
        <f t="shared" si="238"/>
        <v>8.310185185185226E-3</v>
      </c>
      <c r="AB2300" s="722"/>
    </row>
    <row r="2301" spans="1:28" x14ac:dyDescent="0.35">
      <c r="A2301" s="81" t="s">
        <v>7297</v>
      </c>
      <c r="C2301" s="118">
        <v>43935</v>
      </c>
      <c r="D2301" s="318">
        <v>43998</v>
      </c>
      <c r="E2301" s="83">
        <v>43983</v>
      </c>
      <c r="F2301" s="88" t="s">
        <v>7418</v>
      </c>
      <c r="G2301" s="88" t="s">
        <v>149</v>
      </c>
      <c r="H2301" s="98" t="s">
        <v>220</v>
      </c>
      <c r="I2301" s="98" t="s">
        <v>722</v>
      </c>
      <c r="J2301" s="75">
        <f t="shared" si="236"/>
        <v>1</v>
      </c>
      <c r="K2301" s="76" t="s">
        <v>211</v>
      </c>
      <c r="L2301" s="99" t="s">
        <v>7804</v>
      </c>
      <c r="N2301" s="78" t="s">
        <v>17</v>
      </c>
      <c r="Q2301" s="78" t="s">
        <v>2447</v>
      </c>
      <c r="R2301" s="75">
        <f t="shared" si="237"/>
        <v>1</v>
      </c>
      <c r="S2301" s="263" t="s">
        <v>1991</v>
      </c>
      <c r="T2301" s="263" t="s">
        <v>933</v>
      </c>
      <c r="U2301" s="304" t="s">
        <v>5592</v>
      </c>
      <c r="V2301" s="304" t="s">
        <v>7837</v>
      </c>
      <c r="Y2301" s="576">
        <v>0.81578703703703714</v>
      </c>
      <c r="Z2301" s="576">
        <v>0.82844907407407409</v>
      </c>
      <c r="AA2301" s="576">
        <f t="shared" si="238"/>
        <v>1.2662037037036944E-2</v>
      </c>
      <c r="AB2301" s="722"/>
    </row>
    <row r="2302" spans="1:28" x14ac:dyDescent="0.35">
      <c r="A2302" s="81" t="s">
        <v>6904</v>
      </c>
      <c r="C2302" s="118">
        <v>43935</v>
      </c>
      <c r="D2302" s="318">
        <v>43998</v>
      </c>
      <c r="E2302" s="83">
        <v>43978</v>
      </c>
      <c r="F2302" s="88" t="s">
        <v>6933</v>
      </c>
      <c r="G2302" s="88" t="s">
        <v>154</v>
      </c>
      <c r="H2302" s="98" t="s">
        <v>220</v>
      </c>
      <c r="I2302" s="98" t="s">
        <v>648</v>
      </c>
      <c r="J2302" s="75">
        <f t="shared" si="236"/>
        <v>1</v>
      </c>
      <c r="K2302" s="76" t="s">
        <v>211</v>
      </c>
      <c r="L2302" s="99" t="s">
        <v>8026</v>
      </c>
      <c r="N2302" s="78" t="s">
        <v>17</v>
      </c>
      <c r="Q2302" s="78" t="s">
        <v>2056</v>
      </c>
      <c r="R2302" s="75">
        <f t="shared" si="237"/>
        <v>1</v>
      </c>
      <c r="S2302" s="263" t="s">
        <v>1991</v>
      </c>
      <c r="T2302" s="263" t="s">
        <v>932</v>
      </c>
      <c r="U2302" s="304" t="s">
        <v>5592</v>
      </c>
      <c r="V2302" s="304" t="s">
        <v>7792</v>
      </c>
      <c r="X2302" s="304" t="s">
        <v>7839</v>
      </c>
      <c r="Y2302" s="576">
        <v>0.6293171296296296</v>
      </c>
      <c r="Z2302" s="576">
        <v>0.64452546296296298</v>
      </c>
      <c r="AA2302" s="576">
        <f t="shared" si="238"/>
        <v>1.5208333333333379E-2</v>
      </c>
      <c r="AB2302" s="722"/>
    </row>
    <row r="2303" spans="1:28" x14ac:dyDescent="0.35">
      <c r="A2303" s="81" t="s">
        <v>7298</v>
      </c>
      <c r="C2303" s="118">
        <v>43935</v>
      </c>
      <c r="D2303" s="318">
        <v>43998</v>
      </c>
      <c r="E2303" s="83">
        <v>43983</v>
      </c>
      <c r="F2303" s="88" t="s">
        <v>7419</v>
      </c>
      <c r="G2303" s="88" t="s">
        <v>162</v>
      </c>
      <c r="H2303" s="98" t="s">
        <v>220</v>
      </c>
      <c r="I2303" s="98" t="s">
        <v>722</v>
      </c>
      <c r="J2303" s="75">
        <f t="shared" si="236"/>
        <v>1</v>
      </c>
      <c r="K2303" s="76" t="s">
        <v>211</v>
      </c>
      <c r="L2303" s="99" t="s">
        <v>7513</v>
      </c>
      <c r="N2303" s="78" t="s">
        <v>18</v>
      </c>
      <c r="Q2303" s="78" t="s">
        <v>2447</v>
      </c>
      <c r="R2303" s="75">
        <f t="shared" si="237"/>
        <v>1</v>
      </c>
      <c r="S2303" s="263" t="s">
        <v>1991</v>
      </c>
      <c r="T2303" s="263" t="s">
        <v>933</v>
      </c>
      <c r="Y2303" s="576">
        <v>0.80989583333333337</v>
      </c>
      <c r="Z2303" s="576">
        <v>0.81556712962962974</v>
      </c>
      <c r="AA2303" s="576">
        <f t="shared" si="238"/>
        <v>5.6712962962963687E-3</v>
      </c>
      <c r="AB2303" s="722" t="s">
        <v>7816</v>
      </c>
    </row>
    <row r="2304" spans="1:28" x14ac:dyDescent="0.35">
      <c r="A2304" s="81" t="s">
        <v>7299</v>
      </c>
      <c r="C2304" s="118">
        <v>43935</v>
      </c>
      <c r="D2304" s="318">
        <v>43998</v>
      </c>
      <c r="E2304" s="83">
        <v>43983</v>
      </c>
      <c r="F2304" s="88" t="s">
        <v>7420</v>
      </c>
      <c r="G2304" s="88" t="s">
        <v>158</v>
      </c>
      <c r="H2304" s="98" t="s">
        <v>220</v>
      </c>
      <c r="I2304" s="98" t="s">
        <v>730</v>
      </c>
      <c r="J2304" s="75">
        <f t="shared" si="236"/>
        <v>1</v>
      </c>
      <c r="K2304" s="76" t="s">
        <v>211</v>
      </c>
      <c r="L2304" s="99" t="s">
        <v>7836</v>
      </c>
      <c r="N2304" s="78" t="s">
        <v>18</v>
      </c>
      <c r="Q2304" s="78" t="s">
        <v>2447</v>
      </c>
      <c r="R2304" s="75">
        <f t="shared" si="237"/>
        <v>1</v>
      </c>
      <c r="S2304" s="263" t="s">
        <v>1991</v>
      </c>
      <c r="T2304" s="263" t="s">
        <v>934</v>
      </c>
      <c r="Y2304" s="576">
        <v>0.80152777777777784</v>
      </c>
      <c r="Z2304" s="576">
        <v>0.80960648148148151</v>
      </c>
      <c r="AA2304" s="576">
        <f t="shared" si="238"/>
        <v>8.0787037037036713E-3</v>
      </c>
      <c r="AB2304" s="722" t="s">
        <v>7816</v>
      </c>
    </row>
    <row r="2305" spans="1:28" x14ac:dyDescent="0.35">
      <c r="A2305" s="81" t="s">
        <v>7300</v>
      </c>
      <c r="C2305" s="118">
        <v>43938</v>
      </c>
      <c r="D2305" s="318">
        <v>43998</v>
      </c>
      <c r="E2305" s="83">
        <v>43983</v>
      </c>
      <c r="F2305" s="88" t="s">
        <v>7421</v>
      </c>
      <c r="G2305" s="88" t="s">
        <v>1393</v>
      </c>
      <c r="H2305" s="98" t="s">
        <v>220</v>
      </c>
      <c r="I2305" s="98" t="s">
        <v>1004</v>
      </c>
      <c r="J2305" s="75">
        <f t="shared" si="236"/>
        <v>1</v>
      </c>
      <c r="K2305" s="76" t="s">
        <v>211</v>
      </c>
      <c r="L2305" s="99" t="s">
        <v>7772</v>
      </c>
      <c r="N2305" s="78" t="s">
        <v>19</v>
      </c>
      <c r="Q2305" s="78" t="s">
        <v>2447</v>
      </c>
      <c r="R2305" s="75">
        <f t="shared" si="237"/>
        <v>1</v>
      </c>
      <c r="S2305" s="263" t="s">
        <v>1991</v>
      </c>
      <c r="T2305" s="263" t="s">
        <v>932</v>
      </c>
      <c r="Y2305" s="576">
        <v>0.79138888888888881</v>
      </c>
      <c r="Z2305" s="576">
        <v>0.80111111111111111</v>
      </c>
      <c r="AA2305" s="576">
        <f t="shared" si="238"/>
        <v>9.7222222222222987E-3</v>
      </c>
      <c r="AB2305" s="722" t="s">
        <v>7816</v>
      </c>
    </row>
    <row r="2306" spans="1:28" x14ac:dyDescent="0.35">
      <c r="A2306" s="81" t="s">
        <v>6907</v>
      </c>
      <c r="C2306" s="118">
        <v>43938</v>
      </c>
      <c r="D2306" s="318">
        <v>43998</v>
      </c>
      <c r="E2306" s="83">
        <v>43978</v>
      </c>
      <c r="F2306" s="88" t="s">
        <v>6936</v>
      </c>
      <c r="G2306" s="88" t="s">
        <v>186</v>
      </c>
      <c r="H2306" s="98" t="s">
        <v>220</v>
      </c>
      <c r="I2306" s="98" t="s">
        <v>722</v>
      </c>
      <c r="J2306" s="75">
        <f t="shared" si="236"/>
        <v>1</v>
      </c>
      <c r="K2306" s="263" t="s">
        <v>211</v>
      </c>
      <c r="L2306" s="99" t="s">
        <v>7790</v>
      </c>
      <c r="N2306" s="78" t="s">
        <v>17</v>
      </c>
      <c r="Q2306" s="78" t="s">
        <v>2163</v>
      </c>
      <c r="R2306" s="75">
        <f t="shared" si="237"/>
        <v>1</v>
      </c>
      <c r="S2306" s="263" t="s">
        <v>1991</v>
      </c>
      <c r="T2306" s="263" t="s">
        <v>933</v>
      </c>
      <c r="Y2306" s="576">
        <v>0.53236111111111117</v>
      </c>
      <c r="Z2306" s="576">
        <v>0.54160879629629632</v>
      </c>
      <c r="AA2306" s="576">
        <f t="shared" si="238"/>
        <v>9.2476851851851505E-3</v>
      </c>
      <c r="AB2306" s="722"/>
    </row>
    <row r="2307" spans="1:28" x14ac:dyDescent="0.35">
      <c r="A2307" s="81" t="s">
        <v>7302</v>
      </c>
      <c r="C2307" s="118">
        <v>43938</v>
      </c>
      <c r="D2307" s="318">
        <v>43998</v>
      </c>
      <c r="E2307" s="83">
        <v>43983</v>
      </c>
      <c r="F2307" s="88" t="s">
        <v>7423</v>
      </c>
      <c r="G2307" s="88" t="s">
        <v>162</v>
      </c>
      <c r="H2307" s="98" t="s">
        <v>220</v>
      </c>
      <c r="I2307" s="98" t="s">
        <v>649</v>
      </c>
      <c r="J2307" s="75">
        <f t="shared" si="236"/>
        <v>1</v>
      </c>
      <c r="K2307" s="76" t="s">
        <v>211</v>
      </c>
      <c r="L2307" s="99" t="s">
        <v>7835</v>
      </c>
      <c r="N2307" s="78" t="s">
        <v>17</v>
      </c>
      <c r="Q2307" s="78" t="s">
        <v>2447</v>
      </c>
      <c r="R2307" s="75">
        <f t="shared" si="237"/>
        <v>1</v>
      </c>
      <c r="S2307" s="263" t="s">
        <v>1991</v>
      </c>
      <c r="T2307" s="263" t="s">
        <v>933</v>
      </c>
      <c r="Y2307" s="576">
        <v>0.78391203703703705</v>
      </c>
      <c r="Z2307" s="576">
        <v>0.79120370370370363</v>
      </c>
      <c r="AA2307" s="576">
        <f t="shared" si="238"/>
        <v>7.2916666666665853E-3</v>
      </c>
      <c r="AB2307" s="722"/>
    </row>
    <row r="2308" spans="1:28" x14ac:dyDescent="0.35">
      <c r="A2308" s="81" t="s">
        <v>7303</v>
      </c>
      <c r="C2308" s="118">
        <v>43938</v>
      </c>
      <c r="D2308" s="318">
        <v>43998</v>
      </c>
      <c r="E2308" s="83">
        <v>43983</v>
      </c>
      <c r="F2308" s="88" t="s">
        <v>7424</v>
      </c>
      <c r="G2308" s="88" t="s">
        <v>160</v>
      </c>
      <c r="H2308" s="98" t="s">
        <v>220</v>
      </c>
      <c r="I2308" s="98" t="s">
        <v>722</v>
      </c>
      <c r="J2308" s="75">
        <f t="shared" si="236"/>
        <v>1</v>
      </c>
      <c r="K2308" s="76" t="s">
        <v>211</v>
      </c>
      <c r="L2308" s="99" t="s">
        <v>7834</v>
      </c>
      <c r="N2308" s="78" t="s">
        <v>18</v>
      </c>
      <c r="Q2308" s="78" t="s">
        <v>2447</v>
      </c>
      <c r="R2308" s="75">
        <f t="shared" si="237"/>
        <v>1</v>
      </c>
      <c r="S2308" s="263" t="s">
        <v>1991</v>
      </c>
      <c r="T2308" s="263" t="s">
        <v>934</v>
      </c>
      <c r="Y2308" s="576">
        <v>0.77488425925925919</v>
      </c>
      <c r="Z2308" s="576">
        <v>0.78371527777777772</v>
      </c>
      <c r="AA2308" s="576">
        <f t="shared" si="238"/>
        <v>8.8310185185185297E-3</v>
      </c>
      <c r="AB2308" s="722"/>
    </row>
    <row r="2309" spans="1:28" x14ac:dyDescent="0.35">
      <c r="A2309" s="81" t="s">
        <v>6910</v>
      </c>
      <c r="C2309" s="118">
        <v>43938</v>
      </c>
      <c r="D2309" s="318">
        <v>43998</v>
      </c>
      <c r="E2309" s="83">
        <v>43978</v>
      </c>
      <c r="F2309" s="88" t="s">
        <v>6939</v>
      </c>
      <c r="G2309" s="88" t="s">
        <v>154</v>
      </c>
      <c r="H2309" s="98" t="s">
        <v>220</v>
      </c>
      <c r="I2309" s="98" t="s">
        <v>730</v>
      </c>
      <c r="J2309" s="75">
        <f t="shared" si="236"/>
        <v>1</v>
      </c>
      <c r="K2309" s="263" t="s">
        <v>211</v>
      </c>
      <c r="L2309" s="99" t="s">
        <v>7795</v>
      </c>
      <c r="N2309" s="78" t="s">
        <v>17</v>
      </c>
      <c r="Q2309" s="78" t="s">
        <v>2163</v>
      </c>
      <c r="R2309" s="75">
        <f t="shared" si="237"/>
        <v>1</v>
      </c>
      <c r="S2309" s="263" t="s">
        <v>1991</v>
      </c>
      <c r="T2309" s="263" t="s">
        <v>934</v>
      </c>
      <c r="Y2309" s="576">
        <v>0.86302083333333324</v>
      </c>
      <c r="Z2309" s="576">
        <v>0.87195601851851856</v>
      </c>
      <c r="AA2309" s="576">
        <f t="shared" si="238"/>
        <v>8.9351851851853237E-3</v>
      </c>
      <c r="AB2309" s="722"/>
    </row>
    <row r="2310" spans="1:28" x14ac:dyDescent="0.35">
      <c r="A2310" s="81" t="s">
        <v>6911</v>
      </c>
      <c r="C2310" s="118">
        <v>43938</v>
      </c>
      <c r="D2310" s="318">
        <v>43998</v>
      </c>
      <c r="E2310" s="83">
        <v>43983</v>
      </c>
      <c r="F2310" s="88" t="s">
        <v>6940</v>
      </c>
      <c r="G2310" s="88" t="s">
        <v>154</v>
      </c>
      <c r="H2310" s="98" t="s">
        <v>220</v>
      </c>
      <c r="I2310" s="98" t="s">
        <v>722</v>
      </c>
      <c r="J2310" s="75">
        <f t="shared" si="236"/>
        <v>1</v>
      </c>
      <c r="K2310" s="76" t="s">
        <v>211</v>
      </c>
      <c r="L2310" s="99" t="s">
        <v>7833</v>
      </c>
      <c r="N2310" s="78" t="s">
        <v>17</v>
      </c>
      <c r="Q2310" s="78" t="s">
        <v>2447</v>
      </c>
      <c r="R2310" s="75">
        <f t="shared" si="237"/>
        <v>1</v>
      </c>
      <c r="S2310" s="263" t="s">
        <v>1991</v>
      </c>
      <c r="T2310" s="263" t="s">
        <v>934</v>
      </c>
      <c r="Y2310" s="576">
        <v>0.74206018518518524</v>
      </c>
      <c r="Z2310" s="576">
        <v>0.76520833333333327</v>
      </c>
      <c r="AA2310" s="576">
        <f t="shared" si="238"/>
        <v>2.3148148148148029E-2</v>
      </c>
      <c r="AB2310" s="722" t="s">
        <v>7817</v>
      </c>
    </row>
    <row r="2311" spans="1:28" x14ac:dyDescent="0.35">
      <c r="A2311" s="81" t="s">
        <v>6912</v>
      </c>
      <c r="C2311" s="118">
        <v>43938</v>
      </c>
      <c r="D2311" s="318">
        <v>43998</v>
      </c>
      <c r="E2311" s="83">
        <v>43980</v>
      </c>
      <c r="F2311" s="88" t="s">
        <v>6941</v>
      </c>
      <c r="G2311" s="88" t="s">
        <v>160</v>
      </c>
      <c r="H2311" s="98" t="s">
        <v>220</v>
      </c>
      <c r="I2311" s="98" t="s">
        <v>722</v>
      </c>
      <c r="J2311" s="75">
        <f t="shared" si="236"/>
        <v>1</v>
      </c>
      <c r="K2311" s="263" t="s">
        <v>211</v>
      </c>
      <c r="L2311" s="99" t="s">
        <v>7527</v>
      </c>
      <c r="N2311" s="78" t="s">
        <v>18</v>
      </c>
      <c r="Q2311" s="78" t="s">
        <v>2163</v>
      </c>
      <c r="R2311" s="75">
        <f t="shared" si="237"/>
        <v>1</v>
      </c>
      <c r="S2311" s="263" t="s">
        <v>1991</v>
      </c>
      <c r="T2311" s="263" t="s">
        <v>932</v>
      </c>
      <c r="Y2311" s="576">
        <v>0.47255787037037034</v>
      </c>
      <c r="Z2311" s="576">
        <v>0.47810185185185183</v>
      </c>
      <c r="AA2311" s="576">
        <f t="shared" si="238"/>
        <v>5.5439814814814969E-3</v>
      </c>
      <c r="AB2311" s="722"/>
    </row>
    <row r="2312" spans="1:28" x14ac:dyDescent="0.35">
      <c r="A2312" s="81" t="s">
        <v>6913</v>
      </c>
      <c r="C2312" s="118">
        <v>43938</v>
      </c>
      <c r="D2312" s="318">
        <v>43998</v>
      </c>
      <c r="E2312" s="83">
        <v>43978</v>
      </c>
      <c r="F2312" s="88" t="s">
        <v>6942</v>
      </c>
      <c r="G2312" s="88" t="s">
        <v>176</v>
      </c>
      <c r="H2312" s="98" t="s">
        <v>220</v>
      </c>
      <c r="I2312" s="98" t="s">
        <v>722</v>
      </c>
      <c r="J2312" s="75">
        <f t="shared" si="236"/>
        <v>1</v>
      </c>
      <c r="K2312" s="263" t="s">
        <v>211</v>
      </c>
      <c r="L2312" s="99" t="s">
        <v>7527</v>
      </c>
      <c r="N2312" s="78" t="s">
        <v>17</v>
      </c>
      <c r="Q2312" s="78" t="s">
        <v>2163</v>
      </c>
      <c r="R2312" s="75">
        <f t="shared" si="237"/>
        <v>1</v>
      </c>
      <c r="S2312" s="263" t="s">
        <v>1991</v>
      </c>
      <c r="T2312" s="263" t="s">
        <v>933</v>
      </c>
      <c r="Y2312" s="576">
        <v>0.85177083333333325</v>
      </c>
      <c r="Z2312" s="576">
        <v>0.85702546296296289</v>
      </c>
      <c r="AA2312" s="576">
        <f t="shared" si="238"/>
        <v>5.2546296296296369E-3</v>
      </c>
      <c r="AB2312" s="722"/>
    </row>
    <row r="2313" spans="1:28" x14ac:dyDescent="0.35">
      <c r="A2313" s="81" t="s">
        <v>6914</v>
      </c>
      <c r="C2313" s="118">
        <v>43938</v>
      </c>
      <c r="D2313" s="318">
        <v>43998</v>
      </c>
      <c r="E2313" s="83">
        <v>43983</v>
      </c>
      <c r="F2313" s="88" t="s">
        <v>6943</v>
      </c>
      <c r="G2313" s="88" t="s">
        <v>186</v>
      </c>
      <c r="H2313" s="98" t="s">
        <v>220</v>
      </c>
      <c r="I2313" s="98" t="s">
        <v>722</v>
      </c>
      <c r="J2313" s="75">
        <f t="shared" si="236"/>
        <v>1</v>
      </c>
      <c r="K2313" s="76" t="s">
        <v>211</v>
      </c>
      <c r="L2313" s="99" t="s">
        <v>7526</v>
      </c>
      <c r="N2313" s="78" t="s">
        <v>17</v>
      </c>
      <c r="Q2313" s="78" t="s">
        <v>2447</v>
      </c>
      <c r="R2313" s="75">
        <f t="shared" si="237"/>
        <v>1</v>
      </c>
      <c r="S2313" s="263" t="s">
        <v>1991</v>
      </c>
      <c r="T2313" s="263" t="s">
        <v>933</v>
      </c>
      <c r="Y2313" s="576">
        <v>0.73285879629629624</v>
      </c>
      <c r="Z2313" s="576">
        <v>0.74134259259259261</v>
      </c>
      <c r="AA2313" s="576">
        <f t="shared" si="238"/>
        <v>8.4837962962963642E-3</v>
      </c>
      <c r="AB2313" s="722"/>
    </row>
    <row r="2314" spans="1:28" x14ac:dyDescent="0.35">
      <c r="A2314" s="81" t="s">
        <v>7304</v>
      </c>
      <c r="C2314" s="118">
        <v>43938</v>
      </c>
      <c r="D2314" s="318">
        <v>43998</v>
      </c>
      <c r="E2314" s="83">
        <v>43983</v>
      </c>
      <c r="F2314" s="88" t="s">
        <v>7425</v>
      </c>
      <c r="G2314" s="88" t="s">
        <v>6928</v>
      </c>
      <c r="H2314" s="98" t="s">
        <v>220</v>
      </c>
      <c r="I2314" s="98" t="s">
        <v>649</v>
      </c>
      <c r="J2314" s="75">
        <f t="shared" si="236"/>
        <v>1</v>
      </c>
      <c r="K2314" s="76" t="s">
        <v>211</v>
      </c>
      <c r="L2314" s="99" t="s">
        <v>7565</v>
      </c>
      <c r="N2314" s="78" t="s">
        <v>18</v>
      </c>
      <c r="Q2314" s="78" t="s">
        <v>2447</v>
      </c>
      <c r="R2314" s="75">
        <f t="shared" si="237"/>
        <v>1</v>
      </c>
      <c r="S2314" s="263" t="s">
        <v>1991</v>
      </c>
      <c r="T2314" s="263" t="s">
        <v>932</v>
      </c>
      <c r="Y2314" s="576">
        <v>0.76594907407407409</v>
      </c>
      <c r="Z2314" s="576">
        <v>0.77457175925925925</v>
      </c>
      <c r="AA2314" s="576">
        <f t="shared" si="238"/>
        <v>8.6226851851851638E-3</v>
      </c>
      <c r="AB2314" s="722"/>
    </row>
    <row r="2315" spans="1:28" x14ac:dyDescent="0.35">
      <c r="A2315" s="81" t="s">
        <v>7307</v>
      </c>
      <c r="C2315" s="118">
        <v>43938</v>
      </c>
      <c r="D2315" s="318">
        <v>43998</v>
      </c>
      <c r="E2315" s="83">
        <v>43977</v>
      </c>
      <c r="F2315" s="88" t="s">
        <v>7428</v>
      </c>
      <c r="G2315" s="88" t="s">
        <v>162</v>
      </c>
      <c r="H2315" s="98" t="s">
        <v>220</v>
      </c>
      <c r="I2315" s="98" t="s">
        <v>722</v>
      </c>
      <c r="J2315" s="75">
        <f t="shared" ref="J2315:J2342" si="239">IF(OR(K2315="Документы готовы",K2315="Запрос в ФО",K2315="ЭЗ",K2315="РЕШ",K2315="РЕШ шаблон"),0.1,IF(OR(K2315="ЭЗ согласование",K2315="РЕШ согласование"),0.3,IF(OR(K2315="ЭЗ согласовано",K2315="РЕШ согласовано",K2315="РЕШ подписано"),0.6,IF(OR(K2315="ЭЗ ПР согласование",K2315="РЕШ УВ согласование"),0.9,IF(OR(K2315="ЭЗ ПР DONE",K2315="РЕШ УВ DONE"),1,0)))))</f>
        <v>1</v>
      </c>
      <c r="K2315" s="263" t="s">
        <v>211</v>
      </c>
      <c r="L2315" s="99" t="s">
        <v>7526</v>
      </c>
      <c r="N2315" s="78" t="s">
        <v>18</v>
      </c>
      <c r="Q2315" s="78" t="s">
        <v>2447</v>
      </c>
      <c r="R2315" s="75">
        <f t="shared" ref="R2315:R2342" si="240">IF(S2315="В работе",0.3,IF(S2315="Отписано",0.6,IF(S2315="На доработку",0.9,IF(S2315="Согласовано",1,0))))</f>
        <v>1</v>
      </c>
      <c r="S2315" s="263" t="s">
        <v>1991</v>
      </c>
      <c r="T2315" s="263" t="s">
        <v>933</v>
      </c>
      <c r="Y2315" s="576">
        <v>0.68525462962962969</v>
      </c>
      <c r="Z2315" s="576">
        <v>0.69391203703703708</v>
      </c>
      <c r="AA2315" s="576">
        <f t="shared" ref="AA2315:AA2342" si="241">Z2315-Y2315</f>
        <v>8.6574074074073915E-3</v>
      </c>
      <c r="AB2315" s="722"/>
    </row>
    <row r="2316" spans="1:28" x14ac:dyDescent="0.35">
      <c r="A2316" s="81" t="s">
        <v>6920</v>
      </c>
      <c r="C2316" s="118">
        <v>43938</v>
      </c>
      <c r="D2316" s="318">
        <v>43998</v>
      </c>
      <c r="E2316" s="83">
        <v>43977</v>
      </c>
      <c r="F2316" s="88" t="s">
        <v>6949</v>
      </c>
      <c r="G2316" s="88" t="s">
        <v>186</v>
      </c>
      <c r="H2316" s="98" t="s">
        <v>220</v>
      </c>
      <c r="I2316" s="98" t="s">
        <v>730</v>
      </c>
      <c r="J2316" s="75">
        <f t="shared" si="239"/>
        <v>1</v>
      </c>
      <c r="K2316" s="263" t="s">
        <v>211</v>
      </c>
      <c r="L2316" s="99" t="s">
        <v>7777</v>
      </c>
      <c r="N2316" s="78" t="s">
        <v>17</v>
      </c>
      <c r="Q2316" s="78" t="s">
        <v>2097</v>
      </c>
      <c r="R2316" s="75">
        <f t="shared" si="240"/>
        <v>1</v>
      </c>
      <c r="S2316" s="263" t="s">
        <v>1991</v>
      </c>
      <c r="T2316" s="263" t="s">
        <v>934</v>
      </c>
      <c r="Y2316" s="576">
        <v>0.7915740740740741</v>
      </c>
      <c r="Z2316" s="576">
        <v>0.80494212962962963</v>
      </c>
      <c r="AA2316" s="576">
        <f t="shared" si="241"/>
        <v>1.3368055555555536E-2</v>
      </c>
      <c r="AB2316" s="722"/>
    </row>
    <row r="2317" spans="1:28" x14ac:dyDescent="0.35">
      <c r="A2317" s="81" t="s">
        <v>6925</v>
      </c>
      <c r="C2317" s="118">
        <v>43942</v>
      </c>
      <c r="D2317" s="318">
        <v>43998</v>
      </c>
      <c r="E2317" s="83">
        <v>43978</v>
      </c>
      <c r="F2317" s="88" t="s">
        <v>6954</v>
      </c>
      <c r="G2317" s="88" t="s">
        <v>741</v>
      </c>
      <c r="H2317" s="98" t="s">
        <v>220</v>
      </c>
      <c r="I2317" s="98" t="s">
        <v>649</v>
      </c>
      <c r="J2317" s="75">
        <f t="shared" si="239"/>
        <v>1</v>
      </c>
      <c r="K2317" s="263" t="s">
        <v>211</v>
      </c>
      <c r="L2317" s="99" t="s">
        <v>7524</v>
      </c>
      <c r="N2317" s="78" t="s">
        <v>18</v>
      </c>
      <c r="Q2317" s="78" t="s">
        <v>2056</v>
      </c>
      <c r="R2317" s="75">
        <f t="shared" si="240"/>
        <v>1</v>
      </c>
      <c r="S2317" s="263" t="s">
        <v>1991</v>
      </c>
      <c r="T2317" s="263" t="s">
        <v>934</v>
      </c>
      <c r="Y2317" s="576">
        <v>0.61758101851851854</v>
      </c>
      <c r="Z2317" s="576">
        <v>0.62403935185185189</v>
      </c>
      <c r="AA2317" s="576">
        <f t="shared" si="241"/>
        <v>6.4583333333333437E-3</v>
      </c>
      <c r="AB2317" s="722"/>
    </row>
    <row r="2318" spans="1:28" x14ac:dyDescent="0.35">
      <c r="A2318" s="81" t="s">
        <v>6964</v>
      </c>
      <c r="C2318" s="118">
        <v>43944</v>
      </c>
      <c r="D2318" s="318">
        <v>43998</v>
      </c>
      <c r="E2318" s="83">
        <v>43978</v>
      </c>
      <c r="F2318" s="88" t="s">
        <v>6983</v>
      </c>
      <c r="G2318" s="88" t="s">
        <v>152</v>
      </c>
      <c r="H2318" s="98" t="s">
        <v>220</v>
      </c>
      <c r="I2318" s="98" t="s">
        <v>722</v>
      </c>
      <c r="J2318" s="75">
        <f t="shared" si="239"/>
        <v>1</v>
      </c>
      <c r="K2318" s="263" t="s">
        <v>211</v>
      </c>
      <c r="L2318" s="99" t="s">
        <v>7527</v>
      </c>
      <c r="N2318" s="78" t="s">
        <v>18</v>
      </c>
      <c r="Q2318" s="78" t="s">
        <v>2056</v>
      </c>
      <c r="R2318" s="75">
        <f t="shared" si="240"/>
        <v>1</v>
      </c>
      <c r="S2318" s="263" t="s">
        <v>1991</v>
      </c>
      <c r="T2318" s="263" t="s">
        <v>933</v>
      </c>
      <c r="Y2318" s="576">
        <v>0.62454861111111104</v>
      </c>
      <c r="Z2318" s="576">
        <v>0.63091435185185185</v>
      </c>
      <c r="AA2318" s="576">
        <f t="shared" si="241"/>
        <v>6.3657407407408106E-3</v>
      </c>
      <c r="AB2318" s="722"/>
    </row>
    <row r="2319" spans="1:28" x14ac:dyDescent="0.35">
      <c r="A2319" s="81" t="s">
        <v>6967</v>
      </c>
      <c r="C2319" s="118">
        <v>43944</v>
      </c>
      <c r="D2319" s="318">
        <v>43998</v>
      </c>
      <c r="E2319" s="83">
        <v>43978</v>
      </c>
      <c r="F2319" s="88" t="s">
        <v>6986</v>
      </c>
      <c r="G2319" s="88" t="s">
        <v>191</v>
      </c>
      <c r="H2319" s="98" t="s">
        <v>220</v>
      </c>
      <c r="I2319" s="98" t="s">
        <v>722</v>
      </c>
      <c r="J2319" s="75">
        <f t="shared" si="239"/>
        <v>1</v>
      </c>
      <c r="K2319" s="263" t="s">
        <v>211</v>
      </c>
      <c r="L2319" s="99" t="s">
        <v>7521</v>
      </c>
      <c r="N2319" s="78" t="s">
        <v>17</v>
      </c>
      <c r="Q2319" s="78" t="s">
        <v>2056</v>
      </c>
      <c r="R2319" s="75">
        <f t="shared" si="240"/>
        <v>1</v>
      </c>
      <c r="S2319" s="263" t="s">
        <v>1991</v>
      </c>
      <c r="T2319" s="263" t="s">
        <v>934</v>
      </c>
      <c r="Y2319" s="576">
        <v>0.57770833333333338</v>
      </c>
      <c r="Z2319" s="576">
        <v>0.60682870370370368</v>
      </c>
      <c r="AA2319" s="576">
        <f t="shared" si="241"/>
        <v>2.9120370370370297E-2</v>
      </c>
      <c r="AB2319" s="722"/>
    </row>
    <row r="2320" spans="1:28" x14ac:dyDescent="0.35">
      <c r="A2320" s="81" t="s">
        <v>6969</v>
      </c>
      <c r="C2320" s="118">
        <v>43944</v>
      </c>
      <c r="D2320" s="318">
        <v>43998</v>
      </c>
      <c r="E2320" s="83">
        <v>43979</v>
      </c>
      <c r="F2320" s="88" t="s">
        <v>6988</v>
      </c>
      <c r="G2320" s="88" t="s">
        <v>158</v>
      </c>
      <c r="H2320" s="98" t="s">
        <v>220</v>
      </c>
      <c r="I2320" s="98" t="s">
        <v>722</v>
      </c>
      <c r="J2320" s="75">
        <f t="shared" si="239"/>
        <v>1</v>
      </c>
      <c r="K2320" s="263" t="s">
        <v>211</v>
      </c>
      <c r="L2320" s="99" t="s">
        <v>7527</v>
      </c>
      <c r="N2320" s="78" t="s">
        <v>18</v>
      </c>
      <c r="Q2320" s="78" t="s">
        <v>2056</v>
      </c>
      <c r="R2320" s="75">
        <f t="shared" si="240"/>
        <v>1</v>
      </c>
      <c r="S2320" s="263" t="s">
        <v>1991</v>
      </c>
      <c r="T2320" s="263" t="s">
        <v>933</v>
      </c>
      <c r="Y2320" s="576">
        <v>0.43460648148148145</v>
      </c>
      <c r="Z2320" s="576">
        <v>0.4394675925925926</v>
      </c>
      <c r="AA2320" s="576">
        <f t="shared" si="241"/>
        <v>4.8611111111111494E-3</v>
      </c>
      <c r="AB2320" s="722"/>
    </row>
    <row r="2321" spans="1:28" x14ac:dyDescent="0.35">
      <c r="A2321" s="81" t="s">
        <v>6970</v>
      </c>
      <c r="C2321" s="118">
        <v>43944</v>
      </c>
      <c r="D2321" s="318">
        <v>43998</v>
      </c>
      <c r="E2321" s="83">
        <v>43983</v>
      </c>
      <c r="F2321" s="88" t="s">
        <v>6989</v>
      </c>
      <c r="G2321" s="88" t="s">
        <v>156</v>
      </c>
      <c r="H2321" s="81" t="s">
        <v>275</v>
      </c>
      <c r="I2321" s="98" t="s">
        <v>722</v>
      </c>
      <c r="J2321" s="75">
        <f t="shared" si="239"/>
        <v>1</v>
      </c>
      <c r="K2321" s="76" t="s">
        <v>211</v>
      </c>
      <c r="L2321" s="99" t="s">
        <v>7828</v>
      </c>
      <c r="N2321" s="78" t="s">
        <v>17</v>
      </c>
      <c r="Q2321" s="78" t="s">
        <v>2056</v>
      </c>
      <c r="R2321" s="75">
        <f t="shared" si="240"/>
        <v>1</v>
      </c>
      <c r="S2321" s="263" t="s">
        <v>1991</v>
      </c>
      <c r="T2321" s="263" t="s">
        <v>932</v>
      </c>
      <c r="Y2321" s="576">
        <v>0.50972222222222219</v>
      </c>
      <c r="Z2321" s="576">
        <v>0.52834490740740747</v>
      </c>
      <c r="AA2321" s="576">
        <f t="shared" si="241"/>
        <v>1.8622685185185284E-2</v>
      </c>
      <c r="AB2321" s="722" t="s">
        <v>7817</v>
      </c>
    </row>
    <row r="2322" spans="1:28" x14ac:dyDescent="0.35">
      <c r="A2322" s="81" t="s">
        <v>6972</v>
      </c>
      <c r="C2322" s="118">
        <v>43944</v>
      </c>
      <c r="D2322" s="318">
        <v>43998</v>
      </c>
      <c r="E2322" s="83">
        <v>43978</v>
      </c>
      <c r="F2322" s="88" t="s">
        <v>6991</v>
      </c>
      <c r="G2322" s="88" t="s">
        <v>156</v>
      </c>
      <c r="H2322" s="98" t="s">
        <v>220</v>
      </c>
      <c r="I2322" s="98" t="s">
        <v>1004</v>
      </c>
      <c r="J2322" s="75">
        <f t="shared" si="239"/>
        <v>1</v>
      </c>
      <c r="K2322" s="263" t="s">
        <v>211</v>
      </c>
      <c r="L2322" s="99" t="s">
        <v>7528</v>
      </c>
      <c r="N2322" s="78" t="s">
        <v>19</v>
      </c>
      <c r="Q2322" s="78" t="s">
        <v>2056</v>
      </c>
      <c r="R2322" s="75">
        <f t="shared" si="240"/>
        <v>1</v>
      </c>
      <c r="S2322" s="263" t="s">
        <v>1991</v>
      </c>
      <c r="T2322" s="263" t="s">
        <v>932</v>
      </c>
      <c r="Y2322" s="576">
        <v>0.857488425925926</v>
      </c>
      <c r="Z2322" s="576">
        <v>0.86251157407407408</v>
      </c>
      <c r="AA2322" s="576">
        <f t="shared" si="241"/>
        <v>5.0231481481480822E-3</v>
      </c>
      <c r="AB2322" s="722"/>
    </row>
    <row r="2323" spans="1:28" x14ac:dyDescent="0.35">
      <c r="A2323" s="81" t="s">
        <v>6973</v>
      </c>
      <c r="C2323" s="118">
        <v>43944</v>
      </c>
      <c r="D2323" s="318">
        <v>43998</v>
      </c>
      <c r="E2323" s="83">
        <v>43979</v>
      </c>
      <c r="F2323" s="88" t="s">
        <v>6992</v>
      </c>
      <c r="G2323" s="88" t="s">
        <v>154</v>
      </c>
      <c r="H2323" s="98" t="s">
        <v>220</v>
      </c>
      <c r="I2323" s="98" t="s">
        <v>649</v>
      </c>
      <c r="J2323" s="75">
        <f t="shared" si="239"/>
        <v>1</v>
      </c>
      <c r="K2323" s="263" t="s">
        <v>211</v>
      </c>
      <c r="L2323" s="99" t="s">
        <v>7797</v>
      </c>
      <c r="N2323" s="78" t="s">
        <v>18</v>
      </c>
      <c r="Q2323" s="78" t="s">
        <v>2056</v>
      </c>
      <c r="R2323" s="75">
        <f t="shared" si="240"/>
        <v>1</v>
      </c>
      <c r="S2323" s="263" t="s">
        <v>1991</v>
      </c>
      <c r="T2323" s="263" t="s">
        <v>933</v>
      </c>
      <c r="Y2323" s="576">
        <v>0.37081018518518521</v>
      </c>
      <c r="Z2323" s="576">
        <v>0.38894675925925926</v>
      </c>
      <c r="AA2323" s="576">
        <f t="shared" si="241"/>
        <v>1.8136574074074041E-2</v>
      </c>
      <c r="AB2323" s="722"/>
    </row>
    <row r="2324" spans="1:28" x14ac:dyDescent="0.35">
      <c r="A2324" s="81" t="s">
        <v>6975</v>
      </c>
      <c r="C2324" s="118">
        <v>43944</v>
      </c>
      <c r="D2324" s="318">
        <v>43998</v>
      </c>
      <c r="E2324" s="83">
        <v>43983</v>
      </c>
      <c r="F2324" s="88" t="s">
        <v>6994</v>
      </c>
      <c r="G2324" s="88" t="s">
        <v>152</v>
      </c>
      <c r="H2324" s="98" t="s">
        <v>220</v>
      </c>
      <c r="I2324" s="98" t="s">
        <v>6960</v>
      </c>
      <c r="J2324" s="75">
        <f t="shared" si="239"/>
        <v>1</v>
      </c>
      <c r="K2324" s="76" t="s">
        <v>211</v>
      </c>
      <c r="L2324" s="99" t="s">
        <v>7829</v>
      </c>
      <c r="N2324" s="78" t="s">
        <v>18</v>
      </c>
      <c r="Q2324" s="78" t="s">
        <v>2056</v>
      </c>
      <c r="R2324" s="75">
        <f t="shared" si="240"/>
        <v>1</v>
      </c>
      <c r="S2324" s="263" t="s">
        <v>1991</v>
      </c>
      <c r="T2324" s="263" t="s">
        <v>934</v>
      </c>
      <c r="U2324" s="304" t="s">
        <v>5592</v>
      </c>
      <c r="V2324" s="304" t="s">
        <v>7830</v>
      </c>
      <c r="Y2324" s="576">
        <v>0.53549768518518526</v>
      </c>
      <c r="Z2324" s="576">
        <v>0.5433796296296296</v>
      </c>
      <c r="AA2324" s="576">
        <f t="shared" si="241"/>
        <v>7.8819444444443443E-3</v>
      </c>
      <c r="AB2324" s="722"/>
    </row>
    <row r="2325" spans="1:28" x14ac:dyDescent="0.35">
      <c r="A2325" s="81" t="s">
        <v>6976</v>
      </c>
      <c r="C2325" s="118">
        <v>43944</v>
      </c>
      <c r="D2325" s="318">
        <v>43998</v>
      </c>
      <c r="E2325" s="83">
        <v>43979</v>
      </c>
      <c r="F2325" s="88" t="s">
        <v>6995</v>
      </c>
      <c r="G2325" s="88" t="s">
        <v>158</v>
      </c>
      <c r="H2325" s="98" t="s">
        <v>220</v>
      </c>
      <c r="I2325" s="98" t="s">
        <v>1004</v>
      </c>
      <c r="J2325" s="75">
        <f t="shared" si="239"/>
        <v>1</v>
      </c>
      <c r="K2325" s="263" t="s">
        <v>211</v>
      </c>
      <c r="L2325" s="99" t="s">
        <v>7528</v>
      </c>
      <c r="N2325" s="78" t="s">
        <v>19</v>
      </c>
      <c r="Q2325" s="78" t="s">
        <v>2056</v>
      </c>
      <c r="R2325" s="75">
        <f t="shared" si="240"/>
        <v>1</v>
      </c>
      <c r="S2325" s="263" t="s">
        <v>1991</v>
      </c>
      <c r="T2325" s="263" t="s">
        <v>934</v>
      </c>
      <c r="Y2325" s="576">
        <v>0.80596064814814816</v>
      </c>
      <c r="Z2325" s="576">
        <v>0.81070601851851853</v>
      </c>
      <c r="AA2325" s="576">
        <f t="shared" si="241"/>
        <v>4.745370370370372E-3</v>
      </c>
      <c r="AB2325" s="722"/>
    </row>
    <row r="2326" spans="1:28" x14ac:dyDescent="0.35">
      <c r="A2326" s="81" t="s">
        <v>6977</v>
      </c>
      <c r="C2326" s="118">
        <v>43944</v>
      </c>
      <c r="D2326" s="318">
        <v>43998</v>
      </c>
      <c r="E2326" s="83">
        <v>43979</v>
      </c>
      <c r="F2326" s="88" t="s">
        <v>6996</v>
      </c>
      <c r="G2326" s="88" t="s">
        <v>417</v>
      </c>
      <c r="H2326" s="98" t="s">
        <v>220</v>
      </c>
      <c r="I2326" s="98" t="s">
        <v>649</v>
      </c>
      <c r="J2326" s="75">
        <f t="shared" si="239"/>
        <v>1</v>
      </c>
      <c r="K2326" s="263" t="s">
        <v>211</v>
      </c>
      <c r="L2326" s="99" t="s">
        <v>7565</v>
      </c>
      <c r="N2326" s="78" t="s">
        <v>18</v>
      </c>
      <c r="Q2326" s="78" t="s">
        <v>2056</v>
      </c>
      <c r="R2326" s="75">
        <f t="shared" si="240"/>
        <v>1</v>
      </c>
      <c r="S2326" s="263" t="s">
        <v>1991</v>
      </c>
      <c r="T2326" s="263" t="s">
        <v>933</v>
      </c>
      <c r="Y2326" s="576">
        <v>0.40121527777777777</v>
      </c>
      <c r="Z2326" s="576">
        <v>0.40567129629629628</v>
      </c>
      <c r="AA2326" s="576">
        <f t="shared" si="241"/>
        <v>4.4560185185185119E-3</v>
      </c>
      <c r="AB2326" s="722"/>
    </row>
    <row r="2327" spans="1:28" x14ac:dyDescent="0.35">
      <c r="A2327" s="81" t="s">
        <v>6978</v>
      </c>
      <c r="C2327" s="118">
        <v>43944</v>
      </c>
      <c r="D2327" s="318">
        <v>43998</v>
      </c>
      <c r="E2327" s="83">
        <v>43979</v>
      </c>
      <c r="F2327" s="88" t="s">
        <v>6997</v>
      </c>
      <c r="G2327" s="88" t="s">
        <v>195</v>
      </c>
      <c r="H2327" s="98" t="s">
        <v>220</v>
      </c>
      <c r="I2327" s="98" t="s">
        <v>722</v>
      </c>
      <c r="J2327" s="75">
        <f t="shared" si="239"/>
        <v>1</v>
      </c>
      <c r="K2327" s="263" t="s">
        <v>211</v>
      </c>
      <c r="L2327" s="99" t="s">
        <v>7526</v>
      </c>
      <c r="N2327" s="78" t="s">
        <v>17</v>
      </c>
      <c r="Q2327" s="78" t="s">
        <v>2056</v>
      </c>
      <c r="R2327" s="75">
        <f t="shared" si="240"/>
        <v>1</v>
      </c>
      <c r="S2327" s="263" t="s">
        <v>1991</v>
      </c>
      <c r="T2327" s="263" t="s">
        <v>932</v>
      </c>
      <c r="Y2327" s="576">
        <v>0.81120370370370365</v>
      </c>
      <c r="Z2327" s="576">
        <v>0.8175810185185185</v>
      </c>
      <c r="AA2327" s="576">
        <f t="shared" si="241"/>
        <v>6.3773148148148495E-3</v>
      </c>
      <c r="AB2327" s="722"/>
    </row>
    <row r="2328" spans="1:28" x14ac:dyDescent="0.35">
      <c r="A2328" s="81" t="s">
        <v>6999</v>
      </c>
      <c r="C2328" s="118">
        <v>43948</v>
      </c>
      <c r="D2328" s="318">
        <v>43998</v>
      </c>
      <c r="E2328" s="83">
        <v>43979</v>
      </c>
      <c r="F2328" s="88" t="s">
        <v>7064</v>
      </c>
      <c r="G2328" s="88" t="s">
        <v>162</v>
      </c>
      <c r="H2328" s="98" t="s">
        <v>220</v>
      </c>
      <c r="I2328" s="98" t="s">
        <v>722</v>
      </c>
      <c r="J2328" s="75">
        <f t="shared" si="239"/>
        <v>1</v>
      </c>
      <c r="K2328" s="263" t="s">
        <v>211</v>
      </c>
      <c r="L2328" s="99" t="s">
        <v>7526</v>
      </c>
      <c r="N2328" s="78" t="s">
        <v>18</v>
      </c>
      <c r="Q2328" s="78" t="s">
        <v>2163</v>
      </c>
      <c r="R2328" s="75">
        <f t="shared" si="240"/>
        <v>1</v>
      </c>
      <c r="S2328" s="263" t="s">
        <v>1991</v>
      </c>
      <c r="T2328" s="263" t="s">
        <v>934</v>
      </c>
      <c r="Y2328" s="576">
        <v>0.40614583333333337</v>
      </c>
      <c r="Z2328" s="576">
        <v>0.41689814814814818</v>
      </c>
      <c r="AA2328" s="576">
        <f t="shared" si="241"/>
        <v>1.0752314814814812E-2</v>
      </c>
      <c r="AB2328" s="722"/>
    </row>
    <row r="2329" spans="1:28" x14ac:dyDescent="0.35">
      <c r="A2329" s="81" t="s">
        <v>7002</v>
      </c>
      <c r="C2329" s="118">
        <v>43948</v>
      </c>
      <c r="D2329" s="318">
        <v>43998</v>
      </c>
      <c r="E2329" s="83">
        <v>43979</v>
      </c>
      <c r="F2329" s="88" t="s">
        <v>7067</v>
      </c>
      <c r="G2329" s="88" t="s">
        <v>158</v>
      </c>
      <c r="H2329" s="98" t="s">
        <v>220</v>
      </c>
      <c r="I2329" s="98" t="s">
        <v>722</v>
      </c>
      <c r="J2329" s="75">
        <f t="shared" si="239"/>
        <v>1</v>
      </c>
      <c r="K2329" s="263" t="s">
        <v>211</v>
      </c>
      <c r="L2329" s="99" t="s">
        <v>7527</v>
      </c>
      <c r="N2329" s="78" t="s">
        <v>17</v>
      </c>
      <c r="Q2329" s="78" t="s">
        <v>2163</v>
      </c>
      <c r="R2329" s="75">
        <f t="shared" si="240"/>
        <v>1</v>
      </c>
      <c r="S2329" s="263" t="s">
        <v>1991</v>
      </c>
      <c r="T2329" s="263" t="s">
        <v>932</v>
      </c>
      <c r="Y2329" s="576">
        <v>0.5484606481481481</v>
      </c>
      <c r="Z2329" s="576">
        <v>0.55424768518518519</v>
      </c>
      <c r="AA2329" s="576">
        <f t="shared" si="241"/>
        <v>5.7870370370370905E-3</v>
      </c>
      <c r="AB2329" s="722"/>
    </row>
    <row r="2330" spans="1:28" x14ac:dyDescent="0.35">
      <c r="A2330" s="98" t="s">
        <v>7005</v>
      </c>
      <c r="C2330" s="118">
        <v>43948</v>
      </c>
      <c r="D2330" s="318">
        <v>43998</v>
      </c>
      <c r="E2330" s="83">
        <v>43979</v>
      </c>
      <c r="F2330" s="88" t="s">
        <v>7070</v>
      </c>
      <c r="G2330" s="88" t="s">
        <v>172</v>
      </c>
      <c r="H2330" s="98" t="s">
        <v>220</v>
      </c>
      <c r="I2330" s="98" t="s">
        <v>722</v>
      </c>
      <c r="J2330" s="75">
        <f t="shared" si="239"/>
        <v>1</v>
      </c>
      <c r="K2330" s="263" t="s">
        <v>211</v>
      </c>
      <c r="L2330" s="99" t="s">
        <v>7804</v>
      </c>
      <c r="N2330" s="78" t="s">
        <v>17</v>
      </c>
      <c r="Q2330" s="78" t="s">
        <v>2163</v>
      </c>
      <c r="R2330" s="75">
        <f t="shared" si="240"/>
        <v>1</v>
      </c>
      <c r="S2330" s="263" t="s">
        <v>1991</v>
      </c>
      <c r="T2330" s="263" t="s">
        <v>933</v>
      </c>
      <c r="Y2330" s="576">
        <v>0.55146990740740742</v>
      </c>
      <c r="Z2330" s="576">
        <v>0.56258101851851849</v>
      </c>
      <c r="AA2330" s="576">
        <f t="shared" si="241"/>
        <v>1.1111111111111072E-2</v>
      </c>
      <c r="AB2330" s="722"/>
    </row>
    <row r="2331" spans="1:28" x14ac:dyDescent="0.35">
      <c r="A2331" s="98" t="s">
        <v>7008</v>
      </c>
      <c r="C2331" s="118">
        <v>43948</v>
      </c>
      <c r="D2331" s="318">
        <v>43983</v>
      </c>
      <c r="E2331" s="83">
        <v>43978</v>
      </c>
      <c r="F2331" s="88" t="s">
        <v>7072</v>
      </c>
      <c r="G2331" s="88" t="s">
        <v>158</v>
      </c>
      <c r="H2331" s="98" t="s">
        <v>220</v>
      </c>
      <c r="I2331" s="98" t="s">
        <v>656</v>
      </c>
      <c r="J2331" s="75">
        <f t="shared" si="239"/>
        <v>1</v>
      </c>
      <c r="K2331" s="263" t="s">
        <v>211</v>
      </c>
      <c r="L2331" s="99" t="s">
        <v>7786</v>
      </c>
      <c r="N2331" s="78" t="s">
        <v>19</v>
      </c>
      <c r="Q2331" s="304" t="s">
        <v>2163</v>
      </c>
      <c r="R2331" s="75">
        <f t="shared" si="240"/>
        <v>1</v>
      </c>
      <c r="S2331" s="263" t="s">
        <v>1991</v>
      </c>
      <c r="T2331" s="263" t="s">
        <v>933</v>
      </c>
      <c r="Y2331" s="576">
        <v>0.47135416666666669</v>
      </c>
      <c r="Z2331" s="576">
        <v>0.48428240740740741</v>
      </c>
      <c r="AA2331" s="576">
        <f t="shared" si="241"/>
        <v>1.2928240740740726E-2</v>
      </c>
      <c r="AB2331" s="722"/>
    </row>
    <row r="2332" spans="1:28" x14ac:dyDescent="0.35">
      <c r="A2332" s="81" t="s">
        <v>7009</v>
      </c>
      <c r="C2332" s="118">
        <v>43948</v>
      </c>
      <c r="D2332" s="318">
        <v>43998</v>
      </c>
      <c r="E2332" s="83">
        <v>43979</v>
      </c>
      <c r="F2332" s="88" t="s">
        <v>7073</v>
      </c>
      <c r="G2332" s="88" t="s">
        <v>158</v>
      </c>
      <c r="H2332" s="98" t="s">
        <v>220</v>
      </c>
      <c r="I2332" s="98" t="s">
        <v>730</v>
      </c>
      <c r="J2332" s="75">
        <f t="shared" si="239"/>
        <v>1</v>
      </c>
      <c r="K2332" s="263" t="s">
        <v>211</v>
      </c>
      <c r="L2332" s="99" t="s">
        <v>7806</v>
      </c>
      <c r="N2332" s="78" t="s">
        <v>18</v>
      </c>
      <c r="Q2332" s="78" t="s">
        <v>2163</v>
      </c>
      <c r="R2332" s="75">
        <f t="shared" si="240"/>
        <v>1</v>
      </c>
      <c r="S2332" s="263" t="s">
        <v>1991</v>
      </c>
      <c r="T2332" s="263" t="s">
        <v>934</v>
      </c>
      <c r="Y2332" s="576">
        <v>0.82203703703703701</v>
      </c>
      <c r="Z2332" s="576">
        <v>0.83182870370370365</v>
      </c>
      <c r="AA2332" s="576">
        <f t="shared" si="241"/>
        <v>9.791666666666643E-3</v>
      </c>
      <c r="AB2332" s="722"/>
    </row>
    <row r="2333" spans="1:28" x14ac:dyDescent="0.35">
      <c r="A2333" s="81" t="s">
        <v>7010</v>
      </c>
      <c r="C2333" s="118">
        <v>43948</v>
      </c>
      <c r="D2333" s="318">
        <v>43998</v>
      </c>
      <c r="E2333" s="83">
        <v>43979</v>
      </c>
      <c r="F2333" s="88" t="s">
        <v>7074</v>
      </c>
      <c r="G2333" s="88" t="s">
        <v>162</v>
      </c>
      <c r="H2333" s="98" t="s">
        <v>220</v>
      </c>
      <c r="I2333" s="98" t="s">
        <v>649</v>
      </c>
      <c r="J2333" s="75">
        <f t="shared" si="239"/>
        <v>1</v>
      </c>
      <c r="K2333" s="263" t="s">
        <v>211</v>
      </c>
      <c r="L2333" s="99" t="s">
        <v>7565</v>
      </c>
      <c r="N2333" s="78" t="s">
        <v>18</v>
      </c>
      <c r="Q2333" s="78" t="s">
        <v>2163</v>
      </c>
      <c r="R2333" s="75">
        <f t="shared" si="240"/>
        <v>1</v>
      </c>
      <c r="S2333" s="263" t="s">
        <v>1991</v>
      </c>
      <c r="T2333" s="263" t="s">
        <v>932</v>
      </c>
      <c r="Y2333" s="576">
        <v>0.81802083333333331</v>
      </c>
      <c r="Z2333" s="576">
        <v>0.82149305555555552</v>
      </c>
      <c r="AA2333" s="576">
        <f t="shared" si="241"/>
        <v>3.4722222222222099E-3</v>
      </c>
      <c r="AB2333" s="722"/>
    </row>
    <row r="2334" spans="1:28" x14ac:dyDescent="0.35">
      <c r="A2334" s="81" t="s">
        <v>7013</v>
      </c>
      <c r="C2334" s="118">
        <v>43948</v>
      </c>
      <c r="D2334" s="318">
        <v>43998</v>
      </c>
      <c r="E2334" s="83">
        <v>43979</v>
      </c>
      <c r="F2334" s="88" t="s">
        <v>7077</v>
      </c>
      <c r="G2334" s="88" t="s">
        <v>162</v>
      </c>
      <c r="H2334" s="98" t="s">
        <v>220</v>
      </c>
      <c r="I2334" s="98" t="s">
        <v>722</v>
      </c>
      <c r="J2334" s="75">
        <f t="shared" si="239"/>
        <v>1</v>
      </c>
      <c r="K2334" s="263" t="s">
        <v>211</v>
      </c>
      <c r="L2334" s="99" t="s">
        <v>7805</v>
      </c>
      <c r="N2334" s="78" t="s">
        <v>17</v>
      </c>
      <c r="Q2334" s="78" t="s">
        <v>2163</v>
      </c>
      <c r="R2334" s="75">
        <f t="shared" si="240"/>
        <v>1</v>
      </c>
      <c r="S2334" s="263" t="s">
        <v>1991</v>
      </c>
      <c r="T2334" s="263" t="s">
        <v>933</v>
      </c>
      <c r="Y2334" s="576">
        <v>0.79682870370370373</v>
      </c>
      <c r="Z2334" s="576">
        <v>0.8053703703703704</v>
      </c>
      <c r="AA2334" s="576">
        <f t="shared" si="241"/>
        <v>8.5416666666666696E-3</v>
      </c>
      <c r="AB2334" s="722"/>
    </row>
    <row r="2335" spans="1:28" x14ac:dyDescent="0.35">
      <c r="A2335" s="81" t="s">
        <v>7014</v>
      </c>
      <c r="C2335" s="118">
        <v>43948</v>
      </c>
      <c r="D2335" s="318">
        <v>43998</v>
      </c>
      <c r="E2335" s="83">
        <v>43980</v>
      </c>
      <c r="F2335" s="88" t="s">
        <v>7078</v>
      </c>
      <c r="G2335" s="88" t="s">
        <v>170</v>
      </c>
      <c r="H2335" s="98" t="s">
        <v>220</v>
      </c>
      <c r="I2335" s="98" t="s">
        <v>652</v>
      </c>
      <c r="J2335" s="75">
        <f t="shared" si="239"/>
        <v>1</v>
      </c>
      <c r="K2335" s="263" t="s">
        <v>211</v>
      </c>
      <c r="L2335" s="99" t="s">
        <v>7572</v>
      </c>
      <c r="N2335" s="78" t="s">
        <v>18</v>
      </c>
      <c r="Q2335" s="78" t="s">
        <v>2163</v>
      </c>
      <c r="R2335" s="75">
        <f t="shared" si="240"/>
        <v>1</v>
      </c>
      <c r="S2335" s="263" t="s">
        <v>1991</v>
      </c>
      <c r="T2335" s="263" t="s">
        <v>933</v>
      </c>
      <c r="Y2335" s="576">
        <v>0.49377314814814816</v>
      </c>
      <c r="Z2335" s="576">
        <v>0.51937500000000003</v>
      </c>
      <c r="AA2335" s="576">
        <f t="shared" si="241"/>
        <v>2.5601851851851876E-2</v>
      </c>
      <c r="AB2335" s="722"/>
    </row>
    <row r="2336" spans="1:28" x14ac:dyDescent="0.35">
      <c r="A2336" s="81" t="s">
        <v>7019</v>
      </c>
      <c r="C2336" s="118">
        <v>43948</v>
      </c>
      <c r="D2336" s="318">
        <v>43998</v>
      </c>
      <c r="E2336" s="83">
        <v>43980</v>
      </c>
      <c r="F2336" s="88" t="s">
        <v>7082</v>
      </c>
      <c r="G2336" s="88" t="s">
        <v>154</v>
      </c>
      <c r="H2336" s="98" t="s">
        <v>220</v>
      </c>
      <c r="I2336" s="98" t="s">
        <v>730</v>
      </c>
      <c r="J2336" s="75">
        <f t="shared" si="239"/>
        <v>1</v>
      </c>
      <c r="K2336" s="263" t="s">
        <v>211</v>
      </c>
      <c r="L2336" s="99" t="s">
        <v>7813</v>
      </c>
      <c r="N2336" s="78" t="s">
        <v>17</v>
      </c>
      <c r="Q2336" s="78" t="s">
        <v>2163</v>
      </c>
      <c r="R2336" s="75">
        <f t="shared" si="240"/>
        <v>1</v>
      </c>
      <c r="S2336" s="263" t="s">
        <v>1991</v>
      </c>
      <c r="T2336" s="263" t="s">
        <v>934</v>
      </c>
      <c r="Y2336" s="576">
        <v>0.47836805555555556</v>
      </c>
      <c r="Z2336" s="576">
        <v>0.48496527777777776</v>
      </c>
      <c r="AA2336" s="576">
        <f t="shared" si="241"/>
        <v>6.5972222222221988E-3</v>
      </c>
      <c r="AB2336" s="722"/>
    </row>
    <row r="2337" spans="1:28" x14ac:dyDescent="0.35">
      <c r="A2337" s="81" t="s">
        <v>7021</v>
      </c>
      <c r="C2337" s="118">
        <v>43949</v>
      </c>
      <c r="D2337" s="318">
        <v>43998</v>
      </c>
      <c r="E2337" s="83">
        <v>43977</v>
      </c>
      <c r="F2337" s="88" t="s">
        <v>7084</v>
      </c>
      <c r="G2337" s="88" t="s">
        <v>156</v>
      </c>
      <c r="H2337" s="98" t="s">
        <v>220</v>
      </c>
      <c r="I2337" s="98" t="s">
        <v>722</v>
      </c>
      <c r="J2337" s="75">
        <f t="shared" si="239"/>
        <v>1</v>
      </c>
      <c r="K2337" s="263" t="s">
        <v>211</v>
      </c>
      <c r="L2337" s="99" t="s">
        <v>7773</v>
      </c>
      <c r="N2337" s="78" t="s">
        <v>17</v>
      </c>
      <c r="Q2337" s="78" t="s">
        <v>2097</v>
      </c>
      <c r="R2337" s="75">
        <f t="shared" si="240"/>
        <v>1</v>
      </c>
      <c r="S2337" s="263" t="s">
        <v>1991</v>
      </c>
      <c r="T2337" s="263" t="s">
        <v>933</v>
      </c>
      <c r="Y2337" s="576">
        <v>0.7612268518518519</v>
      </c>
      <c r="Z2337" s="576">
        <v>0.77052083333333332</v>
      </c>
      <c r="AA2337" s="576">
        <f t="shared" si="241"/>
        <v>9.293981481481417E-3</v>
      </c>
      <c r="AB2337" s="722"/>
    </row>
    <row r="2338" spans="1:28" x14ac:dyDescent="0.35">
      <c r="A2338" s="81" t="s">
        <v>7022</v>
      </c>
      <c r="C2338" s="118">
        <v>43949</v>
      </c>
      <c r="D2338" s="318">
        <v>43998</v>
      </c>
      <c r="E2338" s="83">
        <v>43978</v>
      </c>
      <c r="F2338" s="88" t="s">
        <v>7085</v>
      </c>
      <c r="G2338" s="88" t="s">
        <v>149</v>
      </c>
      <c r="H2338" s="98" t="s">
        <v>220</v>
      </c>
      <c r="I2338" s="98" t="s">
        <v>649</v>
      </c>
      <c r="J2338" s="75">
        <f t="shared" si="239"/>
        <v>1</v>
      </c>
      <c r="K2338" s="263" t="s">
        <v>211</v>
      </c>
      <c r="L2338" s="99" t="s">
        <v>7563</v>
      </c>
      <c r="N2338" s="78" t="s">
        <v>18</v>
      </c>
      <c r="Q2338" s="304" t="s">
        <v>2097</v>
      </c>
      <c r="R2338" s="75">
        <f t="shared" si="240"/>
        <v>1</v>
      </c>
      <c r="S2338" s="263" t="s">
        <v>1991</v>
      </c>
      <c r="T2338" s="263" t="s">
        <v>934</v>
      </c>
      <c r="Y2338" s="576">
        <v>0.65706018518518516</v>
      </c>
      <c r="Z2338" s="576">
        <v>0.68128472222222225</v>
      </c>
      <c r="AA2338" s="576">
        <f t="shared" si="241"/>
        <v>2.4224537037037086E-2</v>
      </c>
      <c r="AB2338" s="722"/>
    </row>
    <row r="2339" spans="1:28" x14ac:dyDescent="0.35">
      <c r="A2339" s="81" t="s">
        <v>7024</v>
      </c>
      <c r="C2339" s="118">
        <v>43949</v>
      </c>
      <c r="D2339" s="318">
        <v>43998</v>
      </c>
      <c r="E2339" s="83">
        <v>43977</v>
      </c>
      <c r="F2339" s="88" t="s">
        <v>7087</v>
      </c>
      <c r="G2339" s="88" t="s">
        <v>162</v>
      </c>
      <c r="H2339" s="98" t="s">
        <v>220</v>
      </c>
      <c r="I2339" s="98" t="s">
        <v>722</v>
      </c>
      <c r="J2339" s="75">
        <f t="shared" si="239"/>
        <v>1</v>
      </c>
      <c r="K2339" s="263" t="s">
        <v>211</v>
      </c>
      <c r="L2339" s="99" t="s">
        <v>7776</v>
      </c>
      <c r="N2339" s="78" t="s">
        <v>18</v>
      </c>
      <c r="Q2339" s="78" t="s">
        <v>2097</v>
      </c>
      <c r="R2339" s="75">
        <f t="shared" si="240"/>
        <v>1</v>
      </c>
      <c r="S2339" s="263" t="s">
        <v>1991</v>
      </c>
      <c r="T2339" s="263" t="s">
        <v>933</v>
      </c>
      <c r="X2339" s="304" t="s">
        <v>7802</v>
      </c>
      <c r="Y2339" s="576">
        <v>0.77737268518518521</v>
      </c>
      <c r="Z2339" s="576">
        <v>0.79115740740740748</v>
      </c>
      <c r="AA2339" s="576">
        <f t="shared" si="241"/>
        <v>1.3784722222222268E-2</v>
      </c>
      <c r="AB2339" s="722"/>
    </row>
    <row r="2340" spans="1:28" x14ac:dyDescent="0.35">
      <c r="A2340" s="81" t="s">
        <v>7031</v>
      </c>
      <c r="C2340" s="118">
        <v>43949</v>
      </c>
      <c r="D2340" s="318">
        <v>43998</v>
      </c>
      <c r="E2340" s="83">
        <v>43977</v>
      </c>
      <c r="F2340" s="88" t="s">
        <v>7094</v>
      </c>
      <c r="G2340" s="88" t="s">
        <v>154</v>
      </c>
      <c r="H2340" s="98" t="s">
        <v>220</v>
      </c>
      <c r="I2340" s="98" t="s">
        <v>722</v>
      </c>
      <c r="J2340" s="75">
        <f t="shared" si="239"/>
        <v>1</v>
      </c>
      <c r="K2340" s="263" t="s">
        <v>211</v>
      </c>
      <c r="L2340" s="99" t="s">
        <v>7778</v>
      </c>
      <c r="N2340" s="78" t="s">
        <v>18</v>
      </c>
      <c r="Q2340" s="78" t="s">
        <v>2097</v>
      </c>
      <c r="R2340" s="75">
        <f t="shared" si="240"/>
        <v>1</v>
      </c>
      <c r="S2340" s="263" t="s">
        <v>1991</v>
      </c>
      <c r="T2340" s="263" t="s">
        <v>934</v>
      </c>
      <c r="Y2340" s="576">
        <v>0.80524305555555553</v>
      </c>
      <c r="Z2340" s="576">
        <v>0.81864583333333341</v>
      </c>
      <c r="AA2340" s="576">
        <f t="shared" si="241"/>
        <v>1.3402777777777874E-2</v>
      </c>
      <c r="AB2340" s="722"/>
    </row>
    <row r="2341" spans="1:28" x14ac:dyDescent="0.35">
      <c r="A2341" s="81" t="s">
        <v>7039</v>
      </c>
      <c r="C2341" s="118">
        <v>43949</v>
      </c>
      <c r="D2341" s="318">
        <v>43998</v>
      </c>
      <c r="E2341" s="83">
        <v>43977</v>
      </c>
      <c r="F2341" s="88" t="s">
        <v>7102</v>
      </c>
      <c r="G2341" s="88" t="s">
        <v>158</v>
      </c>
      <c r="H2341" s="98" t="s">
        <v>220</v>
      </c>
      <c r="I2341" s="98" t="s">
        <v>649</v>
      </c>
      <c r="J2341" s="75">
        <f t="shared" si="239"/>
        <v>1</v>
      </c>
      <c r="K2341" s="263" t="s">
        <v>211</v>
      </c>
      <c r="L2341" s="99" t="s">
        <v>7521</v>
      </c>
      <c r="N2341" s="78" t="s">
        <v>18</v>
      </c>
      <c r="Q2341" s="78" t="s">
        <v>2097</v>
      </c>
      <c r="R2341" s="75">
        <f t="shared" si="240"/>
        <v>1</v>
      </c>
      <c r="S2341" s="263" t="s">
        <v>1991</v>
      </c>
      <c r="T2341" s="263" t="s">
        <v>932</v>
      </c>
      <c r="Y2341" s="576">
        <v>0.77093750000000005</v>
      </c>
      <c r="Z2341" s="576">
        <v>0.77701388888888889</v>
      </c>
      <c r="AA2341" s="576">
        <f t="shared" si="241"/>
        <v>6.0763888888888395E-3</v>
      </c>
      <c r="AB2341" s="722"/>
    </row>
    <row r="2342" spans="1:28" x14ac:dyDescent="0.35">
      <c r="A2342" s="81" t="s">
        <v>7312</v>
      </c>
      <c r="C2342" s="118">
        <v>43951</v>
      </c>
      <c r="D2342" s="318">
        <v>43998</v>
      </c>
      <c r="E2342" s="83">
        <v>43986</v>
      </c>
      <c r="F2342" s="88" t="s">
        <v>7433</v>
      </c>
      <c r="G2342" s="88" t="s">
        <v>162</v>
      </c>
      <c r="H2342" s="98" t="s">
        <v>220</v>
      </c>
      <c r="I2342" s="98" t="s">
        <v>649</v>
      </c>
      <c r="J2342" s="75">
        <f t="shared" si="239"/>
        <v>1</v>
      </c>
      <c r="K2342" s="76" t="s">
        <v>211</v>
      </c>
      <c r="L2342" s="99" t="s">
        <v>8048</v>
      </c>
      <c r="N2342" s="78" t="s">
        <v>17</v>
      </c>
      <c r="Q2342" s="78" t="s">
        <v>2097</v>
      </c>
      <c r="R2342" s="75">
        <f t="shared" si="240"/>
        <v>1</v>
      </c>
      <c r="S2342" s="263" t="s">
        <v>1991</v>
      </c>
      <c r="T2342" s="263" t="s">
        <v>932</v>
      </c>
      <c r="Y2342" s="576">
        <v>0.80003472222222216</v>
      </c>
      <c r="Z2342" s="576">
        <v>0.80574074074074076</v>
      </c>
      <c r="AA2342" s="576">
        <f t="shared" si="241"/>
        <v>5.7060185185185963E-3</v>
      </c>
      <c r="AB2342" s="722"/>
    </row>
    <row r="2343" spans="1:28" x14ac:dyDescent="0.35">
      <c r="A2343" s="81" t="s">
        <v>7327</v>
      </c>
      <c r="C2343" s="118">
        <v>43956</v>
      </c>
      <c r="D2343" s="318">
        <v>43983</v>
      </c>
      <c r="E2343" s="83">
        <v>43977</v>
      </c>
      <c r="F2343" s="88" t="s">
        <v>7448</v>
      </c>
      <c r="G2343" s="88" t="s">
        <v>162</v>
      </c>
      <c r="H2343" s="98" t="s">
        <v>220</v>
      </c>
      <c r="I2343" s="98" t="s">
        <v>1293</v>
      </c>
      <c r="J2343" s="75">
        <f t="shared" ref="J2343:J2349" si="242">IF(OR(K2343="Документы готовы",K2343="Запрос в ФО",K2343="ЭЗ",K2343="РЕШ",K2343="РЕШ шаблон"),0.1,IF(OR(K2343="ЭЗ согласование",K2343="РЕШ согласование"),0.3,IF(OR(K2343="ЭЗ согласовано",K2343="РЕШ согласовано",K2343="РЕШ подписано"),0.6,IF(OR(K2343="ЭЗ ПР согласование",K2343="РЕШ УВ согласование"),0.9,IF(OR(K2343="ЭЗ ПР DONE",K2343="РЕШ УВ DONE"),1,0)))))</f>
        <v>1</v>
      </c>
      <c r="K2343" s="263" t="s">
        <v>211</v>
      </c>
      <c r="L2343" s="99" t="s">
        <v>7781</v>
      </c>
      <c r="N2343" s="78" t="s">
        <v>19</v>
      </c>
      <c r="Q2343" s="78" t="s">
        <v>2130</v>
      </c>
      <c r="R2343" s="75">
        <f t="shared" ref="R2343:R2349" si="243">IF(S2343="В работе",0.3,IF(S2343="Отписано",0.6,IF(S2343="На доработку",0.9,IF(S2343="Согласовано",1,0))))</f>
        <v>1</v>
      </c>
      <c r="S2343" s="263" t="s">
        <v>1991</v>
      </c>
      <c r="T2343" s="263" t="s">
        <v>934</v>
      </c>
      <c r="U2343" s="304" t="s">
        <v>5592</v>
      </c>
      <c r="V2343" s="304" t="s">
        <v>7782</v>
      </c>
      <c r="Y2343" s="576">
        <v>0.87936342592592587</v>
      </c>
      <c r="Z2343" s="576">
        <v>0.89167824074074076</v>
      </c>
      <c r="AA2343" s="576">
        <f t="shared" ref="AA2343:AA2349" si="244">Z2343-Y2343</f>
        <v>1.2314814814814889E-2</v>
      </c>
      <c r="AB2343" s="722"/>
    </row>
    <row r="2344" spans="1:28" x14ac:dyDescent="0.35">
      <c r="A2344" s="81" t="s">
        <v>7366</v>
      </c>
      <c r="C2344" s="118">
        <v>43963</v>
      </c>
      <c r="D2344" s="318">
        <v>43984</v>
      </c>
      <c r="E2344" s="83">
        <v>43977</v>
      </c>
      <c r="F2344" s="88" t="s">
        <v>7486</v>
      </c>
      <c r="G2344" s="88" t="s">
        <v>156</v>
      </c>
      <c r="H2344" s="98" t="s">
        <v>220</v>
      </c>
      <c r="I2344" s="98" t="s">
        <v>656</v>
      </c>
      <c r="J2344" s="75">
        <f t="shared" si="242"/>
        <v>1</v>
      </c>
      <c r="K2344" s="263" t="s">
        <v>211</v>
      </c>
      <c r="L2344" s="99" t="s">
        <v>7780</v>
      </c>
      <c r="N2344" s="78" t="s">
        <v>17</v>
      </c>
      <c r="Q2344" s="78" t="s">
        <v>2130</v>
      </c>
      <c r="R2344" s="75">
        <f t="shared" si="243"/>
        <v>1</v>
      </c>
      <c r="S2344" s="263" t="s">
        <v>1991</v>
      </c>
      <c r="T2344" s="263" t="s">
        <v>932</v>
      </c>
      <c r="Y2344" s="576">
        <v>0.86885416666666659</v>
      </c>
      <c r="Z2344" s="576">
        <v>0.87912037037037039</v>
      </c>
      <c r="AA2344" s="576">
        <f t="shared" si="244"/>
        <v>1.0266203703703791E-2</v>
      </c>
      <c r="AB2344" s="722"/>
    </row>
    <row r="2345" spans="1:28" x14ac:dyDescent="0.35">
      <c r="A2345" s="81" t="s">
        <v>7376</v>
      </c>
      <c r="C2345" s="118">
        <v>43963</v>
      </c>
      <c r="D2345" s="318">
        <v>43984</v>
      </c>
      <c r="E2345" s="83">
        <v>43978</v>
      </c>
      <c r="F2345" s="88" t="s">
        <v>7496</v>
      </c>
      <c r="G2345" s="88" t="s">
        <v>149</v>
      </c>
      <c r="H2345" s="98" t="s">
        <v>220</v>
      </c>
      <c r="I2345" s="98" t="s">
        <v>656</v>
      </c>
      <c r="J2345" s="75">
        <f t="shared" si="242"/>
        <v>1</v>
      </c>
      <c r="K2345" s="263" t="s">
        <v>211</v>
      </c>
      <c r="L2345" s="99" t="s">
        <v>7547</v>
      </c>
      <c r="N2345" s="78" t="s">
        <v>18</v>
      </c>
      <c r="Q2345" s="78" t="s">
        <v>2130</v>
      </c>
      <c r="R2345" s="75">
        <f t="shared" si="243"/>
        <v>1</v>
      </c>
      <c r="S2345" s="263" t="s">
        <v>1991</v>
      </c>
      <c r="T2345" s="263" t="s">
        <v>932</v>
      </c>
      <c r="Y2345" s="576">
        <v>0.64564814814814808</v>
      </c>
      <c r="Z2345" s="576">
        <v>0.65570601851851851</v>
      </c>
      <c r="AA2345" s="576">
        <f t="shared" si="244"/>
        <v>1.0057870370370425E-2</v>
      </c>
      <c r="AB2345" s="722"/>
    </row>
    <row r="2346" spans="1:28" x14ac:dyDescent="0.35">
      <c r="A2346" s="81" t="s">
        <v>7379</v>
      </c>
      <c r="C2346" s="118">
        <v>43963</v>
      </c>
      <c r="D2346" s="318">
        <v>43984</v>
      </c>
      <c r="E2346" s="83">
        <v>43978</v>
      </c>
      <c r="F2346" s="88" t="s">
        <v>7499</v>
      </c>
      <c r="G2346" s="88" t="s">
        <v>170</v>
      </c>
      <c r="H2346" s="98" t="s">
        <v>220</v>
      </c>
      <c r="I2346" s="98" t="s">
        <v>656</v>
      </c>
      <c r="J2346" s="75">
        <f t="shared" si="242"/>
        <v>1</v>
      </c>
      <c r="K2346" s="263" t="s">
        <v>211</v>
      </c>
      <c r="L2346" s="99" t="s">
        <v>7520</v>
      </c>
      <c r="N2346" s="78" t="s">
        <v>17</v>
      </c>
      <c r="Q2346" s="78" t="s">
        <v>2130</v>
      </c>
      <c r="R2346" s="75">
        <f t="shared" si="243"/>
        <v>1</v>
      </c>
      <c r="S2346" s="263" t="s">
        <v>1991</v>
      </c>
      <c r="T2346" s="263" t="s">
        <v>933</v>
      </c>
      <c r="Y2346" s="576">
        <v>0.70109953703703709</v>
      </c>
      <c r="Z2346" s="576">
        <v>0.71326388888888881</v>
      </c>
      <c r="AA2346" s="576">
        <f t="shared" si="244"/>
        <v>1.2164351851851718E-2</v>
      </c>
      <c r="AB2346" s="722"/>
    </row>
    <row r="2347" spans="1:28" x14ac:dyDescent="0.35">
      <c r="A2347" s="81" t="s">
        <v>7380</v>
      </c>
      <c r="C2347" s="118">
        <v>43963</v>
      </c>
      <c r="D2347" s="318">
        <v>43985</v>
      </c>
      <c r="E2347" s="83">
        <v>43978</v>
      </c>
      <c r="F2347" s="88" t="s">
        <v>7500</v>
      </c>
      <c r="G2347" s="88" t="s">
        <v>162</v>
      </c>
      <c r="H2347" s="98" t="s">
        <v>220</v>
      </c>
      <c r="I2347" s="98" t="s">
        <v>656</v>
      </c>
      <c r="J2347" s="75">
        <f t="shared" si="242"/>
        <v>1</v>
      </c>
      <c r="K2347" s="263" t="s">
        <v>211</v>
      </c>
      <c r="L2347" s="99" t="s">
        <v>7515</v>
      </c>
      <c r="N2347" s="78" t="s">
        <v>17</v>
      </c>
      <c r="Q2347" s="78" t="s">
        <v>2130</v>
      </c>
      <c r="R2347" s="75">
        <f t="shared" si="243"/>
        <v>1</v>
      </c>
      <c r="S2347" s="263" t="s">
        <v>1991</v>
      </c>
      <c r="T2347" s="263" t="s">
        <v>934</v>
      </c>
      <c r="U2347" s="304" t="s">
        <v>5592</v>
      </c>
      <c r="V2347" s="304" t="s">
        <v>7794</v>
      </c>
      <c r="Y2347" s="576">
        <v>0.7895833333333333</v>
      </c>
      <c r="Z2347" s="576">
        <v>0.83223379629629635</v>
      </c>
      <c r="AA2347" s="576">
        <f t="shared" si="244"/>
        <v>4.2650462962963043E-2</v>
      </c>
      <c r="AB2347" s="722"/>
    </row>
    <row r="2348" spans="1:28" x14ac:dyDescent="0.35">
      <c r="A2348" s="81" t="s">
        <v>7578</v>
      </c>
      <c r="C2348" s="118">
        <v>43964</v>
      </c>
      <c r="D2348" s="318">
        <v>43986</v>
      </c>
      <c r="E2348" s="83">
        <v>43979</v>
      </c>
      <c r="F2348" s="88" t="s">
        <v>7667</v>
      </c>
      <c r="G2348" s="88" t="s">
        <v>186</v>
      </c>
      <c r="H2348" s="98" t="s">
        <v>220</v>
      </c>
      <c r="I2348" s="98" t="s">
        <v>1004</v>
      </c>
      <c r="J2348" s="75">
        <f t="shared" si="242"/>
        <v>1</v>
      </c>
      <c r="K2348" s="263" t="s">
        <v>211</v>
      </c>
      <c r="L2348" s="99" t="s">
        <v>7528</v>
      </c>
      <c r="N2348" s="78" t="s">
        <v>19</v>
      </c>
      <c r="Q2348" s="78" t="s">
        <v>2130</v>
      </c>
      <c r="R2348" s="75">
        <f t="shared" si="243"/>
        <v>1</v>
      </c>
      <c r="S2348" s="263" t="s">
        <v>1991</v>
      </c>
      <c r="T2348" s="263" t="s">
        <v>932</v>
      </c>
      <c r="Y2348" s="576">
        <v>0.47917824074074072</v>
      </c>
      <c r="Z2348" s="576">
        <v>0.51437500000000003</v>
      </c>
      <c r="AA2348" s="576">
        <f t="shared" si="244"/>
        <v>3.5196759259259303E-2</v>
      </c>
      <c r="AB2348" s="722"/>
    </row>
    <row r="2349" spans="1:28" x14ac:dyDescent="0.35">
      <c r="A2349" s="98" t="s">
        <v>7579</v>
      </c>
      <c r="C2349" s="118">
        <v>43964</v>
      </c>
      <c r="D2349" s="625">
        <v>44001</v>
      </c>
      <c r="E2349" s="83">
        <v>43992</v>
      </c>
      <c r="F2349" s="88" t="s">
        <v>7668</v>
      </c>
      <c r="G2349" s="88" t="s">
        <v>154</v>
      </c>
      <c r="H2349" s="98" t="s">
        <v>220</v>
      </c>
      <c r="I2349" s="98" t="s">
        <v>4764</v>
      </c>
      <c r="J2349" s="75">
        <f t="shared" si="242"/>
        <v>1</v>
      </c>
      <c r="K2349" s="76" t="s">
        <v>211</v>
      </c>
      <c r="L2349" s="99" t="s">
        <v>8220</v>
      </c>
      <c r="N2349" s="78" t="s">
        <v>19</v>
      </c>
      <c r="Q2349" s="304" t="s">
        <v>2163</v>
      </c>
      <c r="R2349" s="75">
        <f t="shared" si="243"/>
        <v>1</v>
      </c>
      <c r="S2349" s="263" t="s">
        <v>1991</v>
      </c>
      <c r="T2349" s="263" t="s">
        <v>933</v>
      </c>
      <c r="U2349" s="304" t="s">
        <v>5592</v>
      </c>
      <c r="V2349" s="304" t="s">
        <v>7809</v>
      </c>
      <c r="Y2349" s="576">
        <v>0.85613425925925923</v>
      </c>
      <c r="Z2349" s="576">
        <v>0.9048842592592593</v>
      </c>
      <c r="AA2349" s="576">
        <f t="shared" si="244"/>
        <v>4.8750000000000071E-2</v>
      </c>
      <c r="AB2349" s="722"/>
    </row>
    <row r="2350" spans="1:28" x14ac:dyDescent="0.35">
      <c r="A2350" s="81" t="s">
        <v>7390</v>
      </c>
      <c r="C2350" s="118">
        <v>43964</v>
      </c>
      <c r="D2350" s="318">
        <v>43985</v>
      </c>
      <c r="E2350" s="83">
        <v>43978</v>
      </c>
      <c r="F2350" s="88" t="s">
        <v>7510</v>
      </c>
      <c r="G2350" s="88" t="s">
        <v>160</v>
      </c>
      <c r="H2350" s="98" t="s">
        <v>220</v>
      </c>
      <c r="I2350" s="98" t="s">
        <v>656</v>
      </c>
      <c r="J2350" s="75">
        <f t="shared" ref="J2350:J2366" si="245">IF(OR(K2350="Документы готовы",K2350="Запрос в ФО",K2350="ЭЗ",K2350="РЕШ",K2350="РЕШ шаблон"),0.1,IF(OR(K2350="ЭЗ согласование",K2350="РЕШ согласование"),0.3,IF(OR(K2350="ЭЗ согласовано",K2350="РЕШ согласовано",K2350="РЕШ подписано"),0.6,IF(OR(K2350="ЭЗ ПР согласование",K2350="РЕШ УВ согласование"),0.9,IF(OR(K2350="ЭЗ ПР DONE",K2350="РЕШ УВ DONE"),1,0)))))</f>
        <v>1</v>
      </c>
      <c r="K2350" s="263" t="s">
        <v>211</v>
      </c>
      <c r="L2350" s="99" t="s">
        <v>7515</v>
      </c>
      <c r="N2350" s="78" t="s">
        <v>17</v>
      </c>
      <c r="Q2350" s="78" t="s">
        <v>2163</v>
      </c>
      <c r="R2350" s="75">
        <f t="shared" ref="R2350:R2366" si="246">IF(S2350="В работе",0.3,IF(S2350="Отписано",0.6,IF(S2350="На доработку",0.9,IF(S2350="Согласовано",1,0))))</f>
        <v>1</v>
      </c>
      <c r="S2350" s="263" t="s">
        <v>1991</v>
      </c>
      <c r="T2350" s="263" t="s">
        <v>932</v>
      </c>
      <c r="Y2350" s="576">
        <v>0.40349537037037037</v>
      </c>
      <c r="Z2350" s="576">
        <v>0.41498842592592594</v>
      </c>
      <c r="AA2350" s="576">
        <f t="shared" ref="AA2350:AA2366" si="247">Z2350-Y2350</f>
        <v>1.1493055555555576E-2</v>
      </c>
      <c r="AB2350" s="722"/>
    </row>
    <row r="2351" spans="1:28" x14ac:dyDescent="0.35">
      <c r="A2351" s="81" t="s">
        <v>7580</v>
      </c>
      <c r="C2351" s="118">
        <v>43964</v>
      </c>
      <c r="D2351" s="318">
        <v>43986</v>
      </c>
      <c r="E2351" s="83">
        <v>43977</v>
      </c>
      <c r="F2351" s="88" t="s">
        <v>7669</v>
      </c>
      <c r="G2351" s="88" t="s">
        <v>149</v>
      </c>
      <c r="H2351" s="98" t="s">
        <v>220</v>
      </c>
      <c r="I2351" s="98" t="s">
        <v>656</v>
      </c>
      <c r="J2351" s="75">
        <f t="shared" si="245"/>
        <v>1</v>
      </c>
      <c r="K2351" s="263" t="s">
        <v>211</v>
      </c>
      <c r="L2351" s="99" t="s">
        <v>7766</v>
      </c>
      <c r="N2351" s="78" t="s">
        <v>18</v>
      </c>
      <c r="Q2351" s="78" t="s">
        <v>2447</v>
      </c>
      <c r="R2351" s="75">
        <f t="shared" si="246"/>
        <v>1</v>
      </c>
      <c r="S2351" s="263" t="s">
        <v>1991</v>
      </c>
      <c r="T2351" s="263" t="s">
        <v>934</v>
      </c>
      <c r="Y2351" s="576">
        <v>0.50113425925925925</v>
      </c>
      <c r="Z2351" s="576">
        <v>0.51055555555555554</v>
      </c>
      <c r="AA2351" s="576">
        <f t="shared" si="247"/>
        <v>9.4212962962962887E-3</v>
      </c>
      <c r="AB2351" s="722"/>
    </row>
    <row r="2352" spans="1:28" x14ac:dyDescent="0.35">
      <c r="A2352" s="81" t="s">
        <v>7582</v>
      </c>
      <c r="C2352" s="118">
        <v>43964</v>
      </c>
      <c r="D2352" s="318">
        <v>43986</v>
      </c>
      <c r="E2352" s="83">
        <v>43978</v>
      </c>
      <c r="F2352" s="88" t="s">
        <v>7671</v>
      </c>
      <c r="G2352" s="88" t="s">
        <v>152</v>
      </c>
      <c r="H2352" s="98" t="s">
        <v>220</v>
      </c>
      <c r="I2352" s="98" t="s">
        <v>730</v>
      </c>
      <c r="J2352" s="75">
        <f t="shared" si="245"/>
        <v>1</v>
      </c>
      <c r="K2352" s="263" t="s">
        <v>211</v>
      </c>
      <c r="L2352" s="99" t="s">
        <v>7535</v>
      </c>
      <c r="N2352" s="78" t="s">
        <v>18</v>
      </c>
      <c r="Q2352" s="78" t="s">
        <v>2447</v>
      </c>
      <c r="R2352" s="75">
        <f t="shared" si="246"/>
        <v>1</v>
      </c>
      <c r="S2352" s="263" t="s">
        <v>1991</v>
      </c>
      <c r="T2352" s="263" t="s">
        <v>934</v>
      </c>
      <c r="Y2352" s="576">
        <v>0.833125</v>
      </c>
      <c r="Z2352" s="576">
        <v>0.83966435185185195</v>
      </c>
      <c r="AA2352" s="576">
        <f t="shared" si="247"/>
        <v>6.5393518518519489E-3</v>
      </c>
      <c r="AB2352" s="722"/>
    </row>
    <row r="2353" spans="1:28" x14ac:dyDescent="0.35">
      <c r="A2353" s="81" t="s">
        <v>7583</v>
      </c>
      <c r="C2353" s="118">
        <v>43964</v>
      </c>
      <c r="D2353" s="318">
        <v>43986</v>
      </c>
      <c r="E2353" s="83">
        <v>43983</v>
      </c>
      <c r="F2353" s="88" t="s">
        <v>7672</v>
      </c>
      <c r="G2353" s="88" t="s">
        <v>741</v>
      </c>
      <c r="H2353" s="81" t="s">
        <v>275</v>
      </c>
      <c r="I2353" s="98" t="s">
        <v>656</v>
      </c>
      <c r="J2353" s="75">
        <f t="shared" si="245"/>
        <v>1</v>
      </c>
      <c r="K2353" s="76" t="s">
        <v>211</v>
      </c>
      <c r="L2353" s="99" t="s">
        <v>7824</v>
      </c>
      <c r="N2353" s="78" t="s">
        <v>17</v>
      </c>
      <c r="Q2353" s="78" t="s">
        <v>2163</v>
      </c>
      <c r="R2353" s="75">
        <f t="shared" si="246"/>
        <v>1</v>
      </c>
      <c r="S2353" s="263" t="s">
        <v>1991</v>
      </c>
      <c r="T2353" s="263" t="s">
        <v>933</v>
      </c>
      <c r="Y2353" s="576">
        <v>0.45049768518518518</v>
      </c>
      <c r="Z2353" s="576">
        <v>0.47695601851851849</v>
      </c>
      <c r="AA2353" s="576">
        <f t="shared" si="247"/>
        <v>2.6458333333333306E-2</v>
      </c>
      <c r="AB2353" s="722"/>
    </row>
    <row r="2354" spans="1:28" x14ac:dyDescent="0.35">
      <c r="A2354" s="98" t="s">
        <v>7584</v>
      </c>
      <c r="C2354" s="118">
        <v>43964</v>
      </c>
      <c r="D2354" s="318">
        <v>43986</v>
      </c>
      <c r="E2354" s="83">
        <v>43984</v>
      </c>
      <c r="F2354" s="88" t="s">
        <v>7673</v>
      </c>
      <c r="G2354" s="88" t="s">
        <v>152</v>
      </c>
      <c r="H2354" s="98" t="s">
        <v>220</v>
      </c>
      <c r="I2354" s="98" t="s">
        <v>664</v>
      </c>
      <c r="J2354" s="75">
        <f t="shared" si="245"/>
        <v>1</v>
      </c>
      <c r="K2354" s="76" t="s">
        <v>211</v>
      </c>
      <c r="L2354" s="99" t="s">
        <v>8014</v>
      </c>
      <c r="N2354" s="78" t="s">
        <v>17</v>
      </c>
      <c r="Q2354" s="78" t="s">
        <v>2163</v>
      </c>
      <c r="R2354" s="75">
        <f t="shared" si="246"/>
        <v>1</v>
      </c>
      <c r="S2354" s="263" t="s">
        <v>1991</v>
      </c>
      <c r="T2354" s="263" t="s">
        <v>932</v>
      </c>
      <c r="Y2354" s="576">
        <v>0.7621296296296296</v>
      </c>
      <c r="Z2354" s="576">
        <v>0.77863425925925922</v>
      </c>
      <c r="AA2354" s="576">
        <f t="shared" si="247"/>
        <v>1.6504629629629619E-2</v>
      </c>
      <c r="AB2354" s="722" t="s">
        <v>7817</v>
      </c>
    </row>
    <row r="2355" spans="1:28" x14ac:dyDescent="0.35">
      <c r="A2355" s="81" t="s">
        <v>7585</v>
      </c>
      <c r="C2355" s="118">
        <v>43964</v>
      </c>
      <c r="D2355" s="318">
        <v>43986</v>
      </c>
      <c r="E2355" s="83">
        <v>43977</v>
      </c>
      <c r="F2355" s="88" t="s">
        <v>7674</v>
      </c>
      <c r="G2355" s="88" t="s">
        <v>154</v>
      </c>
      <c r="H2355" s="98" t="s">
        <v>220</v>
      </c>
      <c r="I2355" s="98" t="s">
        <v>656</v>
      </c>
      <c r="J2355" s="75">
        <f t="shared" si="245"/>
        <v>1</v>
      </c>
      <c r="K2355" s="263" t="s">
        <v>211</v>
      </c>
      <c r="L2355" s="99" t="s">
        <v>7784</v>
      </c>
      <c r="N2355" s="78" t="s">
        <v>18</v>
      </c>
      <c r="Q2355" s="78" t="s">
        <v>2056</v>
      </c>
      <c r="R2355" s="75">
        <f t="shared" si="246"/>
        <v>1</v>
      </c>
      <c r="S2355" s="263" t="s">
        <v>1991</v>
      </c>
      <c r="T2355" s="263" t="s">
        <v>933</v>
      </c>
      <c r="Y2355" s="576">
        <v>0.92835648148148142</v>
      </c>
      <c r="Z2355" s="576">
        <v>0.93879629629629635</v>
      </c>
      <c r="AA2355" s="576">
        <f t="shared" si="247"/>
        <v>1.0439814814814929E-2</v>
      </c>
      <c r="AB2355" s="722"/>
    </row>
    <row r="2356" spans="1:28" x14ac:dyDescent="0.35">
      <c r="A2356" s="81" t="s">
        <v>7588</v>
      </c>
      <c r="C2356" s="118">
        <v>43964</v>
      </c>
      <c r="D2356" s="318">
        <v>43986</v>
      </c>
      <c r="E2356" s="83">
        <v>43979</v>
      </c>
      <c r="F2356" s="88" t="s">
        <v>7677</v>
      </c>
      <c r="G2356" s="88" t="s">
        <v>162</v>
      </c>
      <c r="H2356" s="98" t="s">
        <v>220</v>
      </c>
      <c r="I2356" s="98" t="s">
        <v>656</v>
      </c>
      <c r="J2356" s="75">
        <f t="shared" si="245"/>
        <v>1</v>
      </c>
      <c r="K2356" s="263" t="s">
        <v>211</v>
      </c>
      <c r="L2356" s="99" t="s">
        <v>7515</v>
      </c>
      <c r="N2356" s="78" t="s">
        <v>17</v>
      </c>
      <c r="Q2356" s="78" t="s">
        <v>2097</v>
      </c>
      <c r="R2356" s="75">
        <f t="shared" si="246"/>
        <v>1</v>
      </c>
      <c r="S2356" s="263" t="s">
        <v>1991</v>
      </c>
      <c r="T2356" s="263" t="s">
        <v>934</v>
      </c>
      <c r="U2356" s="304" t="s">
        <v>5592</v>
      </c>
      <c r="V2356" s="304" t="s">
        <v>7167</v>
      </c>
      <c r="Y2356" s="576">
        <v>0.93513888888888896</v>
      </c>
      <c r="Z2356" s="576">
        <v>0.95042824074074073</v>
      </c>
      <c r="AA2356" s="576">
        <f t="shared" si="247"/>
        <v>1.5289351851851762E-2</v>
      </c>
      <c r="AB2356" s="722"/>
    </row>
    <row r="2357" spans="1:28" x14ac:dyDescent="0.35">
      <c r="A2357" s="81" t="s">
        <v>7591</v>
      </c>
      <c r="C2357" s="118">
        <v>43965</v>
      </c>
      <c r="D2357" s="318">
        <v>43987</v>
      </c>
      <c r="E2357" s="83">
        <v>43978</v>
      </c>
      <c r="F2357" s="88" t="s">
        <v>7680</v>
      </c>
      <c r="G2357" s="88" t="s">
        <v>156</v>
      </c>
      <c r="H2357" s="98" t="s">
        <v>220</v>
      </c>
      <c r="I2357" s="98" t="s">
        <v>981</v>
      </c>
      <c r="J2357" s="75">
        <f t="shared" si="245"/>
        <v>1</v>
      </c>
      <c r="K2357" s="263" t="s">
        <v>211</v>
      </c>
      <c r="L2357" s="99" t="s">
        <v>7793</v>
      </c>
      <c r="N2357" s="78" t="s">
        <v>17</v>
      </c>
      <c r="Q2357" s="78" t="s">
        <v>2097</v>
      </c>
      <c r="R2357" s="75">
        <f t="shared" si="246"/>
        <v>1</v>
      </c>
      <c r="S2357" s="263" t="s">
        <v>1991</v>
      </c>
      <c r="T2357" s="263" t="s">
        <v>934</v>
      </c>
      <c r="Y2357" s="576">
        <v>0.68774305555555559</v>
      </c>
      <c r="Z2357" s="576">
        <v>0.69890046296296304</v>
      </c>
      <c r="AA2357" s="576">
        <f t="shared" si="247"/>
        <v>1.1157407407407449E-2</v>
      </c>
      <c r="AB2357" s="722"/>
    </row>
    <row r="2358" spans="1:28" x14ac:dyDescent="0.35">
      <c r="A2358" s="81" t="s">
        <v>7598</v>
      </c>
      <c r="C2358" s="118">
        <v>43966</v>
      </c>
      <c r="D2358" s="318">
        <v>43990</v>
      </c>
      <c r="E2358" s="83">
        <v>43983</v>
      </c>
      <c r="F2358" s="88" t="s">
        <v>7687</v>
      </c>
      <c r="G2358" s="88" t="s">
        <v>158</v>
      </c>
      <c r="H2358" s="98" t="s">
        <v>220</v>
      </c>
      <c r="I2358" s="98" t="s">
        <v>656</v>
      </c>
      <c r="J2358" s="75">
        <f t="shared" si="245"/>
        <v>1</v>
      </c>
      <c r="K2358" s="76" t="s">
        <v>211</v>
      </c>
      <c r="L2358" s="99" t="s">
        <v>7544</v>
      </c>
      <c r="N2358" s="78" t="s">
        <v>18</v>
      </c>
      <c r="Q2358" s="78" t="s">
        <v>2163</v>
      </c>
      <c r="R2358" s="75">
        <f t="shared" si="246"/>
        <v>1</v>
      </c>
      <c r="S2358" s="263" t="s">
        <v>1991</v>
      </c>
      <c r="T2358" s="263" t="s">
        <v>932</v>
      </c>
      <c r="Y2358" s="576">
        <v>0.84767361111111106</v>
      </c>
      <c r="Z2358" s="576">
        <v>0.85215277777777787</v>
      </c>
      <c r="AA2358" s="576">
        <f t="shared" si="247"/>
        <v>4.4791666666668117E-3</v>
      </c>
      <c r="AB2358" s="722" t="s">
        <v>7816</v>
      </c>
    </row>
    <row r="2359" spans="1:28" x14ac:dyDescent="0.35">
      <c r="A2359" s="81" t="s">
        <v>7600</v>
      </c>
      <c r="C2359" s="118">
        <v>43966</v>
      </c>
      <c r="D2359" s="318">
        <v>43990</v>
      </c>
      <c r="E2359" s="83">
        <v>43983</v>
      </c>
      <c r="F2359" s="88" t="s">
        <v>7689</v>
      </c>
      <c r="G2359" s="88" t="s">
        <v>152</v>
      </c>
      <c r="H2359" s="98" t="s">
        <v>220</v>
      </c>
      <c r="I2359" s="98" t="s">
        <v>3725</v>
      </c>
      <c r="J2359" s="75">
        <f t="shared" si="245"/>
        <v>1</v>
      </c>
      <c r="K2359" s="76" t="s">
        <v>211</v>
      </c>
      <c r="L2359" s="99" t="s">
        <v>7528</v>
      </c>
      <c r="N2359" s="78" t="s">
        <v>19</v>
      </c>
      <c r="Q2359" s="78" t="s">
        <v>2163</v>
      </c>
      <c r="R2359" s="75">
        <f t="shared" si="246"/>
        <v>1</v>
      </c>
      <c r="S2359" s="263" t="s">
        <v>1991</v>
      </c>
      <c r="T2359" s="263" t="s">
        <v>934</v>
      </c>
      <c r="Y2359" s="576">
        <v>0.85251157407407396</v>
      </c>
      <c r="Z2359" s="576">
        <v>0.8595949074074074</v>
      </c>
      <c r="AA2359" s="576">
        <f t="shared" si="247"/>
        <v>7.0833333333334414E-3</v>
      </c>
      <c r="AB2359" s="722"/>
    </row>
    <row r="2360" spans="1:28" x14ac:dyDescent="0.35">
      <c r="A2360" s="81" t="s">
        <v>7601</v>
      </c>
      <c r="C2360" s="118">
        <v>43966</v>
      </c>
      <c r="D2360" s="318">
        <v>43990</v>
      </c>
      <c r="E2360" s="83">
        <v>43977</v>
      </c>
      <c r="F2360" s="88" t="s">
        <v>7690</v>
      </c>
      <c r="G2360" s="88" t="s">
        <v>154</v>
      </c>
      <c r="H2360" s="98" t="s">
        <v>220</v>
      </c>
      <c r="I2360" s="98" t="s">
        <v>1122</v>
      </c>
      <c r="J2360" s="75">
        <f t="shared" si="245"/>
        <v>1</v>
      </c>
      <c r="K2360" s="263" t="s">
        <v>211</v>
      </c>
      <c r="L2360" s="99" t="s">
        <v>7559</v>
      </c>
      <c r="N2360" s="78" t="s">
        <v>18</v>
      </c>
      <c r="Q2360" s="78" t="s">
        <v>2447</v>
      </c>
      <c r="R2360" s="75">
        <f t="shared" si="246"/>
        <v>1</v>
      </c>
      <c r="S2360" s="263" t="s">
        <v>1991</v>
      </c>
      <c r="T2360" s="263" t="s">
        <v>934</v>
      </c>
      <c r="Y2360" s="576">
        <v>0.65777777777777779</v>
      </c>
      <c r="Z2360" s="576">
        <v>0.66341435185185182</v>
      </c>
      <c r="AA2360" s="576">
        <f t="shared" si="247"/>
        <v>5.63657407407403E-3</v>
      </c>
      <c r="AB2360" s="722"/>
    </row>
    <row r="2361" spans="1:28" x14ac:dyDescent="0.35">
      <c r="A2361" s="81" t="s">
        <v>7602</v>
      </c>
      <c r="C2361" s="118">
        <v>43966</v>
      </c>
      <c r="D2361" s="318">
        <v>43987</v>
      </c>
      <c r="E2361" s="83">
        <v>43977</v>
      </c>
      <c r="F2361" s="88" t="s">
        <v>7691</v>
      </c>
      <c r="G2361" s="88" t="s">
        <v>417</v>
      </c>
      <c r="H2361" s="98" t="s">
        <v>220</v>
      </c>
      <c r="I2361" s="98" t="s">
        <v>656</v>
      </c>
      <c r="J2361" s="75">
        <f t="shared" si="245"/>
        <v>1</v>
      </c>
      <c r="K2361" s="263" t="s">
        <v>211</v>
      </c>
      <c r="L2361" s="99" t="s">
        <v>7771</v>
      </c>
      <c r="N2361" s="78" t="s">
        <v>17</v>
      </c>
      <c r="Q2361" s="78" t="s">
        <v>2447</v>
      </c>
      <c r="R2361" s="75">
        <f t="shared" si="246"/>
        <v>1</v>
      </c>
      <c r="S2361" s="263" t="s">
        <v>1991</v>
      </c>
      <c r="T2361" s="263" t="s">
        <v>932</v>
      </c>
      <c r="Y2361" s="576">
        <v>0.66378472222222229</v>
      </c>
      <c r="Z2361" s="576">
        <v>0.67355324074074074</v>
      </c>
      <c r="AA2361" s="576">
        <f t="shared" si="247"/>
        <v>9.7685185185184542E-3</v>
      </c>
      <c r="AB2361" s="722"/>
    </row>
    <row r="2362" spans="1:28" x14ac:dyDescent="0.35">
      <c r="A2362" s="81" t="s">
        <v>7603</v>
      </c>
      <c r="C2362" s="118">
        <v>43966</v>
      </c>
      <c r="D2362" s="318">
        <v>43990</v>
      </c>
      <c r="E2362" s="83">
        <v>43983</v>
      </c>
      <c r="F2362" s="88" t="s">
        <v>7692</v>
      </c>
      <c r="G2362" s="88" t="s">
        <v>154</v>
      </c>
      <c r="H2362" s="98" t="s">
        <v>220</v>
      </c>
      <c r="I2362" s="98" t="s">
        <v>1122</v>
      </c>
      <c r="J2362" s="75">
        <f t="shared" si="245"/>
        <v>1</v>
      </c>
      <c r="K2362" s="76" t="s">
        <v>211</v>
      </c>
      <c r="L2362" s="99" t="s">
        <v>7559</v>
      </c>
      <c r="N2362" s="78" t="s">
        <v>18</v>
      </c>
      <c r="Q2362" s="78" t="s">
        <v>2056</v>
      </c>
      <c r="R2362" s="75">
        <f t="shared" si="246"/>
        <v>1</v>
      </c>
      <c r="S2362" s="263" t="s">
        <v>1991</v>
      </c>
      <c r="T2362" s="263" t="s">
        <v>934</v>
      </c>
      <c r="Y2362" s="576">
        <v>0.52906249999999999</v>
      </c>
      <c r="Z2362" s="576">
        <v>0.53490740740740739</v>
      </c>
      <c r="AA2362" s="576">
        <f t="shared" si="247"/>
        <v>5.8449074074073959E-3</v>
      </c>
      <c r="AB2362" s="722" t="s">
        <v>7816</v>
      </c>
    </row>
    <row r="2363" spans="1:28" x14ac:dyDescent="0.35">
      <c r="A2363" s="98" t="s">
        <v>7605</v>
      </c>
      <c r="C2363" s="118">
        <v>43966</v>
      </c>
      <c r="D2363" s="318">
        <v>43987</v>
      </c>
      <c r="E2363" s="83">
        <v>43983</v>
      </c>
      <c r="F2363" s="88" t="s">
        <v>7694</v>
      </c>
      <c r="G2363" s="88" t="s">
        <v>154</v>
      </c>
      <c r="H2363" s="81" t="s">
        <v>275</v>
      </c>
      <c r="I2363" s="98" t="s">
        <v>656</v>
      </c>
      <c r="J2363" s="75">
        <f t="shared" si="245"/>
        <v>1</v>
      </c>
      <c r="K2363" s="76" t="s">
        <v>211</v>
      </c>
      <c r="L2363" s="99" t="s">
        <v>7520</v>
      </c>
      <c r="N2363" s="78" t="s">
        <v>18</v>
      </c>
      <c r="Q2363" s="78" t="s">
        <v>2163</v>
      </c>
      <c r="R2363" s="75">
        <f t="shared" si="246"/>
        <v>1</v>
      </c>
      <c r="S2363" s="263" t="s">
        <v>1991</v>
      </c>
      <c r="T2363" s="263" t="s">
        <v>933</v>
      </c>
      <c r="U2363" s="304" t="s">
        <v>5592</v>
      </c>
      <c r="V2363" s="304" t="s">
        <v>8242</v>
      </c>
      <c r="Y2363" s="576">
        <v>0.6095370370370371</v>
      </c>
      <c r="Z2363" s="576">
        <v>0.62366898148148142</v>
      </c>
      <c r="AA2363" s="576">
        <f t="shared" si="247"/>
        <v>1.4131944444444322E-2</v>
      </c>
      <c r="AB2363" s="722"/>
    </row>
    <row r="2364" spans="1:28" x14ac:dyDescent="0.35">
      <c r="A2364" s="81" t="s">
        <v>7615</v>
      </c>
      <c r="C2364" s="118">
        <v>43969</v>
      </c>
      <c r="D2364" s="318">
        <v>43990</v>
      </c>
      <c r="E2364" s="83">
        <v>43977</v>
      </c>
      <c r="F2364" s="88" t="s">
        <v>7704</v>
      </c>
      <c r="G2364" s="88" t="s">
        <v>154</v>
      </c>
      <c r="H2364" s="98" t="s">
        <v>220</v>
      </c>
      <c r="I2364" s="98" t="s">
        <v>656</v>
      </c>
      <c r="J2364" s="75">
        <f t="shared" si="245"/>
        <v>1</v>
      </c>
      <c r="K2364" s="263" t="s">
        <v>211</v>
      </c>
      <c r="L2364" s="99" t="s">
        <v>7515</v>
      </c>
      <c r="N2364" s="78" t="s">
        <v>17</v>
      </c>
      <c r="Q2364" s="78" t="s">
        <v>2447</v>
      </c>
      <c r="R2364" s="75">
        <f t="shared" si="246"/>
        <v>1</v>
      </c>
      <c r="S2364" s="263" t="s">
        <v>1991</v>
      </c>
      <c r="T2364" s="263" t="s">
        <v>933</v>
      </c>
      <c r="Y2364" s="576">
        <v>0.69442129629629623</v>
      </c>
      <c r="Z2364" s="576">
        <v>0.70500000000000007</v>
      </c>
      <c r="AA2364" s="576">
        <f t="shared" si="247"/>
        <v>1.057870370370384E-2</v>
      </c>
      <c r="AB2364" s="722"/>
    </row>
    <row r="2365" spans="1:28" x14ac:dyDescent="0.35">
      <c r="A2365" s="81" t="s">
        <v>7620</v>
      </c>
      <c r="C2365" s="118">
        <v>43969</v>
      </c>
      <c r="D2365" s="318">
        <v>43991</v>
      </c>
      <c r="E2365" s="83">
        <v>43983</v>
      </c>
      <c r="F2365" s="88" t="s">
        <v>7709</v>
      </c>
      <c r="G2365" s="88" t="s">
        <v>156</v>
      </c>
      <c r="H2365" s="98" t="s">
        <v>220</v>
      </c>
      <c r="I2365" s="98" t="s">
        <v>656</v>
      </c>
      <c r="J2365" s="75">
        <f t="shared" si="245"/>
        <v>1</v>
      </c>
      <c r="K2365" s="76" t="s">
        <v>211</v>
      </c>
      <c r="L2365" s="99" t="s">
        <v>7831</v>
      </c>
      <c r="N2365" s="78" t="s">
        <v>17</v>
      </c>
      <c r="Q2365" s="78" t="s">
        <v>2056</v>
      </c>
      <c r="R2365" s="75">
        <f t="shared" si="246"/>
        <v>1</v>
      </c>
      <c r="S2365" s="263" t="s">
        <v>1991</v>
      </c>
      <c r="T2365" s="263" t="s">
        <v>934</v>
      </c>
      <c r="U2365" s="304" t="s">
        <v>5592</v>
      </c>
      <c r="V2365" s="304" t="s">
        <v>7832</v>
      </c>
      <c r="Y2365" s="576">
        <v>0.58917824074074077</v>
      </c>
      <c r="Z2365" s="576">
        <v>0.608912037037037</v>
      </c>
      <c r="AA2365" s="576">
        <f t="shared" si="247"/>
        <v>1.9733796296296235E-2</v>
      </c>
      <c r="AB2365" s="722"/>
    </row>
    <row r="2366" spans="1:28" x14ac:dyDescent="0.35">
      <c r="A2366" s="81" t="s">
        <v>7623</v>
      </c>
      <c r="C2366" s="118">
        <v>43969</v>
      </c>
      <c r="D2366" s="318">
        <v>43991</v>
      </c>
      <c r="E2366" s="83">
        <v>43984</v>
      </c>
      <c r="F2366" s="88" t="s">
        <v>7712</v>
      </c>
      <c r="G2366" s="88" t="s">
        <v>152</v>
      </c>
      <c r="H2366" s="98" t="s">
        <v>220</v>
      </c>
      <c r="I2366" s="98" t="s">
        <v>656</v>
      </c>
      <c r="J2366" s="75">
        <f t="shared" si="245"/>
        <v>1</v>
      </c>
      <c r="K2366" s="76" t="s">
        <v>211</v>
      </c>
      <c r="L2366" s="99" t="s">
        <v>8018</v>
      </c>
      <c r="N2366" s="78" t="s">
        <v>17</v>
      </c>
      <c r="Q2366" s="78" t="s">
        <v>2097</v>
      </c>
      <c r="R2366" s="75">
        <f t="shared" si="246"/>
        <v>1</v>
      </c>
      <c r="S2366" s="263" t="s">
        <v>1991</v>
      </c>
      <c r="T2366" s="263" t="s">
        <v>934</v>
      </c>
      <c r="U2366" s="304" t="s">
        <v>5592</v>
      </c>
      <c r="V2366" s="304" t="s">
        <v>8019</v>
      </c>
      <c r="Y2366" s="576">
        <v>0.82149305555555552</v>
      </c>
      <c r="Z2366" s="576">
        <v>0.83766203703703701</v>
      </c>
      <c r="AA2366" s="576">
        <f t="shared" si="247"/>
        <v>1.6168981481481493E-2</v>
      </c>
      <c r="AB2366" s="722"/>
    </row>
    <row r="2367" spans="1:28" x14ac:dyDescent="0.35">
      <c r="A2367" s="81" t="s">
        <v>7629</v>
      </c>
      <c r="C2367" s="118">
        <v>43969</v>
      </c>
      <c r="D2367" s="318">
        <v>43990</v>
      </c>
      <c r="E2367" s="83">
        <v>43984</v>
      </c>
      <c r="F2367" s="88" t="s">
        <v>7718</v>
      </c>
      <c r="G2367" s="88" t="s">
        <v>154</v>
      </c>
      <c r="H2367" s="98" t="s">
        <v>220</v>
      </c>
      <c r="I2367" s="98" t="s">
        <v>981</v>
      </c>
      <c r="J2367" s="75">
        <f t="shared" ref="J2367:J2390" si="248">IF(OR(K2367="Документы готовы",K2367="Запрос в ФО",K2367="ЭЗ",K2367="РЕШ",K2367="РЕШ шаблон"),0.1,IF(OR(K2367="ЭЗ согласование",K2367="РЕШ согласование"),0.3,IF(OR(K2367="ЭЗ согласовано",K2367="РЕШ согласовано",K2367="РЕШ подписано"),0.6,IF(OR(K2367="ЭЗ ПР согласование",K2367="РЕШ УВ согласование"),0.9,IF(OR(K2367="ЭЗ ПР DONE",K2367="РЕШ УВ DONE"),1,0)))))</f>
        <v>1</v>
      </c>
      <c r="K2367" s="76" t="s">
        <v>211</v>
      </c>
      <c r="L2367" s="99" t="s">
        <v>8011</v>
      </c>
      <c r="N2367" s="78" t="s">
        <v>19</v>
      </c>
      <c r="Q2367" s="304" t="s">
        <v>2163</v>
      </c>
      <c r="R2367" s="75">
        <f t="shared" ref="R2367:R2390" si="249">IF(S2367="В работе",0.3,IF(S2367="Отписано",0.6,IF(S2367="На доработку",0.9,IF(S2367="Согласовано",1,0))))</f>
        <v>1</v>
      </c>
      <c r="S2367" s="263" t="s">
        <v>1991</v>
      </c>
      <c r="T2367" s="263" t="s">
        <v>933</v>
      </c>
      <c r="Y2367" s="576">
        <v>0.63658564814814811</v>
      </c>
      <c r="Z2367" s="576">
        <v>0.68327546296296304</v>
      </c>
      <c r="AA2367" s="576">
        <f t="shared" ref="AA2367:AA2390" si="250">Z2367-Y2367</f>
        <v>4.6689814814814934E-2</v>
      </c>
      <c r="AB2367" s="722"/>
    </row>
    <row r="2368" spans="1:28" x14ac:dyDescent="0.35">
      <c r="A2368" s="81" t="s">
        <v>7633</v>
      </c>
      <c r="C2368" s="118">
        <v>43969</v>
      </c>
      <c r="D2368" s="318">
        <v>43991</v>
      </c>
      <c r="E2368" s="83">
        <v>43983</v>
      </c>
      <c r="F2368" s="88" t="s">
        <v>7722</v>
      </c>
      <c r="G2368" s="88" t="s">
        <v>170</v>
      </c>
      <c r="H2368" s="98" t="s">
        <v>220</v>
      </c>
      <c r="I2368" s="98" t="s">
        <v>656</v>
      </c>
      <c r="J2368" s="75">
        <f t="shared" si="248"/>
        <v>1</v>
      </c>
      <c r="K2368" s="76" t="s">
        <v>211</v>
      </c>
      <c r="L2368" s="99" t="s">
        <v>7544</v>
      </c>
      <c r="N2368" s="78" t="s">
        <v>17</v>
      </c>
      <c r="Q2368" s="78" t="s">
        <v>2056</v>
      </c>
      <c r="R2368" s="75">
        <f t="shared" si="249"/>
        <v>1</v>
      </c>
      <c r="S2368" s="263" t="s">
        <v>1991</v>
      </c>
      <c r="T2368" s="263" t="s">
        <v>933</v>
      </c>
      <c r="Y2368" s="576">
        <v>0.62408564814814815</v>
      </c>
      <c r="Z2368" s="576">
        <v>0.63091435185185185</v>
      </c>
      <c r="AA2368" s="576">
        <f t="shared" si="250"/>
        <v>6.8287037037036979E-3</v>
      </c>
      <c r="AB2368" s="722"/>
    </row>
    <row r="2369" spans="1:28" x14ac:dyDescent="0.35">
      <c r="A2369" s="98" t="s">
        <v>7636</v>
      </c>
      <c r="C2369" s="118">
        <v>43970</v>
      </c>
      <c r="D2369" s="318">
        <v>43992</v>
      </c>
      <c r="E2369" s="83">
        <v>43980</v>
      </c>
      <c r="F2369" s="88" t="s">
        <v>7725</v>
      </c>
      <c r="G2369" s="88" t="s">
        <v>152</v>
      </c>
      <c r="H2369" s="81" t="s">
        <v>275</v>
      </c>
      <c r="I2369" s="98" t="s">
        <v>656</v>
      </c>
      <c r="J2369" s="75">
        <f t="shared" si="248"/>
        <v>1</v>
      </c>
      <c r="K2369" s="263" t="s">
        <v>211</v>
      </c>
      <c r="L2369" s="99" t="s">
        <v>7821</v>
      </c>
      <c r="N2369" s="78" t="s">
        <v>18</v>
      </c>
      <c r="Q2369" s="78" t="s">
        <v>2097</v>
      </c>
      <c r="R2369" s="75">
        <f t="shared" si="249"/>
        <v>1</v>
      </c>
      <c r="S2369" s="263" t="s">
        <v>1991</v>
      </c>
      <c r="T2369" s="263" t="s">
        <v>932</v>
      </c>
      <c r="Y2369" s="576">
        <v>0.85319444444444448</v>
      </c>
      <c r="Z2369" s="576">
        <v>0.89167824074074076</v>
      </c>
      <c r="AA2369" s="576">
        <f t="shared" si="250"/>
        <v>3.848379629629628E-2</v>
      </c>
      <c r="AB2369" s="722" t="s">
        <v>7817</v>
      </c>
    </row>
    <row r="2370" spans="1:28" x14ac:dyDescent="0.35">
      <c r="A2370" s="81" t="s">
        <v>7638</v>
      </c>
      <c r="C2370" s="118">
        <v>43970</v>
      </c>
      <c r="D2370" s="318">
        <v>43992</v>
      </c>
      <c r="E2370" s="83">
        <v>43979</v>
      </c>
      <c r="F2370" s="88" t="s">
        <v>7727</v>
      </c>
      <c r="G2370" s="88" t="s">
        <v>154</v>
      </c>
      <c r="H2370" s="98" t="s">
        <v>220</v>
      </c>
      <c r="I2370" s="98" t="s">
        <v>1122</v>
      </c>
      <c r="J2370" s="75">
        <f t="shared" si="248"/>
        <v>1</v>
      </c>
      <c r="K2370" s="263" t="s">
        <v>211</v>
      </c>
      <c r="L2370" s="99" t="s">
        <v>7801</v>
      </c>
      <c r="N2370" s="78" t="s">
        <v>18</v>
      </c>
      <c r="Q2370" s="78" t="s">
        <v>2447</v>
      </c>
      <c r="R2370" s="75">
        <f t="shared" si="249"/>
        <v>1</v>
      </c>
      <c r="S2370" s="263" t="s">
        <v>1991</v>
      </c>
      <c r="T2370" s="263" t="s">
        <v>934</v>
      </c>
      <c r="Y2370" s="576">
        <v>0.45693287037037034</v>
      </c>
      <c r="Z2370" s="576">
        <v>0.46258101851851857</v>
      </c>
      <c r="AA2370" s="576">
        <f t="shared" si="250"/>
        <v>5.6481481481482354E-3</v>
      </c>
      <c r="AB2370" s="722"/>
    </row>
    <row r="2371" spans="1:28" x14ac:dyDescent="0.35">
      <c r="A2371" s="81" t="s">
        <v>7640</v>
      </c>
      <c r="C2371" s="118">
        <v>43970</v>
      </c>
      <c r="D2371" s="318">
        <v>43991</v>
      </c>
      <c r="E2371" s="83">
        <v>43980</v>
      </c>
      <c r="F2371" s="88" t="s">
        <v>7729</v>
      </c>
      <c r="G2371" s="88" t="s">
        <v>195</v>
      </c>
      <c r="H2371" s="98" t="s">
        <v>220</v>
      </c>
      <c r="I2371" s="98" t="s">
        <v>656</v>
      </c>
      <c r="J2371" s="75">
        <f t="shared" si="248"/>
        <v>1</v>
      </c>
      <c r="K2371" s="76" t="s">
        <v>211</v>
      </c>
      <c r="L2371" s="99" t="s">
        <v>7544</v>
      </c>
      <c r="N2371" s="78" t="s">
        <v>18</v>
      </c>
      <c r="Q2371" s="78" t="s">
        <v>2097</v>
      </c>
      <c r="R2371" s="75">
        <f t="shared" si="249"/>
        <v>1</v>
      </c>
      <c r="S2371" s="263" t="s">
        <v>1991</v>
      </c>
      <c r="T2371" s="263" t="s">
        <v>932</v>
      </c>
      <c r="U2371" s="304" t="s">
        <v>5592</v>
      </c>
      <c r="V2371" s="304" t="s">
        <v>7167</v>
      </c>
      <c r="Y2371" s="576">
        <v>0.84430555555555553</v>
      </c>
      <c r="Z2371" s="576">
        <v>0.85281250000000008</v>
      </c>
      <c r="AA2371" s="576">
        <f t="shared" si="250"/>
        <v>8.506944444444553E-3</v>
      </c>
      <c r="AB2371" s="722"/>
    </row>
    <row r="2372" spans="1:28" x14ac:dyDescent="0.35">
      <c r="A2372" s="81" t="s">
        <v>7644</v>
      </c>
      <c r="C2372" s="118">
        <v>43970</v>
      </c>
      <c r="D2372" s="318">
        <v>43992</v>
      </c>
      <c r="E2372" s="83">
        <v>43980</v>
      </c>
      <c r="F2372" s="88" t="s">
        <v>7733</v>
      </c>
      <c r="G2372" s="88" t="s">
        <v>158</v>
      </c>
      <c r="H2372" s="98" t="s">
        <v>220</v>
      </c>
      <c r="I2372" s="98" t="s">
        <v>656</v>
      </c>
      <c r="J2372" s="75">
        <f t="shared" si="248"/>
        <v>1</v>
      </c>
      <c r="K2372" s="76" t="s">
        <v>211</v>
      </c>
      <c r="L2372" s="99" t="s">
        <v>7544</v>
      </c>
      <c r="N2372" s="78" t="s">
        <v>17</v>
      </c>
      <c r="Q2372" s="78" t="s">
        <v>2097</v>
      </c>
      <c r="R2372" s="75">
        <f t="shared" si="249"/>
        <v>1</v>
      </c>
      <c r="S2372" s="263" t="s">
        <v>1991</v>
      </c>
      <c r="T2372" s="263" t="s">
        <v>934</v>
      </c>
      <c r="U2372" s="304" t="s">
        <v>5592</v>
      </c>
      <c r="V2372" s="304" t="s">
        <v>7167</v>
      </c>
      <c r="Y2372" s="576">
        <v>0.81668981481481484</v>
      </c>
      <c r="Z2372" s="576">
        <v>0.82768518518518519</v>
      </c>
      <c r="AA2372" s="576">
        <f t="shared" si="250"/>
        <v>1.099537037037035E-2</v>
      </c>
      <c r="AB2372" s="722"/>
    </row>
    <row r="2373" spans="1:28" x14ac:dyDescent="0.35">
      <c r="A2373" s="81" t="s">
        <v>7647</v>
      </c>
      <c r="C2373" s="118">
        <v>43970</v>
      </c>
      <c r="D2373" s="318">
        <v>43992</v>
      </c>
      <c r="E2373" s="83">
        <v>43980</v>
      </c>
      <c r="F2373" s="88" t="s">
        <v>7736</v>
      </c>
      <c r="G2373" s="88" t="s">
        <v>162</v>
      </c>
      <c r="H2373" s="98" t="s">
        <v>220</v>
      </c>
      <c r="I2373" s="98" t="s">
        <v>656</v>
      </c>
      <c r="J2373" s="75">
        <f t="shared" si="248"/>
        <v>1</v>
      </c>
      <c r="K2373" s="76" t="s">
        <v>211</v>
      </c>
      <c r="L2373" s="99" t="s">
        <v>7819</v>
      </c>
      <c r="N2373" s="78" t="s">
        <v>18</v>
      </c>
      <c r="Q2373" s="78" t="s">
        <v>2097</v>
      </c>
      <c r="R2373" s="75">
        <f t="shared" si="249"/>
        <v>1</v>
      </c>
      <c r="S2373" s="263" t="s">
        <v>1991</v>
      </c>
      <c r="T2373" s="263" t="s">
        <v>933</v>
      </c>
      <c r="U2373" s="304" t="s">
        <v>5592</v>
      </c>
      <c r="V2373" s="304" t="s">
        <v>7820</v>
      </c>
      <c r="Y2373" s="576">
        <v>0.82859953703703704</v>
      </c>
      <c r="Z2373" s="576">
        <v>0.84387731481481476</v>
      </c>
      <c r="AA2373" s="576">
        <f t="shared" si="250"/>
        <v>1.5277777777777724E-2</v>
      </c>
      <c r="AB2373" s="722"/>
    </row>
    <row r="2374" spans="1:28" x14ac:dyDescent="0.35">
      <c r="A2374" s="81" t="s">
        <v>7653</v>
      </c>
      <c r="C2374" s="118">
        <v>43971</v>
      </c>
      <c r="D2374" s="318">
        <v>43992</v>
      </c>
      <c r="E2374" s="83">
        <v>43979</v>
      </c>
      <c r="F2374" s="88" t="s">
        <v>7742</v>
      </c>
      <c r="G2374" s="88" t="s">
        <v>149</v>
      </c>
      <c r="H2374" s="98" t="s">
        <v>220</v>
      </c>
      <c r="I2374" s="98" t="s">
        <v>656</v>
      </c>
      <c r="J2374" s="75">
        <f t="shared" si="248"/>
        <v>1</v>
      </c>
      <c r="K2374" s="263" t="s">
        <v>211</v>
      </c>
      <c r="L2374" s="99" t="s">
        <v>7799</v>
      </c>
      <c r="N2374" s="78" t="s">
        <v>18</v>
      </c>
      <c r="Q2374" s="78" t="s">
        <v>2447</v>
      </c>
      <c r="R2374" s="75">
        <f t="shared" si="249"/>
        <v>1</v>
      </c>
      <c r="S2374" s="263" t="s">
        <v>1991</v>
      </c>
      <c r="T2374" s="263" t="s">
        <v>934</v>
      </c>
      <c r="U2374" s="304" t="s">
        <v>5592</v>
      </c>
      <c r="V2374" s="304" t="s">
        <v>7800</v>
      </c>
      <c r="Y2374" s="576">
        <v>0.44601851851851854</v>
      </c>
      <c r="Z2374" s="576">
        <v>0.45168981481481479</v>
      </c>
      <c r="AA2374" s="576">
        <f t="shared" si="250"/>
        <v>5.6712962962962576E-3</v>
      </c>
      <c r="AB2374" s="722"/>
    </row>
    <row r="2375" spans="1:28" x14ac:dyDescent="0.35">
      <c r="A2375" s="81" t="s">
        <v>7654</v>
      </c>
      <c r="C2375" s="118">
        <v>43971</v>
      </c>
      <c r="D2375" s="318">
        <v>43992</v>
      </c>
      <c r="E2375" s="83">
        <v>43983</v>
      </c>
      <c r="F2375" s="88" t="s">
        <v>7743</v>
      </c>
      <c r="G2375" s="88" t="s">
        <v>152</v>
      </c>
      <c r="H2375" s="98" t="s">
        <v>220</v>
      </c>
      <c r="I2375" s="98" t="s">
        <v>656</v>
      </c>
      <c r="J2375" s="75">
        <f t="shared" si="248"/>
        <v>1</v>
      </c>
      <c r="K2375" s="76" t="s">
        <v>211</v>
      </c>
      <c r="L2375" s="99" t="s">
        <v>7516</v>
      </c>
      <c r="N2375" s="78" t="s">
        <v>17</v>
      </c>
      <c r="Q2375" s="78" t="s">
        <v>2056</v>
      </c>
      <c r="R2375" s="75">
        <f t="shared" si="249"/>
        <v>1</v>
      </c>
      <c r="S2375" s="263" t="s">
        <v>1991</v>
      </c>
      <c r="T2375" s="263" t="s">
        <v>932</v>
      </c>
      <c r="U2375" s="304" t="s">
        <v>5592</v>
      </c>
      <c r="V2375" s="304" t="s">
        <v>7840</v>
      </c>
      <c r="Y2375" s="576">
        <v>0.87043981481481481</v>
      </c>
      <c r="Z2375" s="576">
        <v>0.88486111111111121</v>
      </c>
      <c r="AA2375" s="576">
        <f t="shared" si="250"/>
        <v>1.4421296296296404E-2</v>
      </c>
      <c r="AB2375" s="722"/>
    </row>
    <row r="2376" spans="1:28" x14ac:dyDescent="0.35">
      <c r="A2376" s="81" t="s">
        <v>7663</v>
      </c>
      <c r="C2376" s="118">
        <v>43972</v>
      </c>
      <c r="D2376" s="318">
        <v>43993</v>
      </c>
      <c r="E2376" s="83">
        <v>43980</v>
      </c>
      <c r="F2376" s="88" t="s">
        <v>7752</v>
      </c>
      <c r="G2376" s="88" t="s">
        <v>186</v>
      </c>
      <c r="H2376" s="98" t="s">
        <v>220</v>
      </c>
      <c r="I2376" s="98" t="s">
        <v>664</v>
      </c>
      <c r="J2376" s="75">
        <f t="shared" si="248"/>
        <v>1</v>
      </c>
      <c r="K2376" s="76" t="s">
        <v>211</v>
      </c>
      <c r="L2376" s="99" t="s">
        <v>7815</v>
      </c>
      <c r="N2376" s="78" t="s">
        <v>18</v>
      </c>
      <c r="Q2376" s="78" t="s">
        <v>2097</v>
      </c>
      <c r="R2376" s="75">
        <f t="shared" si="249"/>
        <v>1</v>
      </c>
      <c r="S2376" s="263" t="s">
        <v>1991</v>
      </c>
      <c r="T2376" s="263" t="s">
        <v>934</v>
      </c>
      <c r="U2376" s="304" t="s">
        <v>5592</v>
      </c>
      <c r="V2376" s="304" t="s">
        <v>7818</v>
      </c>
      <c r="Y2376" s="576">
        <v>0.74497685185185192</v>
      </c>
      <c r="Z2376" s="576">
        <v>0.81601851851851848</v>
      </c>
      <c r="AA2376" s="576">
        <f t="shared" si="250"/>
        <v>7.1041666666666559E-2</v>
      </c>
      <c r="AB2376" s="722" t="s">
        <v>7817</v>
      </c>
    </row>
    <row r="2377" spans="1:28" x14ac:dyDescent="0.35">
      <c r="A2377" s="98" t="s">
        <v>7810</v>
      </c>
      <c r="C2377" s="83">
        <v>43948</v>
      </c>
      <c r="D2377" s="112">
        <v>43998</v>
      </c>
      <c r="E2377" s="83">
        <v>43980</v>
      </c>
      <c r="F2377" s="721" t="s">
        <v>7811</v>
      </c>
      <c r="G2377" s="99" t="s">
        <v>154</v>
      </c>
      <c r="H2377" s="98" t="s">
        <v>220</v>
      </c>
      <c r="I2377" s="98" t="s">
        <v>648</v>
      </c>
      <c r="J2377" s="75">
        <f t="shared" si="248"/>
        <v>1</v>
      </c>
      <c r="K2377" s="263" t="s">
        <v>211</v>
      </c>
      <c r="L2377" s="99" t="s">
        <v>7804</v>
      </c>
      <c r="N2377" s="78" t="s">
        <v>17</v>
      </c>
      <c r="Q2377" s="78" t="s">
        <v>2163</v>
      </c>
      <c r="R2377" s="75">
        <f t="shared" si="249"/>
        <v>1</v>
      </c>
      <c r="S2377" s="263" t="s">
        <v>1991</v>
      </c>
      <c r="T2377" s="263" t="s">
        <v>932</v>
      </c>
      <c r="Y2377" s="576">
        <v>0.46206018518518516</v>
      </c>
      <c r="Z2377" s="576">
        <v>0.47234953703703703</v>
      </c>
      <c r="AA2377" s="576">
        <f t="shared" si="250"/>
        <v>1.0289351851851869E-2</v>
      </c>
      <c r="AB2377" s="722"/>
    </row>
    <row r="2378" spans="1:28" x14ac:dyDescent="0.35">
      <c r="A2378" s="98" t="s">
        <v>7826</v>
      </c>
      <c r="C2378" s="83">
        <v>43937</v>
      </c>
      <c r="D2378" s="112">
        <v>43998</v>
      </c>
      <c r="E2378" s="83">
        <v>43983</v>
      </c>
      <c r="F2378" s="127" t="s">
        <v>7827</v>
      </c>
      <c r="G2378" s="99" t="s">
        <v>154</v>
      </c>
      <c r="H2378" s="98" t="s">
        <v>220</v>
      </c>
      <c r="I2378" s="98" t="s">
        <v>652</v>
      </c>
      <c r="J2378" s="75">
        <f t="shared" si="248"/>
        <v>1</v>
      </c>
      <c r="K2378" s="76" t="s">
        <v>211</v>
      </c>
      <c r="L2378" s="99" t="s">
        <v>7572</v>
      </c>
      <c r="N2378" s="78" t="s">
        <v>18</v>
      </c>
      <c r="Q2378" s="304" t="s">
        <v>2056</v>
      </c>
      <c r="R2378" s="75">
        <f t="shared" si="249"/>
        <v>1</v>
      </c>
      <c r="S2378" s="263" t="s">
        <v>1991</v>
      </c>
      <c r="T2378" s="263" t="s">
        <v>933</v>
      </c>
      <c r="Y2378" s="576">
        <v>0.49614583333333334</v>
      </c>
      <c r="Z2378" s="576">
        <v>0.50075231481481486</v>
      </c>
      <c r="AA2378" s="576">
        <f t="shared" si="250"/>
        <v>4.6064814814815169E-3</v>
      </c>
      <c r="AB2378" s="722" t="s">
        <v>7816</v>
      </c>
    </row>
    <row r="2379" spans="1:28" x14ac:dyDescent="0.35">
      <c r="A2379" s="81" t="s">
        <v>7841</v>
      </c>
      <c r="C2379" s="118">
        <v>43913</v>
      </c>
      <c r="D2379" s="318">
        <v>44000</v>
      </c>
      <c r="E2379" s="83">
        <v>43990</v>
      </c>
      <c r="F2379" s="88" t="s">
        <v>7922</v>
      </c>
      <c r="G2379" s="88" t="s">
        <v>168</v>
      </c>
      <c r="H2379" s="98" t="s">
        <v>220</v>
      </c>
      <c r="I2379" s="98" t="s">
        <v>656</v>
      </c>
      <c r="J2379" s="75">
        <f t="shared" si="248"/>
        <v>1</v>
      </c>
      <c r="K2379" s="76" t="s">
        <v>211</v>
      </c>
      <c r="L2379" s="99" t="s">
        <v>8101</v>
      </c>
      <c r="N2379" s="78" t="s">
        <v>17</v>
      </c>
      <c r="Q2379" s="78" t="s">
        <v>2097</v>
      </c>
      <c r="R2379" s="75">
        <f t="shared" si="249"/>
        <v>1</v>
      </c>
      <c r="S2379" s="263" t="s">
        <v>1991</v>
      </c>
      <c r="T2379" s="263" t="s">
        <v>932</v>
      </c>
      <c r="U2379" s="304" t="s">
        <v>5592</v>
      </c>
      <c r="V2379" s="304" t="s">
        <v>8065</v>
      </c>
      <c r="Y2379" s="576">
        <v>0.46325231481481483</v>
      </c>
      <c r="Z2379" s="576">
        <v>0.49532407407407408</v>
      </c>
      <c r="AA2379" s="576">
        <f t="shared" si="250"/>
        <v>3.2071759259259258E-2</v>
      </c>
      <c r="AB2379" s="722"/>
    </row>
    <row r="2380" spans="1:28" x14ac:dyDescent="0.35">
      <c r="A2380" s="81" t="s">
        <v>6585</v>
      </c>
      <c r="C2380" s="118">
        <v>43928</v>
      </c>
      <c r="D2380" s="318">
        <v>43998</v>
      </c>
      <c r="E2380" s="83">
        <v>43990</v>
      </c>
      <c r="F2380" s="88" t="s">
        <v>6710</v>
      </c>
      <c r="G2380" s="88" t="s">
        <v>1692</v>
      </c>
      <c r="H2380" s="98" t="s">
        <v>220</v>
      </c>
      <c r="I2380" s="98" t="s">
        <v>722</v>
      </c>
      <c r="J2380" s="75">
        <f t="shared" si="248"/>
        <v>1</v>
      </c>
      <c r="K2380" s="76" t="s">
        <v>211</v>
      </c>
      <c r="L2380" s="99" t="s">
        <v>7527</v>
      </c>
      <c r="N2380" s="78" t="s">
        <v>18</v>
      </c>
      <c r="Q2380" s="78" t="s">
        <v>2130</v>
      </c>
      <c r="R2380" s="75">
        <f t="shared" si="249"/>
        <v>1</v>
      </c>
      <c r="S2380" s="263" t="s">
        <v>1991</v>
      </c>
      <c r="T2380" s="263" t="s">
        <v>933</v>
      </c>
      <c r="Y2380" s="576">
        <v>0.43775462962962958</v>
      </c>
      <c r="Z2380" s="576">
        <v>0.44056712962962963</v>
      </c>
      <c r="AA2380" s="576">
        <f t="shared" si="250"/>
        <v>2.8125000000000511E-3</v>
      </c>
      <c r="AB2380" s="722"/>
    </row>
    <row r="2381" spans="1:28" x14ac:dyDescent="0.35">
      <c r="A2381" s="81" t="s">
        <v>6589</v>
      </c>
      <c r="C2381" s="118">
        <v>43928</v>
      </c>
      <c r="D2381" s="318">
        <v>43998</v>
      </c>
      <c r="E2381" s="83">
        <v>43990</v>
      </c>
      <c r="F2381" s="88" t="s">
        <v>6714</v>
      </c>
      <c r="G2381" s="88" t="s">
        <v>158</v>
      </c>
      <c r="H2381" s="98" t="s">
        <v>220</v>
      </c>
      <c r="I2381" s="98" t="s">
        <v>1645</v>
      </c>
      <c r="J2381" s="75">
        <f t="shared" si="248"/>
        <v>1</v>
      </c>
      <c r="K2381" s="76" t="s">
        <v>211</v>
      </c>
      <c r="L2381" s="99" t="s">
        <v>8226</v>
      </c>
      <c r="N2381" s="78" t="s">
        <v>17</v>
      </c>
      <c r="Q2381" s="78" t="s">
        <v>2130</v>
      </c>
      <c r="R2381" s="75">
        <f t="shared" si="249"/>
        <v>1</v>
      </c>
      <c r="S2381" s="263" t="s">
        <v>1991</v>
      </c>
      <c r="T2381" s="263" t="s">
        <v>933</v>
      </c>
      <c r="U2381" s="304"/>
      <c r="V2381" s="304"/>
      <c r="Y2381" s="576">
        <v>0.44081018518518517</v>
      </c>
      <c r="Z2381" s="576">
        <v>0.4524305555555555</v>
      </c>
      <c r="AA2381" s="576">
        <f t="shared" si="250"/>
        <v>1.1620370370370336E-2</v>
      </c>
      <c r="AB2381" s="722"/>
    </row>
    <row r="2382" spans="1:28" x14ac:dyDescent="0.35">
      <c r="A2382" s="81" t="s">
        <v>6593</v>
      </c>
      <c r="C2382" s="118">
        <v>43928</v>
      </c>
      <c r="D2382" s="318">
        <v>43998</v>
      </c>
      <c r="E2382" s="83">
        <v>43990</v>
      </c>
      <c r="F2382" s="88" t="s">
        <v>6718</v>
      </c>
      <c r="G2382" s="88" t="s">
        <v>149</v>
      </c>
      <c r="H2382" s="98" t="s">
        <v>220</v>
      </c>
      <c r="I2382" s="98" t="s">
        <v>649</v>
      </c>
      <c r="J2382" s="75">
        <f t="shared" si="248"/>
        <v>1</v>
      </c>
      <c r="K2382" s="76" t="s">
        <v>211</v>
      </c>
      <c r="L2382" s="99" t="s">
        <v>7565</v>
      </c>
      <c r="N2382" s="78" t="s">
        <v>18</v>
      </c>
      <c r="Q2382" s="78" t="s">
        <v>2130</v>
      </c>
      <c r="R2382" s="75">
        <f t="shared" si="249"/>
        <v>1</v>
      </c>
      <c r="S2382" s="263" t="s">
        <v>1991</v>
      </c>
      <c r="T2382" s="263" t="s">
        <v>932</v>
      </c>
      <c r="Y2382" s="576">
        <v>0.40733796296296299</v>
      </c>
      <c r="Z2382" s="576">
        <v>0.41130787037037037</v>
      </c>
      <c r="AA2382" s="576">
        <f t="shared" si="250"/>
        <v>3.9699074074073804E-3</v>
      </c>
      <c r="AB2382" s="722"/>
    </row>
    <row r="2383" spans="1:28" x14ac:dyDescent="0.35">
      <c r="A2383" s="81" t="s">
        <v>7280</v>
      </c>
      <c r="C2383" s="118">
        <v>43928</v>
      </c>
      <c r="D2383" s="318">
        <v>43998</v>
      </c>
      <c r="E2383" s="83">
        <v>43985</v>
      </c>
      <c r="F2383" s="88" t="s">
        <v>7401</v>
      </c>
      <c r="G2383" s="88" t="s">
        <v>170</v>
      </c>
      <c r="H2383" s="98" t="s">
        <v>220</v>
      </c>
      <c r="I2383" s="98" t="s">
        <v>722</v>
      </c>
      <c r="J2383" s="75">
        <f t="shared" si="248"/>
        <v>1</v>
      </c>
      <c r="K2383" s="76" t="s">
        <v>211</v>
      </c>
      <c r="L2383" s="99" t="s">
        <v>7791</v>
      </c>
      <c r="N2383" s="78" t="s">
        <v>17</v>
      </c>
      <c r="Q2383" s="78" t="s">
        <v>2097</v>
      </c>
      <c r="R2383" s="75">
        <f t="shared" si="249"/>
        <v>1</v>
      </c>
      <c r="S2383" s="263" t="s">
        <v>1991</v>
      </c>
      <c r="T2383" s="263" t="s">
        <v>933</v>
      </c>
      <c r="Y2383" s="576">
        <v>0.48473379629629632</v>
      </c>
      <c r="Z2383" s="576">
        <v>0.51918981481481474</v>
      </c>
      <c r="AA2383" s="576">
        <f t="shared" si="250"/>
        <v>3.4456018518518428E-2</v>
      </c>
      <c r="AB2383" s="722"/>
    </row>
    <row r="2384" spans="1:28" x14ac:dyDescent="0.35">
      <c r="A2384" s="81" t="s">
        <v>7282</v>
      </c>
      <c r="C2384" s="118">
        <v>43928</v>
      </c>
      <c r="D2384" s="318">
        <v>43998</v>
      </c>
      <c r="E2384" s="83">
        <v>43985</v>
      </c>
      <c r="F2384" s="88" t="s">
        <v>7403</v>
      </c>
      <c r="G2384" s="88" t="s">
        <v>158</v>
      </c>
      <c r="H2384" s="98" t="s">
        <v>220</v>
      </c>
      <c r="I2384" s="98" t="s">
        <v>649</v>
      </c>
      <c r="J2384" s="75">
        <f t="shared" si="248"/>
        <v>1</v>
      </c>
      <c r="K2384" s="76" t="s">
        <v>211</v>
      </c>
      <c r="L2384" s="99" t="s">
        <v>7565</v>
      </c>
      <c r="N2384" s="78" t="s">
        <v>18</v>
      </c>
      <c r="Q2384" s="78" t="s">
        <v>2097</v>
      </c>
      <c r="R2384" s="75">
        <f t="shared" si="249"/>
        <v>1</v>
      </c>
      <c r="S2384" s="263" t="s">
        <v>1991</v>
      </c>
      <c r="T2384" s="263" t="s">
        <v>932</v>
      </c>
      <c r="Y2384" s="576">
        <v>0.57371527777777775</v>
      </c>
      <c r="Z2384" s="576">
        <v>0.59502314814814816</v>
      </c>
      <c r="AA2384" s="576">
        <f t="shared" si="250"/>
        <v>2.1307870370370408E-2</v>
      </c>
      <c r="AB2384" s="722"/>
    </row>
    <row r="2385" spans="1:28" x14ac:dyDescent="0.35">
      <c r="A2385" s="81" t="s">
        <v>6603</v>
      </c>
      <c r="C2385" s="118">
        <v>43928</v>
      </c>
      <c r="D2385" s="318">
        <v>43998</v>
      </c>
      <c r="E2385" s="83">
        <v>43990</v>
      </c>
      <c r="F2385" s="88" t="s">
        <v>6728</v>
      </c>
      <c r="G2385" s="88" t="s">
        <v>417</v>
      </c>
      <c r="H2385" s="98" t="s">
        <v>220</v>
      </c>
      <c r="I2385" s="98" t="s">
        <v>648</v>
      </c>
      <c r="J2385" s="75">
        <f t="shared" si="248"/>
        <v>1</v>
      </c>
      <c r="K2385" s="76" t="s">
        <v>211</v>
      </c>
      <c r="L2385" s="99" t="s">
        <v>7527</v>
      </c>
      <c r="N2385" s="78" t="s">
        <v>17</v>
      </c>
      <c r="Q2385" s="78" t="s">
        <v>2130</v>
      </c>
      <c r="R2385" s="75">
        <f t="shared" si="249"/>
        <v>1</v>
      </c>
      <c r="S2385" s="263" t="s">
        <v>1991</v>
      </c>
      <c r="T2385" s="263" t="s">
        <v>933</v>
      </c>
      <c r="U2385" s="304" t="s">
        <v>5592</v>
      </c>
      <c r="V2385" s="304" t="s">
        <v>8063</v>
      </c>
      <c r="Y2385" s="576">
        <v>0.43027777777777776</v>
      </c>
      <c r="Z2385" s="576">
        <v>0.43740740740740741</v>
      </c>
      <c r="AA2385" s="576">
        <f t="shared" si="250"/>
        <v>7.1296296296296524E-3</v>
      </c>
      <c r="AB2385" s="722"/>
    </row>
    <row r="2386" spans="1:28" x14ac:dyDescent="0.35">
      <c r="A2386" s="81" t="s">
        <v>6608</v>
      </c>
      <c r="C2386" s="118">
        <v>43928</v>
      </c>
      <c r="D2386" s="318">
        <v>43998</v>
      </c>
      <c r="E2386" s="83">
        <v>43990</v>
      </c>
      <c r="F2386" s="88" t="s">
        <v>6733</v>
      </c>
      <c r="G2386" s="88" t="s">
        <v>176</v>
      </c>
      <c r="H2386" s="98" t="s">
        <v>220</v>
      </c>
      <c r="I2386" s="98" t="s">
        <v>722</v>
      </c>
      <c r="J2386" s="75">
        <f t="shared" si="248"/>
        <v>1</v>
      </c>
      <c r="K2386" s="76" t="s">
        <v>211</v>
      </c>
      <c r="L2386" s="99" t="s">
        <v>7526</v>
      </c>
      <c r="N2386" s="78" t="s">
        <v>18</v>
      </c>
      <c r="Q2386" s="78" t="s">
        <v>2130</v>
      </c>
      <c r="R2386" s="75">
        <f t="shared" si="249"/>
        <v>1</v>
      </c>
      <c r="S2386" s="263" t="s">
        <v>1991</v>
      </c>
      <c r="T2386" s="263" t="s">
        <v>933</v>
      </c>
      <c r="Y2386" s="576">
        <v>0.41172453703703704</v>
      </c>
      <c r="Z2386" s="576">
        <v>0.41572916666666665</v>
      </c>
      <c r="AA2386" s="576">
        <f t="shared" si="250"/>
        <v>4.004629629629608E-3</v>
      </c>
      <c r="AB2386" s="722"/>
    </row>
    <row r="2387" spans="1:28" x14ac:dyDescent="0.35">
      <c r="A2387" s="98" t="s">
        <v>7284</v>
      </c>
      <c r="C2387" s="118">
        <v>43928</v>
      </c>
      <c r="D2387" s="318">
        <v>43998</v>
      </c>
      <c r="E2387" s="83">
        <v>43985</v>
      </c>
      <c r="F2387" s="88" t="s">
        <v>7405</v>
      </c>
      <c r="G2387" s="88" t="s">
        <v>186</v>
      </c>
      <c r="H2387" s="98" t="s">
        <v>220</v>
      </c>
      <c r="I2387" s="98" t="s">
        <v>722</v>
      </c>
      <c r="J2387" s="75">
        <f t="shared" si="248"/>
        <v>1</v>
      </c>
      <c r="K2387" s="76" t="s">
        <v>211</v>
      </c>
      <c r="L2387" s="99" t="s">
        <v>7527</v>
      </c>
      <c r="N2387" s="78" t="s">
        <v>18</v>
      </c>
      <c r="Q2387" s="78" t="s">
        <v>2097</v>
      </c>
      <c r="R2387" s="75">
        <f t="shared" si="249"/>
        <v>1</v>
      </c>
      <c r="S2387" s="263" t="s">
        <v>1991</v>
      </c>
      <c r="T2387" s="263" t="s">
        <v>934</v>
      </c>
      <c r="U2387" s="304" t="s">
        <v>5592</v>
      </c>
      <c r="V2387" s="304" t="s">
        <v>8039</v>
      </c>
      <c r="Y2387" s="576">
        <v>0.74887731481481479</v>
      </c>
      <c r="Z2387" s="576">
        <v>0.75825231481481481</v>
      </c>
      <c r="AA2387" s="576">
        <f t="shared" si="250"/>
        <v>9.3750000000000222E-3</v>
      </c>
      <c r="AB2387" s="722"/>
    </row>
    <row r="2388" spans="1:28" x14ac:dyDescent="0.35">
      <c r="A2388" s="81" t="s">
        <v>6613</v>
      </c>
      <c r="C2388" s="118">
        <v>43928</v>
      </c>
      <c r="D2388" s="318">
        <v>43998</v>
      </c>
      <c r="E2388" s="83">
        <v>43990</v>
      </c>
      <c r="F2388" s="88" t="s">
        <v>6738</v>
      </c>
      <c r="G2388" s="88" t="s">
        <v>149</v>
      </c>
      <c r="H2388" s="98" t="s">
        <v>220</v>
      </c>
      <c r="I2388" s="98" t="s">
        <v>648</v>
      </c>
      <c r="J2388" s="75">
        <f t="shared" si="248"/>
        <v>1</v>
      </c>
      <c r="K2388" s="76" t="s">
        <v>211</v>
      </c>
      <c r="L2388" s="99" t="s">
        <v>7791</v>
      </c>
      <c r="N2388" s="78" t="s">
        <v>18</v>
      </c>
      <c r="Q2388" s="78" t="s">
        <v>2130</v>
      </c>
      <c r="R2388" s="75">
        <f t="shared" si="249"/>
        <v>1</v>
      </c>
      <c r="S2388" s="263" t="s">
        <v>1991</v>
      </c>
      <c r="T2388" s="263" t="s">
        <v>934</v>
      </c>
      <c r="Y2388" s="576">
        <v>0.41618055555555555</v>
      </c>
      <c r="Z2388" s="576">
        <v>0.4231712962962963</v>
      </c>
      <c r="AA2388" s="576">
        <f t="shared" si="250"/>
        <v>6.9907407407407418E-3</v>
      </c>
      <c r="AB2388" s="722"/>
    </row>
    <row r="2389" spans="1:28" x14ac:dyDescent="0.35">
      <c r="A2389" s="81" t="s">
        <v>6618</v>
      </c>
      <c r="C2389" s="118">
        <v>43928</v>
      </c>
      <c r="D2389" s="318">
        <v>43998</v>
      </c>
      <c r="E2389" s="83">
        <v>43990</v>
      </c>
      <c r="F2389" s="88" t="s">
        <v>6743</v>
      </c>
      <c r="G2389" s="88" t="s">
        <v>158</v>
      </c>
      <c r="H2389" s="98" t="s">
        <v>220</v>
      </c>
      <c r="I2389" s="98" t="s">
        <v>730</v>
      </c>
      <c r="J2389" s="75">
        <f t="shared" si="248"/>
        <v>1</v>
      </c>
      <c r="K2389" s="76" t="s">
        <v>211</v>
      </c>
      <c r="L2389" s="99" t="s">
        <v>7813</v>
      </c>
      <c r="N2389" s="78" t="s">
        <v>17</v>
      </c>
      <c r="Q2389" s="78" t="s">
        <v>2130</v>
      </c>
      <c r="R2389" s="75">
        <f t="shared" si="249"/>
        <v>1</v>
      </c>
      <c r="S2389" s="263" t="s">
        <v>1991</v>
      </c>
      <c r="T2389" s="263" t="s">
        <v>932</v>
      </c>
      <c r="Y2389" s="576">
        <v>0.42334490740740738</v>
      </c>
      <c r="Z2389" s="576">
        <v>0.43002314814814818</v>
      </c>
      <c r="AA2389" s="576">
        <f t="shared" si="250"/>
        <v>6.678240740740804E-3</v>
      </c>
      <c r="AB2389" s="722"/>
    </row>
    <row r="2390" spans="1:28" x14ac:dyDescent="0.35">
      <c r="A2390" s="81" t="s">
        <v>6622</v>
      </c>
      <c r="C2390" s="118">
        <v>43929</v>
      </c>
      <c r="D2390" s="318">
        <v>43998</v>
      </c>
      <c r="E2390" s="83">
        <v>43984</v>
      </c>
      <c r="F2390" s="88" t="s">
        <v>6747</v>
      </c>
      <c r="G2390" s="88" t="s">
        <v>176</v>
      </c>
      <c r="H2390" s="98" t="s">
        <v>220</v>
      </c>
      <c r="I2390" s="98" t="s">
        <v>763</v>
      </c>
      <c r="J2390" s="75">
        <f t="shared" si="248"/>
        <v>1</v>
      </c>
      <c r="K2390" s="76" t="s">
        <v>211</v>
      </c>
      <c r="L2390" s="99" t="s">
        <v>8002</v>
      </c>
      <c r="N2390" s="78" t="s">
        <v>17</v>
      </c>
      <c r="Q2390" s="78" t="s">
        <v>2056</v>
      </c>
      <c r="R2390" s="75">
        <f t="shared" si="249"/>
        <v>1</v>
      </c>
      <c r="S2390" s="263" t="s">
        <v>1991</v>
      </c>
      <c r="T2390" s="263" t="s">
        <v>933</v>
      </c>
      <c r="Y2390" s="576">
        <v>0.3973842592592593</v>
      </c>
      <c r="Z2390" s="576">
        <v>0.40843750000000001</v>
      </c>
      <c r="AA2390" s="576">
        <f t="shared" si="250"/>
        <v>1.1053240740740711E-2</v>
      </c>
      <c r="AB2390" s="722"/>
    </row>
    <row r="2391" spans="1:28" x14ac:dyDescent="0.35">
      <c r="A2391" s="81" t="s">
        <v>6633</v>
      </c>
      <c r="C2391" s="118">
        <v>43930</v>
      </c>
      <c r="D2391" s="318">
        <v>43998</v>
      </c>
      <c r="E2391" s="83">
        <v>43987</v>
      </c>
      <c r="F2391" s="88" t="s">
        <v>6759</v>
      </c>
      <c r="G2391" s="88" t="s">
        <v>149</v>
      </c>
      <c r="H2391" s="98" t="s">
        <v>220</v>
      </c>
      <c r="I2391" s="98" t="s">
        <v>649</v>
      </c>
      <c r="J2391" s="75">
        <f t="shared" ref="J2391:J2437" si="251">IF(OR(K2391="Документы готовы",K2391="Запрос в ФО",K2391="ЭЗ",K2391="РЕШ",K2391="РЕШ шаблон"),0.1,IF(OR(K2391="ЭЗ согласование",K2391="РЕШ согласование"),0.3,IF(OR(K2391="ЭЗ согласовано",K2391="РЕШ согласовано",K2391="РЕШ подписано"),0.6,IF(OR(K2391="ЭЗ ПР согласование",K2391="РЕШ УВ согласование"),0.9,IF(OR(K2391="ЭЗ ПР DONE",K2391="РЕШ УВ DONE"),1,0)))))</f>
        <v>1</v>
      </c>
      <c r="K2391" s="76" t="s">
        <v>211</v>
      </c>
      <c r="L2391" s="99" t="s">
        <v>7565</v>
      </c>
      <c r="N2391" s="78" t="s">
        <v>18</v>
      </c>
      <c r="Q2391" s="78" t="s">
        <v>2130</v>
      </c>
      <c r="R2391" s="75">
        <f t="shared" ref="R2391:R2437" si="252">IF(S2391="В работе",0.3,IF(S2391="Отписано",0.6,IF(S2391="На доработку",0.9,IF(S2391="Согласовано",1,0))))</f>
        <v>1</v>
      </c>
      <c r="S2391" s="263" t="s">
        <v>1991</v>
      </c>
      <c r="T2391" s="263" t="s">
        <v>934</v>
      </c>
      <c r="Y2391" s="576">
        <v>0.76834490740740735</v>
      </c>
      <c r="Z2391" s="576">
        <v>0.77527777777777773</v>
      </c>
      <c r="AA2391" s="576">
        <f t="shared" ref="AA2391:AA2437" si="253">Z2391-Y2391</f>
        <v>6.9328703703703809E-3</v>
      </c>
      <c r="AB2391" s="722"/>
    </row>
    <row r="2392" spans="1:28" x14ac:dyDescent="0.35">
      <c r="A2392" s="81" t="s">
        <v>6637</v>
      </c>
      <c r="C2392" s="118">
        <v>43930</v>
      </c>
      <c r="D2392" s="318">
        <v>43998</v>
      </c>
      <c r="E2392" s="83">
        <v>43990</v>
      </c>
      <c r="F2392" s="88" t="s">
        <v>6763</v>
      </c>
      <c r="G2392" s="88" t="s">
        <v>152</v>
      </c>
      <c r="H2392" s="98" t="s">
        <v>220</v>
      </c>
      <c r="I2392" s="98" t="s">
        <v>652</v>
      </c>
      <c r="J2392" s="75">
        <f t="shared" si="251"/>
        <v>1</v>
      </c>
      <c r="K2392" s="76" t="s">
        <v>211</v>
      </c>
      <c r="L2392" s="99" t="s">
        <v>8062</v>
      </c>
      <c r="N2392" s="78" t="s">
        <v>17</v>
      </c>
      <c r="Q2392" s="78" t="s">
        <v>2130</v>
      </c>
      <c r="R2392" s="75">
        <f t="shared" si="252"/>
        <v>1</v>
      </c>
      <c r="S2392" s="263" t="s">
        <v>1991</v>
      </c>
      <c r="T2392" s="263" t="s">
        <v>933</v>
      </c>
      <c r="X2392" s="304" t="s">
        <v>8218</v>
      </c>
      <c r="Y2392" s="576">
        <v>0.3964699074074074</v>
      </c>
      <c r="Z2392" s="576">
        <v>0.4070833333333333</v>
      </c>
      <c r="AA2392" s="576">
        <f t="shared" si="253"/>
        <v>1.0613425925925901E-2</v>
      </c>
      <c r="AB2392" s="722"/>
    </row>
    <row r="2393" spans="1:28" x14ac:dyDescent="0.35">
      <c r="A2393" s="81" t="s">
        <v>6639</v>
      </c>
      <c r="C2393" s="118">
        <v>43930</v>
      </c>
      <c r="D2393" s="318">
        <v>43998</v>
      </c>
      <c r="E2393" s="83">
        <v>43987</v>
      </c>
      <c r="F2393" s="88" t="s">
        <v>6765</v>
      </c>
      <c r="G2393" s="88" t="s">
        <v>156</v>
      </c>
      <c r="H2393" s="98" t="s">
        <v>220</v>
      </c>
      <c r="I2393" s="98" t="s">
        <v>4764</v>
      </c>
      <c r="J2393" s="75">
        <f t="shared" si="251"/>
        <v>1</v>
      </c>
      <c r="K2393" s="76" t="s">
        <v>211</v>
      </c>
      <c r="L2393" s="99" t="s">
        <v>8056</v>
      </c>
      <c r="N2393" s="78" t="s">
        <v>17</v>
      </c>
      <c r="Q2393" s="78" t="s">
        <v>2130</v>
      </c>
      <c r="R2393" s="75">
        <f t="shared" si="252"/>
        <v>1</v>
      </c>
      <c r="S2393" s="263" t="s">
        <v>1991</v>
      </c>
      <c r="T2393" s="263" t="s">
        <v>933</v>
      </c>
      <c r="Y2393" s="576">
        <v>0.74445601851851861</v>
      </c>
      <c r="Z2393" s="576">
        <v>0.75224537037037031</v>
      </c>
      <c r="AA2393" s="576">
        <f t="shared" si="253"/>
        <v>7.7893518518517002E-3</v>
      </c>
      <c r="AB2393" s="722"/>
    </row>
    <row r="2394" spans="1:28" x14ac:dyDescent="0.35">
      <c r="A2394" s="81" t="s">
        <v>7288</v>
      </c>
      <c r="C2394" s="118">
        <v>43931</v>
      </c>
      <c r="D2394" s="318">
        <v>43998</v>
      </c>
      <c r="E2394" s="83">
        <v>43984</v>
      </c>
      <c r="F2394" s="88" t="s">
        <v>7409</v>
      </c>
      <c r="G2394" s="88" t="s">
        <v>154</v>
      </c>
      <c r="H2394" s="98" t="s">
        <v>220</v>
      </c>
      <c r="I2394" s="98" t="s">
        <v>722</v>
      </c>
      <c r="J2394" s="75">
        <f t="shared" si="251"/>
        <v>1</v>
      </c>
      <c r="K2394" s="76" t="s">
        <v>211</v>
      </c>
      <c r="L2394" s="99" t="s">
        <v>8010</v>
      </c>
      <c r="N2394" s="78" t="s">
        <v>17</v>
      </c>
      <c r="Q2394" s="78" t="s">
        <v>2447</v>
      </c>
      <c r="R2394" s="75">
        <f t="shared" si="252"/>
        <v>1</v>
      </c>
      <c r="S2394" s="263" t="s">
        <v>1991</v>
      </c>
      <c r="T2394" s="263" t="s">
        <v>933</v>
      </c>
      <c r="Y2394" s="576">
        <v>0.61474537037037036</v>
      </c>
      <c r="Z2394" s="576">
        <v>0.62922453703703707</v>
      </c>
      <c r="AA2394" s="576">
        <f t="shared" si="253"/>
        <v>1.447916666666671E-2</v>
      </c>
      <c r="AB2394" s="722"/>
    </row>
    <row r="2395" spans="1:28" x14ac:dyDescent="0.35">
      <c r="A2395" s="81" t="s">
        <v>6841</v>
      </c>
      <c r="C2395" s="118">
        <v>43931</v>
      </c>
      <c r="D2395" s="318">
        <v>43998</v>
      </c>
      <c r="E2395" s="83">
        <v>43987</v>
      </c>
      <c r="F2395" s="88" t="s">
        <v>6869</v>
      </c>
      <c r="G2395" s="88" t="s">
        <v>149</v>
      </c>
      <c r="H2395" s="98" t="s">
        <v>220</v>
      </c>
      <c r="I2395" s="98" t="s">
        <v>722</v>
      </c>
      <c r="J2395" s="75">
        <f t="shared" si="251"/>
        <v>1</v>
      </c>
      <c r="K2395" s="76" t="s">
        <v>211</v>
      </c>
      <c r="L2395" s="99" t="s">
        <v>7526</v>
      </c>
      <c r="N2395" s="78" t="s">
        <v>17</v>
      </c>
      <c r="Q2395" s="78" t="s">
        <v>2130</v>
      </c>
      <c r="R2395" s="75">
        <f t="shared" si="252"/>
        <v>1</v>
      </c>
      <c r="S2395" s="263" t="s">
        <v>1991</v>
      </c>
      <c r="T2395" s="263" t="s">
        <v>932</v>
      </c>
      <c r="Y2395" s="576">
        <v>0.75261574074074078</v>
      </c>
      <c r="Z2395" s="576">
        <v>0.75813657407407409</v>
      </c>
      <c r="AA2395" s="576">
        <f t="shared" si="253"/>
        <v>5.5208333333333082E-3</v>
      </c>
      <c r="AB2395" s="722"/>
    </row>
    <row r="2396" spans="1:28" x14ac:dyDescent="0.35">
      <c r="A2396" s="81" t="s">
        <v>7290</v>
      </c>
      <c r="C2396" s="118">
        <v>43934</v>
      </c>
      <c r="D2396" s="318">
        <v>43998</v>
      </c>
      <c r="E2396" s="83">
        <v>43992</v>
      </c>
      <c r="F2396" s="88" t="s">
        <v>7411</v>
      </c>
      <c r="G2396" s="88" t="s">
        <v>195</v>
      </c>
      <c r="H2396" s="98" t="s">
        <v>220</v>
      </c>
      <c r="I2396" s="98" t="s">
        <v>722</v>
      </c>
      <c r="J2396" s="75">
        <f t="shared" si="251"/>
        <v>1</v>
      </c>
      <c r="K2396" s="76" t="s">
        <v>211</v>
      </c>
      <c r="L2396" s="99" t="s">
        <v>7527</v>
      </c>
      <c r="N2396" s="78" t="s">
        <v>18</v>
      </c>
      <c r="Q2396" s="78" t="s">
        <v>2130</v>
      </c>
      <c r="R2396" s="75">
        <f t="shared" si="252"/>
        <v>1</v>
      </c>
      <c r="S2396" s="263" t="s">
        <v>1991</v>
      </c>
      <c r="T2396" s="263" t="s">
        <v>932</v>
      </c>
      <c r="Y2396" s="576">
        <v>0.51288194444444446</v>
      </c>
      <c r="Z2396" s="576">
        <v>0.51631944444444444</v>
      </c>
      <c r="AA2396" s="576">
        <f t="shared" si="253"/>
        <v>3.4374999999999822E-3</v>
      </c>
      <c r="AB2396" s="722"/>
    </row>
    <row r="2397" spans="1:28" x14ac:dyDescent="0.35">
      <c r="A2397" s="81" t="s">
        <v>7291</v>
      </c>
      <c r="C2397" s="118">
        <v>43934</v>
      </c>
      <c r="D2397" s="318">
        <v>43998</v>
      </c>
      <c r="E2397" s="83">
        <v>43984</v>
      </c>
      <c r="F2397" s="88" t="s">
        <v>7412</v>
      </c>
      <c r="G2397" s="88" t="s">
        <v>417</v>
      </c>
      <c r="H2397" s="98" t="s">
        <v>220</v>
      </c>
      <c r="I2397" s="98" t="s">
        <v>722</v>
      </c>
      <c r="J2397" s="75">
        <f t="shared" si="251"/>
        <v>1</v>
      </c>
      <c r="K2397" s="76" t="s">
        <v>211</v>
      </c>
      <c r="L2397" s="99" t="s">
        <v>7527</v>
      </c>
      <c r="N2397" s="78" t="s">
        <v>17</v>
      </c>
      <c r="Q2397" s="78" t="s">
        <v>2447</v>
      </c>
      <c r="R2397" s="75">
        <f t="shared" si="252"/>
        <v>1</v>
      </c>
      <c r="S2397" s="263" t="s">
        <v>1991</v>
      </c>
      <c r="T2397" s="263" t="s">
        <v>932</v>
      </c>
      <c r="Y2397" s="576">
        <v>0.62993055555555555</v>
      </c>
      <c r="Z2397" s="576">
        <v>0.63620370370370372</v>
      </c>
      <c r="AA2397" s="576">
        <f t="shared" si="253"/>
        <v>6.2731481481481666E-3</v>
      </c>
      <c r="AB2397" s="722"/>
    </row>
    <row r="2398" spans="1:28" x14ac:dyDescent="0.35">
      <c r="A2398" s="81" t="s">
        <v>7292</v>
      </c>
      <c r="C2398" s="118">
        <v>43934</v>
      </c>
      <c r="D2398" s="318">
        <v>43998</v>
      </c>
      <c r="E2398" s="83">
        <v>43984</v>
      </c>
      <c r="F2398" s="88" t="s">
        <v>7413</v>
      </c>
      <c r="G2398" s="88" t="s">
        <v>154</v>
      </c>
      <c r="H2398" s="98" t="s">
        <v>220</v>
      </c>
      <c r="I2398" s="98" t="s">
        <v>722</v>
      </c>
      <c r="J2398" s="75">
        <f t="shared" si="251"/>
        <v>1</v>
      </c>
      <c r="K2398" s="76" t="s">
        <v>211</v>
      </c>
      <c r="L2398" s="99" t="s">
        <v>8012</v>
      </c>
      <c r="N2398" s="78" t="s">
        <v>18</v>
      </c>
      <c r="Q2398" s="78" t="s">
        <v>2447</v>
      </c>
      <c r="R2398" s="75">
        <f t="shared" si="252"/>
        <v>1</v>
      </c>
      <c r="S2398" s="263" t="s">
        <v>1991</v>
      </c>
      <c r="T2398" s="263" t="s">
        <v>932</v>
      </c>
      <c r="Y2398" s="576">
        <v>0.70606481481481476</v>
      </c>
      <c r="Z2398" s="576">
        <v>0.71300925925925929</v>
      </c>
      <c r="AA2398" s="576">
        <f t="shared" si="253"/>
        <v>6.9444444444445308E-3</v>
      </c>
      <c r="AB2398" s="722"/>
    </row>
    <row r="2399" spans="1:28" x14ac:dyDescent="0.35">
      <c r="A2399" s="81" t="s">
        <v>6851</v>
      </c>
      <c r="C2399" s="118">
        <v>43934</v>
      </c>
      <c r="D2399" s="318">
        <v>43998</v>
      </c>
      <c r="E2399" s="83">
        <v>43987</v>
      </c>
      <c r="F2399" s="88" t="s">
        <v>6879</v>
      </c>
      <c r="G2399" s="88" t="s">
        <v>149</v>
      </c>
      <c r="H2399" s="98" t="s">
        <v>220</v>
      </c>
      <c r="I2399" s="98" t="s">
        <v>652</v>
      </c>
      <c r="J2399" s="75">
        <f t="shared" si="251"/>
        <v>1</v>
      </c>
      <c r="K2399" s="76" t="s">
        <v>211</v>
      </c>
      <c r="L2399" s="99" t="s">
        <v>7572</v>
      </c>
      <c r="N2399" s="78" t="s">
        <v>18</v>
      </c>
      <c r="Q2399" s="78" t="s">
        <v>2130</v>
      </c>
      <c r="R2399" s="75">
        <f t="shared" si="252"/>
        <v>1</v>
      </c>
      <c r="S2399" s="263" t="s">
        <v>1991</v>
      </c>
      <c r="T2399" s="263" t="s">
        <v>933</v>
      </c>
      <c r="Y2399" s="576">
        <v>0.73835648148148147</v>
      </c>
      <c r="Z2399" s="576">
        <v>0.74408564814814815</v>
      </c>
      <c r="AA2399" s="576">
        <f t="shared" si="253"/>
        <v>5.7291666666666741E-3</v>
      </c>
      <c r="AB2399" s="722"/>
    </row>
    <row r="2400" spans="1:28" x14ac:dyDescent="0.35">
      <c r="A2400" s="81" t="s">
        <v>7294</v>
      </c>
      <c r="C2400" s="118">
        <v>43934</v>
      </c>
      <c r="D2400" s="318">
        <v>43998</v>
      </c>
      <c r="E2400" s="83">
        <v>43992</v>
      </c>
      <c r="F2400" s="88" t="s">
        <v>7415</v>
      </c>
      <c r="G2400" s="88" t="s">
        <v>195</v>
      </c>
      <c r="H2400" s="98" t="s">
        <v>220</v>
      </c>
      <c r="I2400" s="98" t="s">
        <v>722</v>
      </c>
      <c r="J2400" s="75">
        <f t="shared" si="251"/>
        <v>1</v>
      </c>
      <c r="K2400" s="76" t="s">
        <v>211</v>
      </c>
      <c r="L2400" s="99" t="s">
        <v>8098</v>
      </c>
      <c r="N2400" s="78" t="s">
        <v>17</v>
      </c>
      <c r="Q2400" s="78" t="s">
        <v>2447</v>
      </c>
      <c r="R2400" s="75">
        <f t="shared" si="252"/>
        <v>1</v>
      </c>
      <c r="S2400" s="263" t="s">
        <v>1991</v>
      </c>
      <c r="T2400" s="263" t="s">
        <v>932</v>
      </c>
      <c r="Y2400" s="576">
        <v>0.46197916666666666</v>
      </c>
      <c r="Z2400" s="576">
        <v>0.49341435185185184</v>
      </c>
      <c r="AA2400" s="576">
        <f t="shared" si="253"/>
        <v>3.1435185185185177E-2</v>
      </c>
      <c r="AB2400" s="722"/>
    </row>
    <row r="2401" spans="1:28" x14ac:dyDescent="0.35">
      <c r="A2401" s="81" t="s">
        <v>6857</v>
      </c>
      <c r="C2401" s="118">
        <v>43935</v>
      </c>
      <c r="D2401" s="318">
        <v>43998</v>
      </c>
      <c r="E2401" s="83">
        <v>43984</v>
      </c>
      <c r="F2401" s="88" t="s">
        <v>6885</v>
      </c>
      <c r="G2401" s="88" t="s">
        <v>162</v>
      </c>
      <c r="H2401" s="98" t="s">
        <v>220</v>
      </c>
      <c r="I2401" s="98" t="s">
        <v>722</v>
      </c>
      <c r="J2401" s="75">
        <f t="shared" si="251"/>
        <v>1</v>
      </c>
      <c r="K2401" s="76" t="s">
        <v>211</v>
      </c>
      <c r="L2401" s="99" t="s">
        <v>7527</v>
      </c>
      <c r="N2401" s="78" t="s">
        <v>17</v>
      </c>
      <c r="Q2401" s="78" t="s">
        <v>2130</v>
      </c>
      <c r="R2401" s="75">
        <f t="shared" si="252"/>
        <v>1</v>
      </c>
      <c r="S2401" s="263" t="s">
        <v>1991</v>
      </c>
      <c r="T2401" s="263" t="s">
        <v>932</v>
      </c>
      <c r="Y2401" s="576">
        <v>0.44947916666666665</v>
      </c>
      <c r="Z2401" s="576">
        <v>0.45423611111111112</v>
      </c>
      <c r="AA2401" s="576">
        <f t="shared" si="253"/>
        <v>4.7569444444444664E-3</v>
      </c>
      <c r="AB2401" s="722" t="s">
        <v>7816</v>
      </c>
    </row>
    <row r="2402" spans="1:28" x14ac:dyDescent="0.35">
      <c r="A2402" s="81" t="s">
        <v>6902</v>
      </c>
      <c r="C2402" s="118">
        <v>43935</v>
      </c>
      <c r="D2402" s="318">
        <v>43998</v>
      </c>
      <c r="E2402" s="83">
        <v>43986</v>
      </c>
      <c r="F2402" s="88" t="s">
        <v>6931</v>
      </c>
      <c r="G2402" s="88" t="s">
        <v>152</v>
      </c>
      <c r="H2402" s="98" t="s">
        <v>220</v>
      </c>
      <c r="I2402" s="98" t="s">
        <v>649</v>
      </c>
      <c r="J2402" s="75">
        <f t="shared" si="251"/>
        <v>1</v>
      </c>
      <c r="K2402" s="76" t="s">
        <v>211</v>
      </c>
      <c r="L2402" s="99" t="s">
        <v>8049</v>
      </c>
      <c r="N2402" s="78" t="s">
        <v>18</v>
      </c>
      <c r="Q2402" s="78" t="s">
        <v>2056</v>
      </c>
      <c r="R2402" s="75">
        <f t="shared" si="252"/>
        <v>1</v>
      </c>
      <c r="S2402" s="263" t="s">
        <v>1991</v>
      </c>
      <c r="T2402" s="263" t="s">
        <v>934</v>
      </c>
      <c r="Y2402" s="576">
        <v>0.80555555555555547</v>
      </c>
      <c r="Z2402" s="576">
        <v>0.81256944444444434</v>
      </c>
      <c r="AA2402" s="576">
        <f t="shared" si="253"/>
        <v>7.0138888888888751E-3</v>
      </c>
      <c r="AB2402" s="722"/>
    </row>
    <row r="2403" spans="1:28" x14ac:dyDescent="0.35">
      <c r="A2403" s="81" t="s">
        <v>7296</v>
      </c>
      <c r="C2403" s="118">
        <v>43935</v>
      </c>
      <c r="D2403" s="318">
        <v>43998</v>
      </c>
      <c r="E2403" s="83">
        <v>43984</v>
      </c>
      <c r="F2403" s="88" t="s">
        <v>7417</v>
      </c>
      <c r="G2403" s="88" t="s">
        <v>154</v>
      </c>
      <c r="H2403" s="98" t="s">
        <v>220</v>
      </c>
      <c r="I2403" s="98" t="s">
        <v>649</v>
      </c>
      <c r="J2403" s="75">
        <f t="shared" si="251"/>
        <v>1</v>
      </c>
      <c r="K2403" s="76" t="s">
        <v>211</v>
      </c>
      <c r="L2403" s="99" t="s">
        <v>8013</v>
      </c>
      <c r="N2403" s="78" t="s">
        <v>18</v>
      </c>
      <c r="Q2403" s="78" t="s">
        <v>2447</v>
      </c>
      <c r="R2403" s="75">
        <f t="shared" si="252"/>
        <v>1</v>
      </c>
      <c r="S2403" s="263" t="s">
        <v>1991</v>
      </c>
      <c r="T2403" s="263" t="s">
        <v>934</v>
      </c>
      <c r="Y2403" s="576">
        <v>0.74829861111111118</v>
      </c>
      <c r="Z2403" s="576">
        <v>0.7554050925925927</v>
      </c>
      <c r="AA2403" s="576">
        <f t="shared" si="253"/>
        <v>7.1064814814815191E-3</v>
      </c>
      <c r="AB2403" s="722"/>
    </row>
    <row r="2404" spans="1:28" x14ac:dyDescent="0.35">
      <c r="A2404" s="81" t="s">
        <v>6859</v>
      </c>
      <c r="C2404" s="118">
        <v>43935</v>
      </c>
      <c r="D2404" s="318">
        <v>43998</v>
      </c>
      <c r="E2404" s="83">
        <v>43984</v>
      </c>
      <c r="F2404" s="88" t="s">
        <v>6887</v>
      </c>
      <c r="G2404" s="88" t="s">
        <v>179</v>
      </c>
      <c r="H2404" s="98" t="s">
        <v>220</v>
      </c>
      <c r="I2404" s="98" t="s">
        <v>648</v>
      </c>
      <c r="J2404" s="75">
        <f t="shared" si="251"/>
        <v>1</v>
      </c>
      <c r="K2404" s="76" t="s">
        <v>211</v>
      </c>
      <c r="L2404" s="99" t="s">
        <v>8003</v>
      </c>
      <c r="N2404" s="78" t="s">
        <v>18</v>
      </c>
      <c r="Q2404" s="78" t="s">
        <v>2130</v>
      </c>
      <c r="R2404" s="75">
        <f t="shared" si="252"/>
        <v>1</v>
      </c>
      <c r="S2404" s="263" t="s">
        <v>1991</v>
      </c>
      <c r="T2404" s="263" t="s">
        <v>934</v>
      </c>
      <c r="Y2404" s="576">
        <v>0.46006944444444442</v>
      </c>
      <c r="Z2404" s="576">
        <v>0.46733796296296298</v>
      </c>
      <c r="AA2404" s="576">
        <f t="shared" si="253"/>
        <v>7.268518518518563E-3</v>
      </c>
      <c r="AB2404" s="722"/>
    </row>
    <row r="2405" spans="1:28" x14ac:dyDescent="0.35">
      <c r="A2405" s="81" t="s">
        <v>6860</v>
      </c>
      <c r="C2405" s="118">
        <v>43935</v>
      </c>
      <c r="D2405" s="318">
        <v>43998</v>
      </c>
      <c r="E2405" s="83">
        <v>43987</v>
      </c>
      <c r="F2405" s="88" t="s">
        <v>6888</v>
      </c>
      <c r="G2405" s="88" t="s">
        <v>152</v>
      </c>
      <c r="H2405" s="98" t="s">
        <v>220</v>
      </c>
      <c r="I2405" s="98" t="s">
        <v>863</v>
      </c>
      <c r="J2405" s="75">
        <f t="shared" si="251"/>
        <v>1</v>
      </c>
      <c r="K2405" s="76" t="s">
        <v>211</v>
      </c>
      <c r="L2405" s="99" t="s">
        <v>8057</v>
      </c>
      <c r="N2405" s="78" t="s">
        <v>17</v>
      </c>
      <c r="Q2405" s="78" t="s">
        <v>2130</v>
      </c>
      <c r="R2405" s="75">
        <f t="shared" si="252"/>
        <v>1</v>
      </c>
      <c r="S2405" s="263" t="s">
        <v>1991</v>
      </c>
      <c r="T2405" s="263" t="s">
        <v>933</v>
      </c>
      <c r="Y2405" s="576">
        <v>0.7584143518518518</v>
      </c>
      <c r="Z2405" s="576">
        <v>0.76797453703703711</v>
      </c>
      <c r="AA2405" s="576">
        <f t="shared" si="253"/>
        <v>9.5601851851853104E-3</v>
      </c>
      <c r="AB2405" s="722"/>
    </row>
    <row r="2406" spans="1:28" x14ac:dyDescent="0.35">
      <c r="A2406" s="81" t="s">
        <v>6861</v>
      </c>
      <c r="C2406" s="118">
        <v>43935</v>
      </c>
      <c r="D2406" s="318">
        <v>43998</v>
      </c>
      <c r="E2406" s="83">
        <v>43985</v>
      </c>
      <c r="F2406" s="88" t="s">
        <v>6889</v>
      </c>
      <c r="G2406" s="88" t="s">
        <v>158</v>
      </c>
      <c r="H2406" s="98" t="s">
        <v>220</v>
      </c>
      <c r="I2406" s="98" t="s">
        <v>656</v>
      </c>
      <c r="J2406" s="75">
        <f t="shared" si="251"/>
        <v>1</v>
      </c>
      <c r="K2406" s="76" t="s">
        <v>211</v>
      </c>
      <c r="L2406" s="99" t="s">
        <v>8239</v>
      </c>
      <c r="N2406" s="78" t="s">
        <v>18</v>
      </c>
      <c r="Q2406" s="78" t="s">
        <v>2130</v>
      </c>
      <c r="R2406" s="75">
        <f t="shared" si="252"/>
        <v>1</v>
      </c>
      <c r="S2406" s="263" t="s">
        <v>1991</v>
      </c>
      <c r="T2406" s="263" t="s">
        <v>933</v>
      </c>
      <c r="U2406" s="304" t="s">
        <v>5592</v>
      </c>
      <c r="V2406" s="304" t="s">
        <v>8024</v>
      </c>
      <c r="Y2406" s="576">
        <v>0.45953703703703702</v>
      </c>
      <c r="Z2406" s="576">
        <v>0.48261574074074076</v>
      </c>
      <c r="AA2406" s="576">
        <f t="shared" si="253"/>
        <v>2.307870370370374E-2</v>
      </c>
      <c r="AB2406" s="722"/>
    </row>
    <row r="2407" spans="1:28" x14ac:dyDescent="0.35">
      <c r="A2407" s="81" t="s">
        <v>6864</v>
      </c>
      <c r="C2407" s="118">
        <v>43935</v>
      </c>
      <c r="D2407" s="318">
        <v>43998</v>
      </c>
      <c r="E2407" s="83">
        <v>43987</v>
      </c>
      <c r="F2407" s="88" t="s">
        <v>6892</v>
      </c>
      <c r="G2407" s="88" t="s">
        <v>154</v>
      </c>
      <c r="H2407" s="98" t="s">
        <v>220</v>
      </c>
      <c r="I2407" s="98" t="s">
        <v>5215</v>
      </c>
      <c r="J2407" s="75">
        <f t="shared" si="251"/>
        <v>1</v>
      </c>
      <c r="K2407" s="76" t="s">
        <v>211</v>
      </c>
      <c r="L2407" s="99" t="s">
        <v>8058</v>
      </c>
      <c r="N2407" s="78" t="s">
        <v>19</v>
      </c>
      <c r="Q2407" s="78" t="s">
        <v>2130</v>
      </c>
      <c r="R2407" s="75">
        <f t="shared" si="252"/>
        <v>1</v>
      </c>
      <c r="S2407" s="263" t="s">
        <v>1991</v>
      </c>
      <c r="T2407" s="263" t="s">
        <v>934</v>
      </c>
      <c r="Y2407" s="576">
        <v>0.79719907407407409</v>
      </c>
      <c r="Z2407" s="576">
        <v>0.8022569444444444</v>
      </c>
      <c r="AA2407" s="576">
        <f t="shared" si="253"/>
        <v>5.0578703703703098E-3</v>
      </c>
      <c r="AB2407" s="722"/>
    </row>
    <row r="2408" spans="1:28" x14ac:dyDescent="0.35">
      <c r="A2408" s="81" t="s">
        <v>6865</v>
      </c>
      <c r="C2408" s="118">
        <v>43935</v>
      </c>
      <c r="D2408" s="318">
        <v>43998</v>
      </c>
      <c r="E2408" s="83">
        <v>43984</v>
      </c>
      <c r="F2408" s="88" t="s">
        <v>6893</v>
      </c>
      <c r="G2408" s="88" t="s">
        <v>191</v>
      </c>
      <c r="H2408" s="98" t="s">
        <v>220</v>
      </c>
      <c r="I2408" s="98" t="s">
        <v>730</v>
      </c>
      <c r="J2408" s="75">
        <f t="shared" si="251"/>
        <v>1</v>
      </c>
      <c r="K2408" s="76" t="s">
        <v>211</v>
      </c>
      <c r="L2408" s="99" t="s">
        <v>8004</v>
      </c>
      <c r="N2408" s="78" t="s">
        <v>17</v>
      </c>
      <c r="Q2408" s="78" t="s">
        <v>2130</v>
      </c>
      <c r="R2408" s="75">
        <f t="shared" si="252"/>
        <v>1</v>
      </c>
      <c r="S2408" s="263" t="s">
        <v>1991</v>
      </c>
      <c r="T2408" s="263" t="s">
        <v>933</v>
      </c>
      <c r="Y2408" s="576">
        <v>0.4676967592592593</v>
      </c>
      <c r="Z2408" s="576">
        <v>0.47417824074074072</v>
      </c>
      <c r="AA2408" s="576">
        <f t="shared" si="253"/>
        <v>6.4814814814814214E-3</v>
      </c>
      <c r="AB2408" s="722"/>
    </row>
    <row r="2409" spans="1:28" x14ac:dyDescent="0.35">
      <c r="A2409" s="81" t="s">
        <v>7301</v>
      </c>
      <c r="C2409" s="118">
        <v>43938</v>
      </c>
      <c r="D2409" s="318">
        <v>43998</v>
      </c>
      <c r="E2409" s="83">
        <v>43985</v>
      </c>
      <c r="F2409" s="88" t="s">
        <v>7422</v>
      </c>
      <c r="G2409" s="88" t="s">
        <v>158</v>
      </c>
      <c r="H2409" s="98" t="s">
        <v>220</v>
      </c>
      <c r="I2409" s="98" t="s">
        <v>649</v>
      </c>
      <c r="J2409" s="75">
        <f t="shared" si="251"/>
        <v>1</v>
      </c>
      <c r="K2409" s="76" t="s">
        <v>211</v>
      </c>
      <c r="L2409" s="99" t="s">
        <v>7565</v>
      </c>
      <c r="N2409" s="78" t="s">
        <v>18</v>
      </c>
      <c r="Q2409" s="78" t="s">
        <v>2097</v>
      </c>
      <c r="R2409" s="75">
        <f t="shared" si="252"/>
        <v>1</v>
      </c>
      <c r="S2409" s="263" t="s">
        <v>1991</v>
      </c>
      <c r="T2409" s="263" t="s">
        <v>933</v>
      </c>
      <c r="Y2409" s="576">
        <v>0.54462962962962969</v>
      </c>
      <c r="Z2409" s="576">
        <v>0.54844907407407406</v>
      </c>
      <c r="AA2409" s="576">
        <f t="shared" si="253"/>
        <v>3.8194444444443754E-3</v>
      </c>
      <c r="AB2409" s="722"/>
    </row>
    <row r="2410" spans="1:28" x14ac:dyDescent="0.35">
      <c r="A2410" s="81" t="s">
        <v>6908</v>
      </c>
      <c r="C2410" s="118">
        <v>43938</v>
      </c>
      <c r="D2410" s="318">
        <v>43998</v>
      </c>
      <c r="E2410" s="83">
        <v>43984</v>
      </c>
      <c r="F2410" s="88" t="s">
        <v>6937</v>
      </c>
      <c r="G2410" s="88" t="s">
        <v>158</v>
      </c>
      <c r="H2410" s="98" t="s">
        <v>220</v>
      </c>
      <c r="I2410" s="98" t="s">
        <v>722</v>
      </c>
      <c r="J2410" s="75">
        <f t="shared" si="251"/>
        <v>1</v>
      </c>
      <c r="K2410" s="76" t="s">
        <v>211</v>
      </c>
      <c r="L2410" s="99" t="s">
        <v>7527</v>
      </c>
      <c r="N2410" s="78" t="s">
        <v>17</v>
      </c>
      <c r="Q2410" s="78" t="s">
        <v>2130</v>
      </c>
      <c r="R2410" s="75">
        <f t="shared" si="252"/>
        <v>1</v>
      </c>
      <c r="S2410" s="263" t="s">
        <v>1991</v>
      </c>
      <c r="T2410" s="263" t="s">
        <v>933</v>
      </c>
      <c r="Y2410" s="576">
        <v>0.45557870370370374</v>
      </c>
      <c r="Z2410" s="576">
        <v>0.45973379629629635</v>
      </c>
      <c r="AA2410" s="576">
        <f t="shared" si="253"/>
        <v>4.155092592592613E-3</v>
      </c>
      <c r="AB2410" s="722" t="s">
        <v>7816</v>
      </c>
    </row>
    <row r="2411" spans="1:28" x14ac:dyDescent="0.35">
      <c r="A2411" s="81" t="s">
        <v>6909</v>
      </c>
      <c r="C2411" s="118">
        <v>43938</v>
      </c>
      <c r="D2411" s="318">
        <v>43998</v>
      </c>
      <c r="E2411" s="83">
        <v>43984</v>
      </c>
      <c r="F2411" s="88" t="s">
        <v>6938</v>
      </c>
      <c r="G2411" s="88" t="s">
        <v>195</v>
      </c>
      <c r="H2411" s="98" t="s">
        <v>220</v>
      </c>
      <c r="I2411" s="98" t="s">
        <v>649</v>
      </c>
      <c r="J2411" s="75">
        <f t="shared" si="251"/>
        <v>1</v>
      </c>
      <c r="K2411" s="76" t="s">
        <v>211</v>
      </c>
      <c r="L2411" s="99" t="s">
        <v>8005</v>
      </c>
      <c r="N2411" s="78" t="s">
        <v>18</v>
      </c>
      <c r="Q2411" s="78" t="s">
        <v>2130</v>
      </c>
      <c r="R2411" s="75">
        <f t="shared" si="252"/>
        <v>1</v>
      </c>
      <c r="S2411" s="263" t="s">
        <v>1991</v>
      </c>
      <c r="T2411" s="263" t="s">
        <v>932</v>
      </c>
      <c r="U2411" s="304" t="s">
        <v>5592</v>
      </c>
      <c r="V2411" s="304" t="s">
        <v>8006</v>
      </c>
      <c r="Y2411" s="576">
        <v>0.47460648148148149</v>
      </c>
      <c r="Z2411" s="576">
        <v>0.48792824074074076</v>
      </c>
      <c r="AA2411" s="576">
        <f t="shared" si="253"/>
        <v>1.3321759259259269E-2</v>
      </c>
      <c r="AB2411" s="722"/>
    </row>
    <row r="2412" spans="1:28" x14ac:dyDescent="0.35">
      <c r="A2412" s="98" t="s">
        <v>6915</v>
      </c>
      <c r="C2412" s="118">
        <v>43938</v>
      </c>
      <c r="D2412" s="318">
        <v>43998</v>
      </c>
      <c r="E2412" s="83">
        <v>43984</v>
      </c>
      <c r="F2412" s="88" t="s">
        <v>6944</v>
      </c>
      <c r="G2412" s="88" t="s">
        <v>158</v>
      </c>
      <c r="H2412" s="98" t="s">
        <v>220</v>
      </c>
      <c r="I2412" s="98" t="s">
        <v>722</v>
      </c>
      <c r="J2412" s="75">
        <f t="shared" si="251"/>
        <v>1</v>
      </c>
      <c r="K2412" s="76" t="s">
        <v>211</v>
      </c>
      <c r="L2412" s="99" t="s">
        <v>7791</v>
      </c>
      <c r="N2412" s="78" t="s">
        <v>17</v>
      </c>
      <c r="Q2412" s="78" t="s">
        <v>2130</v>
      </c>
      <c r="R2412" s="75">
        <f t="shared" si="252"/>
        <v>1</v>
      </c>
      <c r="S2412" s="263" t="s">
        <v>1991</v>
      </c>
      <c r="T2412" s="263" t="s">
        <v>932</v>
      </c>
      <c r="Y2412" s="576">
        <v>0.5229166666666667</v>
      </c>
      <c r="Z2412" s="576">
        <v>0.53275462962962961</v>
      </c>
      <c r="AA2412" s="576">
        <f t="shared" si="253"/>
        <v>9.8379629629629095E-3</v>
      </c>
      <c r="AB2412" s="722"/>
    </row>
    <row r="2413" spans="1:28" x14ac:dyDescent="0.35">
      <c r="A2413" s="81" t="s">
        <v>6916</v>
      </c>
      <c r="C2413" s="118">
        <v>43938</v>
      </c>
      <c r="D2413" s="318">
        <v>43998</v>
      </c>
      <c r="E2413" s="83">
        <v>43985</v>
      </c>
      <c r="F2413" s="88" t="s">
        <v>6945</v>
      </c>
      <c r="G2413" s="88" t="s">
        <v>160</v>
      </c>
      <c r="H2413" s="98" t="s">
        <v>220</v>
      </c>
      <c r="I2413" s="98" t="s">
        <v>649</v>
      </c>
      <c r="J2413" s="75">
        <f t="shared" si="251"/>
        <v>1</v>
      </c>
      <c r="K2413" s="76" t="s">
        <v>211</v>
      </c>
      <c r="L2413" s="99" t="s">
        <v>7565</v>
      </c>
      <c r="N2413" s="78" t="s">
        <v>18</v>
      </c>
      <c r="Q2413" s="78" t="s">
        <v>2447</v>
      </c>
      <c r="R2413" s="75">
        <f t="shared" si="252"/>
        <v>1</v>
      </c>
      <c r="S2413" s="263" t="s">
        <v>1991</v>
      </c>
      <c r="T2413" s="263" t="s">
        <v>932</v>
      </c>
      <c r="Y2413" s="576">
        <v>0.81180555555555556</v>
      </c>
      <c r="Z2413" s="576">
        <v>0.81665509259259261</v>
      </c>
      <c r="AA2413" s="576">
        <f t="shared" si="253"/>
        <v>4.849537037037055E-3</v>
      </c>
      <c r="AB2413" s="722"/>
    </row>
    <row r="2414" spans="1:28" x14ac:dyDescent="0.35">
      <c r="A2414" s="81" t="s">
        <v>7305</v>
      </c>
      <c r="C2414" s="118">
        <v>43938</v>
      </c>
      <c r="D2414" s="318">
        <v>43998</v>
      </c>
      <c r="E2414" s="83">
        <v>43985</v>
      </c>
      <c r="F2414" s="88" t="s">
        <v>7426</v>
      </c>
      <c r="G2414" s="88" t="s">
        <v>158</v>
      </c>
      <c r="H2414" s="98" t="s">
        <v>220</v>
      </c>
      <c r="I2414" s="98" t="s">
        <v>722</v>
      </c>
      <c r="J2414" s="75">
        <f t="shared" si="251"/>
        <v>1</v>
      </c>
      <c r="K2414" s="76" t="s">
        <v>211</v>
      </c>
      <c r="L2414" s="99" t="s">
        <v>7791</v>
      </c>
      <c r="N2414" s="78" t="s">
        <v>18</v>
      </c>
      <c r="Q2414" s="78" t="s">
        <v>2447</v>
      </c>
      <c r="R2414" s="75">
        <f t="shared" si="252"/>
        <v>1</v>
      </c>
      <c r="S2414" s="263" t="s">
        <v>1991</v>
      </c>
      <c r="T2414" s="263" t="s">
        <v>932</v>
      </c>
      <c r="Y2414" s="576">
        <v>0.69859953703703714</v>
      </c>
      <c r="Z2414" s="576">
        <v>0.70847222222222228</v>
      </c>
      <c r="AA2414" s="576">
        <f t="shared" si="253"/>
        <v>9.8726851851851372E-3</v>
      </c>
      <c r="AB2414" s="722"/>
    </row>
    <row r="2415" spans="1:28" x14ac:dyDescent="0.35">
      <c r="A2415" s="81" t="s">
        <v>7306</v>
      </c>
      <c r="C2415" s="118">
        <v>43938</v>
      </c>
      <c r="D2415" s="318">
        <v>43998</v>
      </c>
      <c r="E2415" s="83">
        <v>43990</v>
      </c>
      <c r="F2415" s="88" t="s">
        <v>7427</v>
      </c>
      <c r="G2415" s="88" t="s">
        <v>156</v>
      </c>
      <c r="H2415" s="98" t="s">
        <v>220</v>
      </c>
      <c r="I2415" s="98" t="s">
        <v>763</v>
      </c>
      <c r="J2415" s="75">
        <f t="shared" si="251"/>
        <v>1</v>
      </c>
      <c r="K2415" s="76" t="s">
        <v>211</v>
      </c>
      <c r="L2415" s="99" t="s">
        <v>8072</v>
      </c>
      <c r="N2415" s="78" t="s">
        <v>17</v>
      </c>
      <c r="Q2415" s="78" t="s">
        <v>2447</v>
      </c>
      <c r="R2415" s="75">
        <f t="shared" si="252"/>
        <v>1</v>
      </c>
      <c r="S2415" s="263" t="s">
        <v>1991</v>
      </c>
      <c r="T2415" s="263" t="s">
        <v>933</v>
      </c>
      <c r="Y2415" s="576">
        <v>0.63046296296296289</v>
      </c>
      <c r="Z2415" s="576">
        <v>0.64788194444444447</v>
      </c>
      <c r="AA2415" s="576">
        <f t="shared" si="253"/>
        <v>1.7418981481481577E-2</v>
      </c>
      <c r="AB2415" s="722"/>
    </row>
    <row r="2416" spans="1:28" x14ac:dyDescent="0.35">
      <c r="A2416" s="98" t="s">
        <v>6919</v>
      </c>
      <c r="C2416" s="118">
        <v>43938</v>
      </c>
      <c r="D2416" s="318">
        <v>43998</v>
      </c>
      <c r="E2416" s="83">
        <v>43984</v>
      </c>
      <c r="F2416" s="88" t="s">
        <v>6948</v>
      </c>
      <c r="G2416" s="88" t="s">
        <v>170</v>
      </c>
      <c r="H2416" s="98" t="s">
        <v>220</v>
      </c>
      <c r="I2416" s="98" t="s">
        <v>722</v>
      </c>
      <c r="J2416" s="75">
        <f t="shared" si="251"/>
        <v>1</v>
      </c>
      <c r="K2416" s="76" t="s">
        <v>211</v>
      </c>
      <c r="L2416" s="99" t="s">
        <v>7789</v>
      </c>
      <c r="N2416" s="78" t="s">
        <v>17</v>
      </c>
      <c r="Q2416" s="78" t="s">
        <v>2130</v>
      </c>
      <c r="R2416" s="75">
        <f t="shared" si="252"/>
        <v>1</v>
      </c>
      <c r="S2416" s="263" t="s">
        <v>1991</v>
      </c>
      <c r="T2416" s="263" t="s">
        <v>934</v>
      </c>
      <c r="Y2416" s="576">
        <v>0.5678009259259259</v>
      </c>
      <c r="Z2416" s="576">
        <v>0.59283564814814815</v>
      </c>
      <c r="AA2416" s="576">
        <f t="shared" si="253"/>
        <v>2.503472222222225E-2</v>
      </c>
      <c r="AB2416" s="722"/>
    </row>
    <row r="2417" spans="1:28" x14ac:dyDescent="0.35">
      <c r="A2417" s="81" t="s">
        <v>7308</v>
      </c>
      <c r="C2417" s="118">
        <v>43945</v>
      </c>
      <c r="D2417" s="318">
        <v>43998</v>
      </c>
      <c r="E2417" s="83">
        <v>43985</v>
      </c>
      <c r="F2417" s="88" t="s">
        <v>7429</v>
      </c>
      <c r="G2417" s="88" t="s">
        <v>195</v>
      </c>
      <c r="H2417" s="98" t="s">
        <v>220</v>
      </c>
      <c r="I2417" s="98" t="s">
        <v>649</v>
      </c>
      <c r="J2417" s="75">
        <f t="shared" si="251"/>
        <v>1</v>
      </c>
      <c r="K2417" s="76" t="s">
        <v>211</v>
      </c>
      <c r="L2417" s="99" t="s">
        <v>7565</v>
      </c>
      <c r="N2417" s="78" t="s">
        <v>18</v>
      </c>
      <c r="Q2417" s="78" t="s">
        <v>2447</v>
      </c>
      <c r="R2417" s="75">
        <f t="shared" si="252"/>
        <v>1</v>
      </c>
      <c r="S2417" s="263" t="s">
        <v>1991</v>
      </c>
      <c r="T2417" s="263" t="s">
        <v>934</v>
      </c>
      <c r="Y2417" s="576">
        <v>0.72111111111111104</v>
      </c>
      <c r="Z2417" s="576">
        <v>0.72906249999999995</v>
      </c>
      <c r="AA2417" s="576">
        <f t="shared" si="253"/>
        <v>7.9513888888889106E-3</v>
      </c>
      <c r="AB2417" s="722"/>
    </row>
    <row r="2418" spans="1:28" x14ac:dyDescent="0.35">
      <c r="A2418" s="81" t="s">
        <v>7003</v>
      </c>
      <c r="C2418" s="118">
        <v>43948</v>
      </c>
      <c r="D2418" s="318">
        <v>43998</v>
      </c>
      <c r="E2418" s="83">
        <v>43987</v>
      </c>
      <c r="F2418" s="88" t="s">
        <v>7068</v>
      </c>
      <c r="G2418" s="88" t="s">
        <v>156</v>
      </c>
      <c r="H2418" s="98" t="s">
        <v>220</v>
      </c>
      <c r="I2418" s="98" t="s">
        <v>730</v>
      </c>
      <c r="J2418" s="75">
        <f t="shared" si="251"/>
        <v>1</v>
      </c>
      <c r="K2418" s="76" t="s">
        <v>211</v>
      </c>
      <c r="L2418" s="99" t="s">
        <v>7813</v>
      </c>
      <c r="N2418" s="78" t="s">
        <v>18</v>
      </c>
      <c r="Q2418" s="78" t="s">
        <v>2163</v>
      </c>
      <c r="R2418" s="75">
        <f t="shared" si="252"/>
        <v>1</v>
      </c>
      <c r="S2418" s="263" t="s">
        <v>1991</v>
      </c>
      <c r="T2418" s="263" t="s">
        <v>933</v>
      </c>
      <c r="Y2418" s="576">
        <v>0.80290509259259257</v>
      </c>
      <c r="Z2418" s="576">
        <v>0.81509259259259259</v>
      </c>
      <c r="AA2418" s="576">
        <f t="shared" si="253"/>
        <v>1.2187500000000018E-2</v>
      </c>
      <c r="AB2418" s="722"/>
    </row>
    <row r="2419" spans="1:28" x14ac:dyDescent="0.35">
      <c r="A2419" s="81" t="s">
        <v>7015</v>
      </c>
      <c r="C2419" s="118">
        <v>43948</v>
      </c>
      <c r="D2419" s="318">
        <v>43998</v>
      </c>
      <c r="E2419" s="83">
        <v>43987</v>
      </c>
      <c r="F2419" s="88" t="s">
        <v>7079</v>
      </c>
      <c r="G2419" s="88" t="s">
        <v>152</v>
      </c>
      <c r="H2419" s="98" t="s">
        <v>220</v>
      </c>
      <c r="I2419" s="98" t="s">
        <v>652</v>
      </c>
      <c r="J2419" s="75">
        <f t="shared" si="251"/>
        <v>1</v>
      </c>
      <c r="K2419" s="76" t="s">
        <v>211</v>
      </c>
      <c r="L2419" s="99" t="s">
        <v>7769</v>
      </c>
      <c r="N2419" s="78" t="s">
        <v>18</v>
      </c>
      <c r="Q2419" s="78" t="s">
        <v>2163</v>
      </c>
      <c r="R2419" s="75">
        <f t="shared" si="252"/>
        <v>1</v>
      </c>
      <c r="S2419" s="263" t="s">
        <v>1991</v>
      </c>
      <c r="T2419" s="263" t="s">
        <v>933</v>
      </c>
      <c r="Y2419" s="576">
        <v>0.81548611111111102</v>
      </c>
      <c r="Z2419" s="576">
        <v>0.82037037037037042</v>
      </c>
      <c r="AA2419" s="576">
        <f t="shared" si="253"/>
        <v>4.8842592592593936E-3</v>
      </c>
      <c r="AB2419" s="722"/>
    </row>
    <row r="2420" spans="1:28" x14ac:dyDescent="0.35">
      <c r="A2420" s="81" t="s">
        <v>7016</v>
      </c>
      <c r="C2420" s="118">
        <v>43948</v>
      </c>
      <c r="D2420" s="318">
        <v>43998</v>
      </c>
      <c r="E2420" s="83">
        <v>43991</v>
      </c>
      <c r="F2420" s="88" t="s">
        <v>7080</v>
      </c>
      <c r="G2420" s="88" t="s">
        <v>176</v>
      </c>
      <c r="H2420" s="98" t="s">
        <v>220</v>
      </c>
      <c r="I2420" s="98" t="s">
        <v>730</v>
      </c>
      <c r="J2420" s="75">
        <f t="shared" si="251"/>
        <v>1</v>
      </c>
      <c r="K2420" s="76" t="s">
        <v>211</v>
      </c>
      <c r="L2420" s="99" t="s">
        <v>8081</v>
      </c>
      <c r="N2420" s="78" t="s">
        <v>17</v>
      </c>
      <c r="Q2420" s="78" t="s">
        <v>2163</v>
      </c>
      <c r="R2420" s="75">
        <f t="shared" si="252"/>
        <v>1</v>
      </c>
      <c r="S2420" s="263" t="s">
        <v>1991</v>
      </c>
      <c r="T2420" s="263" t="s">
        <v>934</v>
      </c>
      <c r="Y2420" s="576">
        <v>0.58381944444444445</v>
      </c>
      <c r="Z2420" s="576">
        <v>0.59024305555555556</v>
      </c>
      <c r="AA2420" s="576">
        <f t="shared" si="253"/>
        <v>6.423611111111116E-3</v>
      </c>
      <c r="AB2420" s="722"/>
    </row>
    <row r="2421" spans="1:28" x14ac:dyDescent="0.35">
      <c r="A2421" s="81" t="s">
        <v>7017</v>
      </c>
      <c r="C2421" s="118">
        <v>43948</v>
      </c>
      <c r="D2421" s="318">
        <v>43998</v>
      </c>
      <c r="E2421" s="83">
        <v>43987</v>
      </c>
      <c r="F2421" s="88" t="s">
        <v>7081</v>
      </c>
      <c r="G2421" s="88" t="s">
        <v>162</v>
      </c>
      <c r="H2421" s="98" t="s">
        <v>220</v>
      </c>
      <c r="I2421" s="98" t="s">
        <v>652</v>
      </c>
      <c r="J2421" s="75">
        <f t="shared" si="251"/>
        <v>1</v>
      </c>
      <c r="K2421" s="76" t="s">
        <v>211</v>
      </c>
      <c r="L2421" s="99" t="s">
        <v>8059</v>
      </c>
      <c r="N2421" s="78" t="s">
        <v>17</v>
      </c>
      <c r="Q2421" s="78" t="s">
        <v>2163</v>
      </c>
      <c r="R2421" s="75">
        <f t="shared" si="252"/>
        <v>1</v>
      </c>
      <c r="S2421" s="263" t="s">
        <v>1991</v>
      </c>
      <c r="T2421" s="263" t="s">
        <v>933</v>
      </c>
      <c r="Y2421" s="576">
        <v>0.82054398148148155</v>
      </c>
      <c r="Z2421" s="576">
        <v>0.82887731481481486</v>
      </c>
      <c r="AA2421" s="576">
        <f t="shared" si="253"/>
        <v>8.3333333333333037E-3</v>
      </c>
      <c r="AB2421" s="722"/>
    </row>
    <row r="2422" spans="1:28" x14ac:dyDescent="0.35">
      <c r="A2422" s="81" t="s">
        <v>7842</v>
      </c>
      <c r="C2422" s="118">
        <v>43948</v>
      </c>
      <c r="D2422" s="318">
        <v>43998</v>
      </c>
      <c r="E2422" s="83">
        <v>43991</v>
      </c>
      <c r="F2422" s="88" t="s">
        <v>7923</v>
      </c>
      <c r="G2422" s="88" t="s">
        <v>149</v>
      </c>
      <c r="H2422" s="98" t="s">
        <v>220</v>
      </c>
      <c r="I2422" s="98" t="s">
        <v>649</v>
      </c>
      <c r="J2422" s="75">
        <f t="shared" si="251"/>
        <v>1</v>
      </c>
      <c r="K2422" s="76" t="s">
        <v>211</v>
      </c>
      <c r="L2422" s="99" t="s">
        <v>7565</v>
      </c>
      <c r="N2422" s="78" t="s">
        <v>17</v>
      </c>
      <c r="Q2422" s="78" t="s">
        <v>2130</v>
      </c>
      <c r="R2422" s="75">
        <f t="shared" si="252"/>
        <v>1</v>
      </c>
      <c r="S2422" s="263" t="s">
        <v>1991</v>
      </c>
      <c r="T2422" s="263" t="s">
        <v>933</v>
      </c>
      <c r="U2422" s="304" t="s">
        <v>5592</v>
      </c>
      <c r="V2422" s="304" t="s">
        <v>8082</v>
      </c>
      <c r="Y2422" s="576">
        <v>0.5904166666666667</v>
      </c>
      <c r="Z2422" s="576">
        <v>0.59805555555555556</v>
      </c>
      <c r="AA2422" s="576">
        <f t="shared" si="253"/>
        <v>7.6388888888888618E-3</v>
      </c>
      <c r="AB2422" s="722"/>
    </row>
    <row r="2423" spans="1:28" x14ac:dyDescent="0.35">
      <c r="A2423" s="81" t="s">
        <v>7023</v>
      </c>
      <c r="C2423" s="118">
        <v>43949</v>
      </c>
      <c r="D2423" s="318">
        <v>43998</v>
      </c>
      <c r="E2423" s="83">
        <v>43985</v>
      </c>
      <c r="F2423" s="88" t="s">
        <v>7086</v>
      </c>
      <c r="G2423" s="88" t="s">
        <v>162</v>
      </c>
      <c r="H2423" s="98" t="s">
        <v>220</v>
      </c>
      <c r="I2423" s="98" t="s">
        <v>722</v>
      </c>
      <c r="J2423" s="75">
        <f t="shared" si="251"/>
        <v>1</v>
      </c>
      <c r="K2423" s="76" t="s">
        <v>211</v>
      </c>
      <c r="L2423" s="99" t="s">
        <v>8027</v>
      </c>
      <c r="N2423" s="78" t="s">
        <v>17</v>
      </c>
      <c r="Q2423" s="78" t="s">
        <v>2097</v>
      </c>
      <c r="R2423" s="75">
        <f t="shared" si="252"/>
        <v>1</v>
      </c>
      <c r="S2423" s="263" t="s">
        <v>1991</v>
      </c>
      <c r="T2423" s="263" t="s">
        <v>932</v>
      </c>
      <c r="Y2423" s="576">
        <v>0.6029282407407407</v>
      </c>
      <c r="Z2423" s="576">
        <v>0.60886574074074074</v>
      </c>
      <c r="AA2423" s="576">
        <f t="shared" si="253"/>
        <v>5.93750000000004E-3</v>
      </c>
      <c r="AB2423" s="722"/>
    </row>
    <row r="2424" spans="1:28" x14ac:dyDescent="0.35">
      <c r="A2424" s="81" t="s">
        <v>7026</v>
      </c>
      <c r="C2424" s="118">
        <v>43949</v>
      </c>
      <c r="D2424" s="318">
        <v>43998</v>
      </c>
      <c r="F2424" s="88" t="s">
        <v>7089</v>
      </c>
      <c r="G2424" s="88" t="s">
        <v>1051</v>
      </c>
      <c r="H2424" s="98" t="s">
        <v>220</v>
      </c>
      <c r="I2424" s="98" t="s">
        <v>7230</v>
      </c>
      <c r="J2424" s="75">
        <f t="shared" si="251"/>
        <v>1</v>
      </c>
      <c r="K2424" s="76" t="s">
        <v>211</v>
      </c>
      <c r="L2424" s="99" t="s">
        <v>8100</v>
      </c>
      <c r="N2424" s="78" t="s">
        <v>19</v>
      </c>
      <c r="Q2424" s="78" t="s">
        <v>2097</v>
      </c>
      <c r="R2424" s="75">
        <f t="shared" si="252"/>
        <v>1</v>
      </c>
      <c r="S2424" s="263" t="s">
        <v>1991</v>
      </c>
      <c r="T2424" s="263" t="s">
        <v>934</v>
      </c>
      <c r="U2424" s="304" t="s">
        <v>5592</v>
      </c>
      <c r="V2424" s="304" t="s">
        <v>8083</v>
      </c>
      <c r="Y2424" s="576">
        <v>0.59722222222222221</v>
      </c>
      <c r="Z2424" s="576">
        <v>0.61033564814814811</v>
      </c>
      <c r="AA2424" s="576">
        <f t="shared" si="253"/>
        <v>1.3113425925925903E-2</v>
      </c>
      <c r="AB2424" s="722"/>
    </row>
    <row r="2425" spans="1:28" x14ac:dyDescent="0.35">
      <c r="A2425" s="81" t="s">
        <v>7032</v>
      </c>
      <c r="C2425" s="118">
        <v>43949</v>
      </c>
      <c r="D2425" s="318">
        <v>43998</v>
      </c>
      <c r="E2425" s="83">
        <v>43985</v>
      </c>
      <c r="F2425" s="88" t="s">
        <v>7095</v>
      </c>
      <c r="G2425" s="88" t="s">
        <v>162</v>
      </c>
      <c r="H2425" s="98" t="s">
        <v>220</v>
      </c>
      <c r="I2425" s="98" t="s">
        <v>649</v>
      </c>
      <c r="J2425" s="75">
        <f t="shared" si="251"/>
        <v>1</v>
      </c>
      <c r="K2425" s="76" t="s">
        <v>211</v>
      </c>
      <c r="L2425" s="99" t="s">
        <v>7565</v>
      </c>
      <c r="N2425" s="78" t="s">
        <v>18</v>
      </c>
      <c r="Q2425" s="78" t="s">
        <v>2097</v>
      </c>
      <c r="R2425" s="75">
        <f t="shared" si="252"/>
        <v>1</v>
      </c>
      <c r="S2425" s="263" t="s">
        <v>1991</v>
      </c>
      <c r="T2425" s="263" t="s">
        <v>932</v>
      </c>
      <c r="Y2425" s="576">
        <v>0.59842592592592592</v>
      </c>
      <c r="Z2425" s="576">
        <v>0.60230324074074071</v>
      </c>
      <c r="AA2425" s="576">
        <f t="shared" si="253"/>
        <v>3.8773148148147918E-3</v>
      </c>
      <c r="AB2425" s="722"/>
    </row>
    <row r="2426" spans="1:28" x14ac:dyDescent="0.35">
      <c r="A2426" s="81" t="s">
        <v>7040</v>
      </c>
      <c r="C2426" s="118">
        <v>43949</v>
      </c>
      <c r="D2426" s="318">
        <v>43998</v>
      </c>
      <c r="E2426" s="83">
        <v>43985</v>
      </c>
      <c r="F2426" s="88" t="s">
        <v>7103</v>
      </c>
      <c r="G2426" s="88" t="s">
        <v>158</v>
      </c>
      <c r="H2426" s="98" t="s">
        <v>220</v>
      </c>
      <c r="I2426" s="98" t="s">
        <v>730</v>
      </c>
      <c r="J2426" s="75">
        <f t="shared" si="251"/>
        <v>1</v>
      </c>
      <c r="K2426" s="76" t="s">
        <v>211</v>
      </c>
      <c r="L2426" s="99" t="s">
        <v>8036</v>
      </c>
      <c r="N2426" s="78" t="s">
        <v>17</v>
      </c>
      <c r="Q2426" s="78" t="s">
        <v>2097</v>
      </c>
      <c r="R2426" s="75">
        <f t="shared" si="252"/>
        <v>1</v>
      </c>
      <c r="S2426" s="263" t="s">
        <v>1991</v>
      </c>
      <c r="T2426" s="263" t="s">
        <v>934</v>
      </c>
      <c r="Y2426" s="576">
        <v>0.60932870370370373</v>
      </c>
      <c r="Z2426" s="576">
        <v>0.65871527777777772</v>
      </c>
      <c r="AA2426" s="576">
        <f t="shared" si="253"/>
        <v>4.9386574074073986E-2</v>
      </c>
      <c r="AB2426" s="722"/>
    </row>
    <row r="2427" spans="1:28" x14ac:dyDescent="0.35">
      <c r="A2427" s="81" t="s">
        <v>7043</v>
      </c>
      <c r="C2427" s="118">
        <v>43950</v>
      </c>
      <c r="D2427" s="318">
        <v>43998</v>
      </c>
      <c r="E2427" s="83">
        <v>43985</v>
      </c>
      <c r="F2427" s="88" t="s">
        <v>7106</v>
      </c>
      <c r="G2427" s="88" t="s">
        <v>6928</v>
      </c>
      <c r="H2427" s="98" t="s">
        <v>220</v>
      </c>
      <c r="I2427" s="98" t="s">
        <v>1004</v>
      </c>
      <c r="J2427" s="75">
        <f>IF(OR(K2427="Документы готовы",K2427="Запрос в ФО",K2427="ЭЗ",K2427="РЕШ",K2427="РЕШ шаблон"),0.1,IF(OR(K2427="ЭЗ согласование",K2427="РЕШ согласование"),0.3,IF(OR(K2427="ЭЗ согласовано",K2427="РЕШ согласовано",K2427="РЕШ подписано"),0.6,IF(OR(K2427="ЭЗ ПР согласование",K2427="РЕШ УВ согласование"),0.9,IF(OR(K2427="ЭЗ ПР DONE",K2427="РЕШ УВ DONE"),1,0)))))</f>
        <v>1</v>
      </c>
      <c r="K2427" s="76" t="s">
        <v>211</v>
      </c>
      <c r="L2427" s="99" t="s">
        <v>7528</v>
      </c>
      <c r="N2427" s="78" t="s">
        <v>19</v>
      </c>
      <c r="Q2427" s="78" t="s">
        <v>2130</v>
      </c>
      <c r="R2427" s="75">
        <f t="shared" si="252"/>
        <v>1</v>
      </c>
      <c r="S2427" s="263" t="s">
        <v>1991</v>
      </c>
      <c r="T2427" s="263" t="s">
        <v>933</v>
      </c>
      <c r="U2427" s="304" t="s">
        <v>5592</v>
      </c>
      <c r="V2427" s="304" t="s">
        <v>8023</v>
      </c>
      <c r="Y2427" s="576">
        <v>0.44185185185185188</v>
      </c>
      <c r="Z2427" s="576">
        <v>0.45144675925925926</v>
      </c>
      <c r="AA2427" s="576">
        <f>Z2427-Y2427</f>
        <v>9.5949074074073715E-3</v>
      </c>
      <c r="AB2427" s="722"/>
    </row>
    <row r="2428" spans="1:28" x14ac:dyDescent="0.35">
      <c r="A2428" s="81" t="s">
        <v>7049</v>
      </c>
      <c r="C2428" s="118">
        <v>43950</v>
      </c>
      <c r="D2428" s="318">
        <v>43998</v>
      </c>
      <c r="E2428" s="83">
        <v>43992</v>
      </c>
      <c r="F2428" s="88" t="s">
        <v>7112</v>
      </c>
      <c r="G2428" s="88" t="s">
        <v>158</v>
      </c>
      <c r="H2428" s="98" t="s">
        <v>220</v>
      </c>
      <c r="I2428" s="98" t="s">
        <v>649</v>
      </c>
      <c r="J2428" s="75">
        <f t="shared" si="251"/>
        <v>1</v>
      </c>
      <c r="K2428" s="76" t="s">
        <v>211</v>
      </c>
      <c r="L2428" s="99" t="s">
        <v>7521</v>
      </c>
      <c r="N2428" s="78" t="s">
        <v>18</v>
      </c>
      <c r="Q2428" s="78" t="s">
        <v>2130</v>
      </c>
      <c r="R2428" s="75">
        <f t="shared" si="252"/>
        <v>1</v>
      </c>
      <c r="S2428" s="263" t="s">
        <v>1991</v>
      </c>
      <c r="T2428" s="263" t="s">
        <v>934</v>
      </c>
      <c r="Y2428" s="576">
        <v>0.62711805555555555</v>
      </c>
      <c r="Z2428" s="576">
        <v>0.63679398148148147</v>
      </c>
      <c r="AA2428" s="576">
        <f t="shared" si="253"/>
        <v>9.6759259259259212E-3</v>
      </c>
      <c r="AB2428" s="722"/>
    </row>
    <row r="2429" spans="1:28" x14ac:dyDescent="0.35">
      <c r="A2429" s="98" t="s">
        <v>7055</v>
      </c>
      <c r="C2429" s="118">
        <v>43950</v>
      </c>
      <c r="D2429" s="318">
        <v>43998</v>
      </c>
      <c r="E2429" s="83">
        <v>43984</v>
      </c>
      <c r="F2429" s="88" t="s">
        <v>7118</v>
      </c>
      <c r="G2429" s="88" t="s">
        <v>195</v>
      </c>
      <c r="H2429" s="98" t="s">
        <v>220</v>
      </c>
      <c r="I2429" s="98" t="s">
        <v>722</v>
      </c>
      <c r="J2429" s="75">
        <f>IF(OR(K2429="Документы готовы",K2429="Запрос в ФО",K2429="ЭЗ",K2429="РЕШ",K2429="РЕШ шаблон"),0.1,IF(OR(K2429="ЭЗ согласование",K2429="РЕШ согласование"),0.3,IF(OR(K2429="ЭЗ согласовано",K2429="РЕШ согласовано",K2429="РЕШ подписано"),0.6,IF(OR(K2429="ЭЗ ПР согласование",K2429="РЕШ УВ согласование"),0.9,IF(OR(K2429="ЭЗ ПР DONE",K2429="РЕШ УВ DONE"),1,0)))))</f>
        <v>1</v>
      </c>
      <c r="K2429" s="76" t="s">
        <v>211</v>
      </c>
      <c r="L2429" s="99" t="s">
        <v>8008</v>
      </c>
      <c r="N2429" s="78" t="s">
        <v>17</v>
      </c>
      <c r="Q2429" s="78" t="s">
        <v>2130</v>
      </c>
      <c r="R2429" s="75">
        <f>IF(S2429="В работе",0.3,IF(S2429="Отписано",0.6,IF(S2429="На доработку",0.9,IF(S2429="Согласовано",1,0))))</f>
        <v>1</v>
      </c>
      <c r="S2429" s="263" t="s">
        <v>1991</v>
      </c>
      <c r="T2429" s="263" t="s">
        <v>933</v>
      </c>
      <c r="U2429" s="304" t="s">
        <v>5592</v>
      </c>
      <c r="V2429" s="304" t="s">
        <v>8009</v>
      </c>
      <c r="Y2429" s="576">
        <v>0.59333333333333338</v>
      </c>
      <c r="Z2429" s="576">
        <v>0.60539351851851853</v>
      </c>
      <c r="AA2429" s="576">
        <f t="shared" si="253"/>
        <v>1.2060185185185146E-2</v>
      </c>
      <c r="AB2429" s="722"/>
    </row>
    <row r="2430" spans="1:28" x14ac:dyDescent="0.35">
      <c r="A2430" s="81" t="s">
        <v>7309</v>
      </c>
      <c r="C2430" s="118">
        <v>43950</v>
      </c>
      <c r="D2430" s="318">
        <v>43998</v>
      </c>
      <c r="E2430" s="83">
        <v>43991</v>
      </c>
      <c r="F2430" s="88" t="s">
        <v>7430</v>
      </c>
      <c r="G2430" s="88" t="s">
        <v>186</v>
      </c>
      <c r="H2430" s="98" t="s">
        <v>220</v>
      </c>
      <c r="I2430" s="98" t="s">
        <v>722</v>
      </c>
      <c r="J2430" s="75">
        <f t="shared" si="251"/>
        <v>1</v>
      </c>
      <c r="K2430" s="76" t="s">
        <v>211</v>
      </c>
      <c r="L2430" s="99" t="s">
        <v>8091</v>
      </c>
      <c r="N2430" s="78" t="s">
        <v>18</v>
      </c>
      <c r="Q2430" s="78" t="s">
        <v>2130</v>
      </c>
      <c r="R2430" s="75">
        <f t="shared" si="252"/>
        <v>1</v>
      </c>
      <c r="S2430" s="263" t="s">
        <v>1991</v>
      </c>
      <c r="T2430" s="263" t="s">
        <v>933</v>
      </c>
      <c r="Y2430" s="576">
        <v>0.90670138888888896</v>
      </c>
      <c r="Z2430" s="576">
        <v>0.91280092592592599</v>
      </c>
      <c r="AA2430" s="576">
        <f t="shared" si="253"/>
        <v>6.0995370370370283E-3</v>
      </c>
      <c r="AB2430" s="722"/>
    </row>
    <row r="2431" spans="1:28" x14ac:dyDescent="0.35">
      <c r="A2431" s="81" t="s">
        <v>7310</v>
      </c>
      <c r="C2431" s="118">
        <v>43950</v>
      </c>
      <c r="D2431" s="318">
        <v>43998</v>
      </c>
      <c r="E2431" s="83">
        <v>43991</v>
      </c>
      <c r="F2431" s="88" t="s">
        <v>7431</v>
      </c>
      <c r="G2431" s="88" t="s">
        <v>149</v>
      </c>
      <c r="H2431" s="98" t="s">
        <v>220</v>
      </c>
      <c r="I2431" s="98" t="s">
        <v>722</v>
      </c>
      <c r="J2431" s="75">
        <f t="shared" si="251"/>
        <v>1</v>
      </c>
      <c r="K2431" s="76" t="s">
        <v>211</v>
      </c>
      <c r="L2431" s="99" t="s">
        <v>7527</v>
      </c>
      <c r="N2431" s="78" t="s">
        <v>17</v>
      </c>
      <c r="Q2431" s="78" t="s">
        <v>2130</v>
      </c>
      <c r="R2431" s="75">
        <f t="shared" si="252"/>
        <v>1</v>
      </c>
      <c r="S2431" s="263" t="s">
        <v>1991</v>
      </c>
      <c r="T2431" s="263" t="s">
        <v>932</v>
      </c>
      <c r="Y2431" s="576">
        <v>0.62997685185185182</v>
      </c>
      <c r="Z2431" s="576">
        <v>0.63375000000000004</v>
      </c>
      <c r="AA2431" s="576">
        <f t="shared" si="253"/>
        <v>3.7731481481482199E-3</v>
      </c>
      <c r="AB2431" s="722"/>
    </row>
    <row r="2432" spans="1:28" x14ac:dyDescent="0.35">
      <c r="A2432" s="81" t="s">
        <v>7311</v>
      </c>
      <c r="C2432" s="118">
        <v>43950</v>
      </c>
      <c r="D2432" s="318">
        <v>43998</v>
      </c>
      <c r="E2432" s="83">
        <v>43991</v>
      </c>
      <c r="F2432" s="88" t="s">
        <v>7432</v>
      </c>
      <c r="G2432" s="88" t="s">
        <v>149</v>
      </c>
      <c r="H2432" s="98" t="s">
        <v>220</v>
      </c>
      <c r="I2432" s="98" t="s">
        <v>649</v>
      </c>
      <c r="J2432" s="75">
        <f t="shared" si="251"/>
        <v>1</v>
      </c>
      <c r="K2432" s="76" t="s">
        <v>211</v>
      </c>
      <c r="L2432" s="99" t="s">
        <v>7521</v>
      </c>
      <c r="N2432" s="78" t="s">
        <v>18</v>
      </c>
      <c r="Q2432" s="78" t="s">
        <v>2130</v>
      </c>
      <c r="R2432" s="75">
        <f t="shared" si="252"/>
        <v>1</v>
      </c>
      <c r="S2432" s="263" t="s">
        <v>1991</v>
      </c>
      <c r="T2432" s="263" t="s">
        <v>934</v>
      </c>
      <c r="Y2432" s="576">
        <v>0.62539351851851854</v>
      </c>
      <c r="Z2432" s="576">
        <v>0.62962962962962965</v>
      </c>
      <c r="AA2432" s="576">
        <f t="shared" si="253"/>
        <v>4.2361111111111072E-3</v>
      </c>
      <c r="AB2432" s="722"/>
    </row>
    <row r="2433" spans="1:28" x14ac:dyDescent="0.35">
      <c r="A2433" s="81" t="s">
        <v>7315</v>
      </c>
      <c r="C2433" s="118">
        <v>43951</v>
      </c>
      <c r="D2433" s="318">
        <v>43998</v>
      </c>
      <c r="E2433" s="83">
        <v>43985</v>
      </c>
      <c r="F2433" s="88" t="s">
        <v>7436</v>
      </c>
      <c r="G2433" s="88" t="s">
        <v>1692</v>
      </c>
      <c r="H2433" s="98" t="s">
        <v>220</v>
      </c>
      <c r="I2433" s="98" t="s">
        <v>649</v>
      </c>
      <c r="J2433" s="75">
        <f t="shared" si="251"/>
        <v>1</v>
      </c>
      <c r="K2433" s="76" t="s">
        <v>211</v>
      </c>
      <c r="L2433" s="99" t="s">
        <v>7521</v>
      </c>
      <c r="N2433" s="78" t="s">
        <v>18</v>
      </c>
      <c r="Q2433" s="78" t="s">
        <v>2056</v>
      </c>
      <c r="R2433" s="75">
        <f t="shared" si="252"/>
        <v>1</v>
      </c>
      <c r="S2433" s="263" t="s">
        <v>1991</v>
      </c>
      <c r="T2433" s="263" t="s">
        <v>933</v>
      </c>
      <c r="Y2433" s="576">
        <v>0.70896990740740751</v>
      </c>
      <c r="Z2433" s="576">
        <v>0.71457175925925931</v>
      </c>
      <c r="AA2433" s="576">
        <f t="shared" si="253"/>
        <v>5.6018518518518023E-3</v>
      </c>
      <c r="AB2433" s="722"/>
    </row>
    <row r="2434" spans="1:28" x14ac:dyDescent="0.35">
      <c r="A2434" s="81" t="s">
        <v>7316</v>
      </c>
      <c r="C2434" s="118">
        <v>43951</v>
      </c>
      <c r="D2434" s="318">
        <v>43998</v>
      </c>
      <c r="E2434" s="83">
        <v>43986</v>
      </c>
      <c r="F2434" s="88" t="s">
        <v>7437</v>
      </c>
      <c r="G2434" s="88" t="s">
        <v>195</v>
      </c>
      <c r="H2434" s="98" t="s">
        <v>220</v>
      </c>
      <c r="I2434" s="98" t="s">
        <v>722</v>
      </c>
      <c r="J2434" s="75">
        <f t="shared" si="251"/>
        <v>1</v>
      </c>
      <c r="K2434" s="76" t="s">
        <v>211</v>
      </c>
      <c r="L2434" s="99" t="s">
        <v>7804</v>
      </c>
      <c r="N2434" s="78" t="s">
        <v>17</v>
      </c>
      <c r="Q2434" s="78" t="s">
        <v>2097</v>
      </c>
      <c r="R2434" s="75">
        <f t="shared" si="252"/>
        <v>1</v>
      </c>
      <c r="S2434" s="263" t="s">
        <v>1991</v>
      </c>
      <c r="T2434" s="263" t="s">
        <v>934</v>
      </c>
      <c r="Y2434" s="576">
        <v>0.8131018518518518</v>
      </c>
      <c r="Z2434" s="576">
        <v>0.82100694444444444</v>
      </c>
      <c r="AA2434" s="576">
        <f t="shared" si="253"/>
        <v>7.9050925925926441E-3</v>
      </c>
      <c r="AB2434" s="722"/>
    </row>
    <row r="2435" spans="1:28" x14ac:dyDescent="0.35">
      <c r="A2435" s="98" t="s">
        <v>7317</v>
      </c>
      <c r="C2435" s="118">
        <v>43956</v>
      </c>
      <c r="D2435" s="318">
        <v>43998</v>
      </c>
      <c r="E2435" s="83">
        <v>43987</v>
      </c>
      <c r="F2435" s="88" t="s">
        <v>7438</v>
      </c>
      <c r="G2435" s="88" t="s">
        <v>149</v>
      </c>
      <c r="H2435" s="98" t="s">
        <v>220</v>
      </c>
      <c r="I2435" s="98" t="s">
        <v>722</v>
      </c>
      <c r="J2435" s="75">
        <f t="shared" si="251"/>
        <v>1</v>
      </c>
      <c r="K2435" s="76" t="s">
        <v>211</v>
      </c>
      <c r="L2435" s="99" t="s">
        <v>8053</v>
      </c>
      <c r="N2435" s="78" t="s">
        <v>17</v>
      </c>
      <c r="Q2435" s="78" t="s">
        <v>2097</v>
      </c>
      <c r="R2435" s="75">
        <f t="shared" si="252"/>
        <v>1</v>
      </c>
      <c r="S2435" s="263" t="s">
        <v>1991</v>
      </c>
      <c r="T2435" s="263" t="s">
        <v>934</v>
      </c>
      <c r="Y2435" s="576">
        <v>0.53357638888888892</v>
      </c>
      <c r="Z2435" s="576">
        <v>0.56619212962962961</v>
      </c>
      <c r="AA2435" s="576">
        <f t="shared" si="253"/>
        <v>3.2615740740740695E-2</v>
      </c>
      <c r="AB2435" s="722"/>
    </row>
    <row r="2436" spans="1:28" x14ac:dyDescent="0.35">
      <c r="A2436" s="81" t="s">
        <v>7321</v>
      </c>
      <c r="C2436" s="118">
        <v>43956</v>
      </c>
      <c r="D2436" s="318">
        <v>43998</v>
      </c>
      <c r="E2436" s="83">
        <v>43987</v>
      </c>
      <c r="F2436" s="88" t="s">
        <v>7442</v>
      </c>
      <c r="G2436" s="88" t="s">
        <v>149</v>
      </c>
      <c r="H2436" s="98" t="s">
        <v>220</v>
      </c>
      <c r="I2436" s="98" t="s">
        <v>722</v>
      </c>
      <c r="J2436" s="75">
        <f t="shared" si="251"/>
        <v>1</v>
      </c>
      <c r="K2436" s="76" t="s">
        <v>211</v>
      </c>
      <c r="L2436" s="99" t="s">
        <v>7527</v>
      </c>
      <c r="N2436" s="78" t="s">
        <v>17</v>
      </c>
      <c r="Q2436" s="78" t="s">
        <v>2097</v>
      </c>
      <c r="R2436" s="75">
        <f t="shared" si="252"/>
        <v>1</v>
      </c>
      <c r="S2436" s="263" t="s">
        <v>1991</v>
      </c>
      <c r="T2436" s="263" t="s">
        <v>932</v>
      </c>
      <c r="Y2436" s="576">
        <v>0.56657407407407401</v>
      </c>
      <c r="Z2436" s="576">
        <v>0.57101851851851848</v>
      </c>
      <c r="AA2436" s="576">
        <f t="shared" si="253"/>
        <v>4.4444444444444731E-3</v>
      </c>
      <c r="AB2436" s="722"/>
    </row>
    <row r="2437" spans="1:28" x14ac:dyDescent="0.35">
      <c r="A2437" s="81" t="s">
        <v>7323</v>
      </c>
      <c r="C2437" s="118">
        <v>43956</v>
      </c>
      <c r="D2437" s="318">
        <v>43998</v>
      </c>
      <c r="E2437" s="83">
        <v>43990</v>
      </c>
      <c r="F2437" s="88" t="s">
        <v>7444</v>
      </c>
      <c r="G2437" s="88" t="s">
        <v>741</v>
      </c>
      <c r="H2437" s="98" t="s">
        <v>220</v>
      </c>
      <c r="I2437" s="98" t="s">
        <v>649</v>
      </c>
      <c r="J2437" s="75">
        <f t="shared" si="251"/>
        <v>1</v>
      </c>
      <c r="K2437" s="76" t="s">
        <v>211</v>
      </c>
      <c r="L2437" s="99" t="s">
        <v>7524</v>
      </c>
      <c r="N2437" s="78" t="s">
        <v>18</v>
      </c>
      <c r="Q2437" s="78" t="s">
        <v>2163</v>
      </c>
      <c r="R2437" s="75">
        <f t="shared" si="252"/>
        <v>1</v>
      </c>
      <c r="S2437" s="263" t="s">
        <v>1991</v>
      </c>
      <c r="T2437" s="263" t="s">
        <v>932</v>
      </c>
      <c r="Y2437" s="576">
        <v>0.86121527777777773</v>
      </c>
      <c r="Z2437" s="576">
        <v>0.86496527777777776</v>
      </c>
      <c r="AA2437" s="576">
        <f t="shared" si="253"/>
        <v>3.7500000000000311E-3</v>
      </c>
      <c r="AB2437" s="722"/>
    </row>
    <row r="2438" spans="1:28" x14ac:dyDescent="0.35">
      <c r="A2438" s="81" t="s">
        <v>7324</v>
      </c>
      <c r="C2438" s="118">
        <v>43956</v>
      </c>
      <c r="D2438" s="318">
        <v>43998</v>
      </c>
      <c r="E2438" s="83">
        <v>43990</v>
      </c>
      <c r="F2438" s="88" t="s">
        <v>7445</v>
      </c>
      <c r="G2438" s="88" t="s">
        <v>162</v>
      </c>
      <c r="H2438" s="98" t="s">
        <v>220</v>
      </c>
      <c r="I2438" s="98" t="s">
        <v>649</v>
      </c>
      <c r="J2438" s="75">
        <f t="shared" ref="J2438:J2484" si="254">IF(OR(K2438="Документы готовы",K2438="Запрос в ФО",K2438="ЭЗ",K2438="РЕШ",K2438="РЕШ шаблон"),0.1,IF(OR(K2438="ЭЗ согласование",K2438="РЕШ согласование"),0.3,IF(OR(K2438="ЭЗ согласовано",K2438="РЕШ согласовано",K2438="РЕШ подписано"),0.6,IF(OR(K2438="ЭЗ ПР согласование",K2438="РЕШ УВ согласование"),0.9,IF(OR(K2438="ЭЗ ПР DONE",K2438="РЕШ УВ DONE"),1,0)))))</f>
        <v>1</v>
      </c>
      <c r="K2438" s="76" t="s">
        <v>211</v>
      </c>
      <c r="L2438" s="99" t="s">
        <v>7565</v>
      </c>
      <c r="N2438" s="78" t="s">
        <v>18</v>
      </c>
      <c r="Q2438" s="78" t="s">
        <v>2097</v>
      </c>
      <c r="R2438" s="75">
        <f t="shared" ref="R2438:R2484" si="255">IF(S2438="В работе",0.3,IF(S2438="Отписано",0.6,IF(S2438="На доработку",0.9,IF(S2438="Согласовано",1,0))))</f>
        <v>1</v>
      </c>
      <c r="S2438" s="263" t="s">
        <v>1991</v>
      </c>
      <c r="T2438" s="263" t="s">
        <v>933</v>
      </c>
      <c r="Y2438" s="576">
        <v>0.51143518518518516</v>
      </c>
      <c r="Z2438" s="576">
        <v>0.51527777777777783</v>
      </c>
      <c r="AA2438" s="576">
        <f t="shared" ref="AA2438:AA2484" si="256">Z2438-Y2438</f>
        <v>3.8425925925926752E-3</v>
      </c>
      <c r="AB2438" s="722"/>
    </row>
    <row r="2439" spans="1:28" x14ac:dyDescent="0.35">
      <c r="A2439" s="81" t="s">
        <v>7325</v>
      </c>
      <c r="C2439" s="118">
        <v>43956</v>
      </c>
      <c r="D2439" s="318">
        <v>43998</v>
      </c>
      <c r="E2439" s="83">
        <v>43990</v>
      </c>
      <c r="F2439" s="88" t="s">
        <v>7446</v>
      </c>
      <c r="G2439" s="88" t="s">
        <v>149</v>
      </c>
      <c r="H2439" s="98" t="s">
        <v>220</v>
      </c>
      <c r="I2439" s="98" t="s">
        <v>649</v>
      </c>
      <c r="J2439" s="75">
        <f t="shared" si="254"/>
        <v>1</v>
      </c>
      <c r="K2439" s="76" t="s">
        <v>211</v>
      </c>
      <c r="L2439" s="99" t="s">
        <v>7524</v>
      </c>
      <c r="N2439" s="78" t="s">
        <v>18</v>
      </c>
      <c r="Q2439" s="78" t="s">
        <v>2163</v>
      </c>
      <c r="R2439" s="75">
        <f t="shared" si="255"/>
        <v>1</v>
      </c>
      <c r="S2439" s="263" t="s">
        <v>1991</v>
      </c>
      <c r="T2439" s="263" t="s">
        <v>934</v>
      </c>
      <c r="Y2439" s="576">
        <v>0.77972222222222232</v>
      </c>
      <c r="Z2439" s="576">
        <v>0.78953703703703704</v>
      </c>
      <c r="AA2439" s="576">
        <f t="shared" si="256"/>
        <v>9.8148148148147207E-3</v>
      </c>
      <c r="AB2439" s="722"/>
    </row>
    <row r="2440" spans="1:28" x14ac:dyDescent="0.35">
      <c r="A2440" s="81" t="s">
        <v>7326</v>
      </c>
      <c r="C2440" s="118">
        <v>43956</v>
      </c>
      <c r="D2440" s="318">
        <v>43998</v>
      </c>
      <c r="E2440" s="83">
        <v>43985</v>
      </c>
      <c r="F2440" s="88" t="s">
        <v>7447</v>
      </c>
      <c r="G2440" s="88" t="s">
        <v>193</v>
      </c>
      <c r="H2440" s="98" t="s">
        <v>220</v>
      </c>
      <c r="I2440" s="98" t="s">
        <v>649</v>
      </c>
      <c r="J2440" s="75">
        <f t="shared" si="254"/>
        <v>1</v>
      </c>
      <c r="K2440" s="76" t="s">
        <v>211</v>
      </c>
      <c r="L2440" s="99" t="s">
        <v>7565</v>
      </c>
      <c r="N2440" s="78" t="s">
        <v>18</v>
      </c>
      <c r="Q2440" s="78" t="s">
        <v>2056</v>
      </c>
      <c r="R2440" s="75">
        <f t="shared" si="255"/>
        <v>1</v>
      </c>
      <c r="S2440" s="263" t="s">
        <v>1991</v>
      </c>
      <c r="T2440" s="263" t="s">
        <v>932</v>
      </c>
      <c r="Y2440" s="576">
        <v>0.82960648148148142</v>
      </c>
      <c r="Z2440" s="576">
        <v>0.83373842592592595</v>
      </c>
      <c r="AA2440" s="576">
        <f t="shared" si="256"/>
        <v>4.1319444444445352E-3</v>
      </c>
      <c r="AB2440" s="722"/>
    </row>
    <row r="2441" spans="1:28" x14ac:dyDescent="0.35">
      <c r="A2441" s="81" t="s">
        <v>7328</v>
      </c>
      <c r="C2441" s="118">
        <v>43956</v>
      </c>
      <c r="D2441" s="318">
        <v>43998</v>
      </c>
      <c r="E2441" s="83">
        <v>43987</v>
      </c>
      <c r="F2441" s="88" t="s">
        <v>7449</v>
      </c>
      <c r="G2441" s="88" t="s">
        <v>152</v>
      </c>
      <c r="H2441" s="98" t="s">
        <v>220</v>
      </c>
      <c r="I2441" s="98" t="s">
        <v>722</v>
      </c>
      <c r="J2441" s="75">
        <f t="shared" si="254"/>
        <v>1</v>
      </c>
      <c r="K2441" s="76" t="s">
        <v>211</v>
      </c>
      <c r="L2441" s="99" t="s">
        <v>7527</v>
      </c>
      <c r="N2441" s="78" t="s">
        <v>17</v>
      </c>
      <c r="Q2441" s="78" t="s">
        <v>2163</v>
      </c>
      <c r="R2441" s="75">
        <f t="shared" si="255"/>
        <v>1</v>
      </c>
      <c r="S2441" s="263" t="s">
        <v>1991</v>
      </c>
      <c r="T2441" s="263" t="s">
        <v>932</v>
      </c>
      <c r="Y2441" s="576">
        <v>0.82906250000000004</v>
      </c>
      <c r="Z2441" s="576">
        <v>0.83298611111111109</v>
      </c>
      <c r="AA2441" s="576">
        <f t="shared" si="256"/>
        <v>3.9236111111110583E-3</v>
      </c>
      <c r="AB2441" s="722"/>
    </row>
    <row r="2442" spans="1:28" x14ac:dyDescent="0.35">
      <c r="A2442" s="81" t="s">
        <v>7330</v>
      </c>
      <c r="C2442" s="118">
        <v>43956</v>
      </c>
      <c r="D2442" s="318">
        <v>43998</v>
      </c>
      <c r="E2442" s="83">
        <v>43986</v>
      </c>
      <c r="F2442" s="88" t="s">
        <v>7451</v>
      </c>
      <c r="G2442" s="88" t="s">
        <v>160</v>
      </c>
      <c r="H2442" s="98" t="s">
        <v>220</v>
      </c>
      <c r="I2442" s="98" t="s">
        <v>763</v>
      </c>
      <c r="J2442" s="75">
        <f t="shared" si="254"/>
        <v>1</v>
      </c>
      <c r="K2442" s="76" t="s">
        <v>211</v>
      </c>
      <c r="L2442" s="99" t="s">
        <v>7770</v>
      </c>
      <c r="N2442" s="78" t="s">
        <v>18</v>
      </c>
      <c r="Q2442" s="78" t="s">
        <v>2056</v>
      </c>
      <c r="R2442" s="75">
        <f t="shared" si="255"/>
        <v>1</v>
      </c>
      <c r="S2442" s="263" t="s">
        <v>1991</v>
      </c>
      <c r="T2442" s="263" t="s">
        <v>934</v>
      </c>
      <c r="Y2442" s="576">
        <v>0.67158564814814825</v>
      </c>
      <c r="Z2442" s="576">
        <v>0.67796296296296299</v>
      </c>
      <c r="AA2442" s="576">
        <f t="shared" si="256"/>
        <v>6.3773148148147385E-3</v>
      </c>
      <c r="AB2442" s="722"/>
    </row>
    <row r="2443" spans="1:28" x14ac:dyDescent="0.35">
      <c r="A2443" s="81" t="s">
        <v>7331</v>
      </c>
      <c r="C2443" s="118">
        <v>43956</v>
      </c>
      <c r="D2443" s="318">
        <v>43998</v>
      </c>
      <c r="E2443" s="83">
        <v>43987</v>
      </c>
      <c r="F2443" s="88" t="s">
        <v>7452</v>
      </c>
      <c r="G2443" s="88" t="s">
        <v>176</v>
      </c>
      <c r="H2443" s="98" t="s">
        <v>220</v>
      </c>
      <c r="I2443" s="98" t="s">
        <v>722</v>
      </c>
      <c r="J2443" s="75">
        <f t="shared" si="254"/>
        <v>1</v>
      </c>
      <c r="K2443" s="76" t="s">
        <v>211</v>
      </c>
      <c r="L2443" s="99" t="s">
        <v>7789</v>
      </c>
      <c r="N2443" s="78" t="s">
        <v>18</v>
      </c>
      <c r="Q2443" s="78" t="s">
        <v>2163</v>
      </c>
      <c r="R2443" s="75">
        <f t="shared" si="255"/>
        <v>1</v>
      </c>
      <c r="S2443" s="263" t="s">
        <v>1991</v>
      </c>
      <c r="T2443" s="263" t="s">
        <v>934</v>
      </c>
      <c r="Y2443" s="576">
        <v>0.83334490740740741</v>
      </c>
      <c r="Z2443" s="576">
        <v>0.83964120370370365</v>
      </c>
      <c r="AA2443" s="576">
        <f t="shared" si="256"/>
        <v>6.2962962962962443E-3</v>
      </c>
      <c r="AB2443" s="722"/>
    </row>
    <row r="2444" spans="1:28" x14ac:dyDescent="0.35">
      <c r="A2444" s="98" t="s">
        <v>7332</v>
      </c>
      <c r="C2444" s="118">
        <v>43956</v>
      </c>
      <c r="D2444" s="318">
        <v>43998</v>
      </c>
      <c r="E2444" s="83">
        <v>43991</v>
      </c>
      <c r="F2444" s="88" t="s">
        <v>7453</v>
      </c>
      <c r="G2444" s="88" t="s">
        <v>152</v>
      </c>
      <c r="H2444" s="98" t="s">
        <v>220</v>
      </c>
      <c r="I2444" s="98" t="s">
        <v>649</v>
      </c>
      <c r="J2444" s="75">
        <f t="shared" si="254"/>
        <v>1</v>
      </c>
      <c r="K2444" s="76" t="s">
        <v>211</v>
      </c>
      <c r="L2444" s="99" t="s">
        <v>7565</v>
      </c>
      <c r="N2444" s="78" t="s">
        <v>17</v>
      </c>
      <c r="Q2444" s="78" t="s">
        <v>2130</v>
      </c>
      <c r="R2444" s="75">
        <f t="shared" si="255"/>
        <v>1</v>
      </c>
      <c r="S2444" s="263" t="s">
        <v>1991</v>
      </c>
      <c r="T2444" s="263" t="s">
        <v>933</v>
      </c>
      <c r="U2444" s="304" t="s">
        <v>5592</v>
      </c>
      <c r="V2444" s="304" t="s">
        <v>8080</v>
      </c>
      <c r="Y2444" s="576">
        <v>0.55874999999999997</v>
      </c>
      <c r="Z2444" s="576">
        <v>0.58138888888888884</v>
      </c>
      <c r="AA2444" s="576">
        <f t="shared" si="256"/>
        <v>2.2638888888888875E-2</v>
      </c>
      <c r="AB2444" s="722"/>
    </row>
    <row r="2445" spans="1:28" x14ac:dyDescent="0.35">
      <c r="A2445" s="81" t="s">
        <v>7334</v>
      </c>
      <c r="C2445" s="118">
        <v>43957</v>
      </c>
      <c r="D2445" s="318">
        <v>43998</v>
      </c>
      <c r="E2445" s="83">
        <v>43985</v>
      </c>
      <c r="F2445" s="88" t="s">
        <v>7455</v>
      </c>
      <c r="G2445" s="88" t="s">
        <v>1337</v>
      </c>
      <c r="H2445" s="98" t="s">
        <v>220</v>
      </c>
      <c r="I2445" s="98" t="s">
        <v>1004</v>
      </c>
      <c r="J2445" s="75">
        <f t="shared" si="254"/>
        <v>1</v>
      </c>
      <c r="K2445" s="76" t="s">
        <v>211</v>
      </c>
      <c r="L2445" s="99" t="s">
        <v>7528</v>
      </c>
      <c r="N2445" s="78" t="s">
        <v>19</v>
      </c>
      <c r="Q2445" s="78" t="s">
        <v>2447</v>
      </c>
      <c r="R2445" s="75">
        <f t="shared" si="255"/>
        <v>1</v>
      </c>
      <c r="S2445" s="263" t="s">
        <v>1991</v>
      </c>
      <c r="T2445" s="263" t="s">
        <v>932</v>
      </c>
      <c r="Y2445" s="576">
        <v>0.73903935185185177</v>
      </c>
      <c r="Z2445" s="576">
        <v>0.74791666666666667</v>
      </c>
      <c r="AA2445" s="576">
        <f t="shared" si="256"/>
        <v>8.8773148148149073E-3</v>
      </c>
      <c r="AB2445" s="722"/>
    </row>
    <row r="2446" spans="1:28" x14ac:dyDescent="0.35">
      <c r="A2446" s="81" t="s">
        <v>7335</v>
      </c>
      <c r="C2446" s="118">
        <v>43957</v>
      </c>
      <c r="D2446" s="318">
        <v>43998</v>
      </c>
      <c r="E2446" s="83">
        <v>43990</v>
      </c>
      <c r="F2446" s="88" t="s">
        <v>7456</v>
      </c>
      <c r="G2446" s="88" t="s">
        <v>154</v>
      </c>
      <c r="H2446" s="98" t="s">
        <v>220</v>
      </c>
      <c r="I2446" s="98" t="s">
        <v>649</v>
      </c>
      <c r="J2446" s="75">
        <f t="shared" si="254"/>
        <v>1</v>
      </c>
      <c r="K2446" s="76" t="s">
        <v>211</v>
      </c>
      <c r="L2446" s="99" t="s">
        <v>8075</v>
      </c>
      <c r="N2446" s="78" t="s">
        <v>18</v>
      </c>
      <c r="Q2446" s="78" t="s">
        <v>2163</v>
      </c>
      <c r="R2446" s="75">
        <f t="shared" si="255"/>
        <v>1</v>
      </c>
      <c r="S2446" s="263" t="s">
        <v>1991</v>
      </c>
      <c r="T2446" s="263" t="s">
        <v>933</v>
      </c>
      <c r="Y2446" s="576">
        <v>0.73135416666666664</v>
      </c>
      <c r="Z2446" s="576">
        <v>0.73685185185185187</v>
      </c>
      <c r="AA2446" s="576">
        <f t="shared" si="256"/>
        <v>5.4976851851852304E-3</v>
      </c>
      <c r="AB2446" s="722"/>
    </row>
    <row r="2447" spans="1:28" x14ac:dyDescent="0.35">
      <c r="A2447" s="81" t="s">
        <v>7336</v>
      </c>
      <c r="C2447" s="118">
        <v>43957</v>
      </c>
      <c r="D2447" s="318">
        <v>43998</v>
      </c>
      <c r="E2447" s="83">
        <v>43990</v>
      </c>
      <c r="F2447" s="88" t="s">
        <v>7457</v>
      </c>
      <c r="G2447" s="88" t="s">
        <v>176</v>
      </c>
      <c r="H2447" s="98" t="s">
        <v>220</v>
      </c>
      <c r="I2447" s="98" t="s">
        <v>722</v>
      </c>
      <c r="J2447" s="75">
        <f t="shared" si="254"/>
        <v>1</v>
      </c>
      <c r="K2447" s="76" t="s">
        <v>211</v>
      </c>
      <c r="L2447" s="99" t="s">
        <v>7527</v>
      </c>
      <c r="N2447" s="78" t="s">
        <v>18</v>
      </c>
      <c r="Q2447" s="78" t="s">
        <v>2130</v>
      </c>
      <c r="R2447" s="75">
        <f t="shared" si="255"/>
        <v>1</v>
      </c>
      <c r="S2447" s="263" t="s">
        <v>1991</v>
      </c>
      <c r="T2447" s="263" t="s">
        <v>932</v>
      </c>
      <c r="Y2447" s="576">
        <v>0.61254629629629631</v>
      </c>
      <c r="Z2447" s="576">
        <v>0.61952546296296296</v>
      </c>
      <c r="AA2447" s="576">
        <f t="shared" si="256"/>
        <v>6.9791666666666474E-3</v>
      </c>
      <c r="AB2447" s="722"/>
    </row>
    <row r="2448" spans="1:28" x14ac:dyDescent="0.35">
      <c r="A2448" s="81" t="s">
        <v>7337</v>
      </c>
      <c r="C2448" s="118">
        <v>43957</v>
      </c>
      <c r="D2448" s="318">
        <v>43998</v>
      </c>
      <c r="E2448" s="83">
        <v>43985</v>
      </c>
      <c r="F2448" s="88" t="s">
        <v>7458</v>
      </c>
      <c r="G2448" s="88" t="s">
        <v>152</v>
      </c>
      <c r="H2448" s="98" t="s">
        <v>220</v>
      </c>
      <c r="I2448" s="98" t="s">
        <v>8037</v>
      </c>
      <c r="J2448" s="75">
        <f t="shared" si="254"/>
        <v>1</v>
      </c>
      <c r="K2448" s="76" t="s">
        <v>211</v>
      </c>
      <c r="L2448" s="99" t="s">
        <v>8038</v>
      </c>
      <c r="N2448" s="78" t="s">
        <v>17</v>
      </c>
      <c r="Q2448" s="78" t="s">
        <v>2097</v>
      </c>
      <c r="R2448" s="75">
        <f t="shared" si="255"/>
        <v>1</v>
      </c>
      <c r="S2448" s="263" t="s">
        <v>1991</v>
      </c>
      <c r="T2448" s="263" t="s">
        <v>933</v>
      </c>
      <c r="Y2448" s="576">
        <v>0.65954861111111118</v>
      </c>
      <c r="Z2448" s="576">
        <v>0.69489583333333327</v>
      </c>
      <c r="AA2448" s="576">
        <f t="shared" si="256"/>
        <v>3.5347222222222086E-2</v>
      </c>
      <c r="AB2448" s="722"/>
    </row>
    <row r="2449" spans="1:28" x14ac:dyDescent="0.35">
      <c r="A2449" s="81" t="s">
        <v>7338</v>
      </c>
      <c r="C2449" s="118">
        <v>43957</v>
      </c>
      <c r="D2449" s="318">
        <v>43998</v>
      </c>
      <c r="E2449" s="83">
        <v>43986</v>
      </c>
      <c r="F2449" s="88" t="s">
        <v>7459</v>
      </c>
      <c r="G2449" s="88" t="s">
        <v>158</v>
      </c>
      <c r="H2449" s="98" t="s">
        <v>220</v>
      </c>
      <c r="I2449" s="98" t="s">
        <v>649</v>
      </c>
      <c r="J2449" s="75">
        <f t="shared" si="254"/>
        <v>1</v>
      </c>
      <c r="K2449" s="76" t="s">
        <v>211</v>
      </c>
      <c r="L2449" s="99" t="s">
        <v>7521</v>
      </c>
      <c r="N2449" s="78" t="s">
        <v>18</v>
      </c>
      <c r="Q2449" s="78" t="s">
        <v>2097</v>
      </c>
      <c r="R2449" s="75">
        <f t="shared" si="255"/>
        <v>1</v>
      </c>
      <c r="S2449" s="263" t="s">
        <v>1991</v>
      </c>
      <c r="T2449" s="263" t="s">
        <v>932</v>
      </c>
      <c r="Y2449" s="576">
        <v>0.82141203703703702</v>
      </c>
      <c r="Z2449" s="576">
        <v>0.82634259259259257</v>
      </c>
      <c r="AA2449" s="576">
        <f t="shared" si="256"/>
        <v>4.9305555555555491E-3</v>
      </c>
      <c r="AB2449" s="722"/>
    </row>
    <row r="2450" spans="1:28" x14ac:dyDescent="0.35">
      <c r="A2450" s="81" t="s">
        <v>7340</v>
      </c>
      <c r="C2450" s="118">
        <v>43957</v>
      </c>
      <c r="D2450" s="318">
        <v>43998</v>
      </c>
      <c r="E2450" s="83">
        <v>43985</v>
      </c>
      <c r="F2450" s="88" t="s">
        <v>7461</v>
      </c>
      <c r="G2450" s="88" t="s">
        <v>152</v>
      </c>
      <c r="H2450" s="98" t="s">
        <v>220</v>
      </c>
      <c r="I2450" s="98" t="s">
        <v>722</v>
      </c>
      <c r="J2450" s="75">
        <f t="shared" si="254"/>
        <v>1</v>
      </c>
      <c r="K2450" s="76" t="s">
        <v>211</v>
      </c>
      <c r="L2450" s="99" t="s">
        <v>7789</v>
      </c>
      <c r="N2450" s="78" t="s">
        <v>18</v>
      </c>
      <c r="Q2450" s="78" t="s">
        <v>2056</v>
      </c>
      <c r="R2450" s="75">
        <f t="shared" si="255"/>
        <v>1</v>
      </c>
      <c r="S2450" s="263" t="s">
        <v>1991</v>
      </c>
      <c r="T2450" s="263" t="s">
        <v>934</v>
      </c>
      <c r="Y2450" s="576">
        <v>0.8175810185185185</v>
      </c>
      <c r="Z2450" s="576">
        <v>0.82726851851851846</v>
      </c>
      <c r="AA2450" s="576">
        <f t="shared" si="256"/>
        <v>9.68749999999996E-3</v>
      </c>
      <c r="AB2450" s="722"/>
    </row>
    <row r="2451" spans="1:28" x14ac:dyDescent="0.35">
      <c r="A2451" s="81" t="s">
        <v>7342</v>
      </c>
      <c r="C2451" s="118">
        <v>43957</v>
      </c>
      <c r="D2451" s="318">
        <v>43998</v>
      </c>
      <c r="E2451" s="83">
        <v>43986</v>
      </c>
      <c r="F2451" s="88" t="s">
        <v>7463</v>
      </c>
      <c r="G2451" s="88" t="s">
        <v>2698</v>
      </c>
      <c r="H2451" s="98" t="s">
        <v>220</v>
      </c>
      <c r="I2451" s="98" t="s">
        <v>649</v>
      </c>
      <c r="J2451" s="75">
        <f t="shared" si="254"/>
        <v>1</v>
      </c>
      <c r="K2451" s="76" t="s">
        <v>211</v>
      </c>
      <c r="L2451" s="99" t="s">
        <v>7797</v>
      </c>
      <c r="N2451" s="78" t="s">
        <v>18</v>
      </c>
      <c r="Q2451" s="78" t="s">
        <v>2447</v>
      </c>
      <c r="R2451" s="75">
        <f t="shared" si="255"/>
        <v>1</v>
      </c>
      <c r="S2451" s="263" t="s">
        <v>1991</v>
      </c>
      <c r="T2451" s="263" t="s">
        <v>932</v>
      </c>
      <c r="Y2451" s="576">
        <v>0.6381134259259259</v>
      </c>
      <c r="Z2451" s="576">
        <v>0.64368055555555559</v>
      </c>
      <c r="AA2451" s="576">
        <f t="shared" si="256"/>
        <v>5.5671296296296857E-3</v>
      </c>
      <c r="AB2451" s="722"/>
    </row>
    <row r="2452" spans="1:28" x14ac:dyDescent="0.35">
      <c r="A2452" s="81" t="s">
        <v>7344</v>
      </c>
      <c r="C2452" s="118">
        <v>43957</v>
      </c>
      <c r="D2452" s="318">
        <v>43998</v>
      </c>
      <c r="E2452" s="83">
        <v>43991</v>
      </c>
      <c r="F2452" s="88" t="s">
        <v>7465</v>
      </c>
      <c r="G2452" s="88" t="s">
        <v>154</v>
      </c>
      <c r="H2452" s="98" t="s">
        <v>220</v>
      </c>
      <c r="I2452" s="98" t="s">
        <v>8084</v>
      </c>
      <c r="J2452" s="75">
        <f t="shared" si="254"/>
        <v>1</v>
      </c>
      <c r="K2452" s="76" t="s">
        <v>211</v>
      </c>
      <c r="L2452" s="99" t="s">
        <v>8225</v>
      </c>
      <c r="N2452" s="78" t="s">
        <v>18</v>
      </c>
      <c r="Q2452" s="78" t="s">
        <v>2130</v>
      </c>
      <c r="R2452" s="75">
        <f t="shared" si="255"/>
        <v>1</v>
      </c>
      <c r="S2452" s="263" t="s">
        <v>1991</v>
      </c>
      <c r="T2452" s="263" t="s">
        <v>933</v>
      </c>
      <c r="U2452" s="304" t="s">
        <v>5592</v>
      </c>
      <c r="V2452" s="304" t="s">
        <v>8085</v>
      </c>
      <c r="Y2452" s="576">
        <v>0.61082175925925919</v>
      </c>
      <c r="Z2452" s="576">
        <v>0.62422453703703706</v>
      </c>
      <c r="AA2452" s="576">
        <f t="shared" si="256"/>
        <v>1.3402777777777874E-2</v>
      </c>
      <c r="AB2452" s="722"/>
    </row>
    <row r="2453" spans="1:28" x14ac:dyDescent="0.35">
      <c r="A2453" s="81" t="s">
        <v>7345</v>
      </c>
      <c r="C2453" s="118">
        <v>43957</v>
      </c>
      <c r="D2453" s="318">
        <v>43998</v>
      </c>
      <c r="E2453" s="83">
        <v>43992</v>
      </c>
      <c r="F2453" s="88" t="s">
        <v>7466</v>
      </c>
      <c r="G2453" s="88" t="s">
        <v>158</v>
      </c>
      <c r="H2453" s="98" t="s">
        <v>220</v>
      </c>
      <c r="I2453" s="98" t="s">
        <v>722</v>
      </c>
      <c r="J2453" s="75">
        <f t="shared" si="254"/>
        <v>1</v>
      </c>
      <c r="K2453" s="76" t="s">
        <v>211</v>
      </c>
      <c r="L2453" s="99" t="s">
        <v>8104</v>
      </c>
      <c r="N2453" s="78" t="s">
        <v>17</v>
      </c>
      <c r="Q2453" s="78" t="s">
        <v>2130</v>
      </c>
      <c r="R2453" s="75">
        <f t="shared" si="255"/>
        <v>1</v>
      </c>
      <c r="S2453" s="263" t="s">
        <v>1991</v>
      </c>
      <c r="T2453" s="263" t="s">
        <v>933</v>
      </c>
      <c r="Y2453" s="576">
        <v>0.6141550925925926</v>
      </c>
      <c r="Z2453" s="576">
        <v>0.62644675925925919</v>
      </c>
      <c r="AA2453" s="576">
        <f t="shared" si="256"/>
        <v>1.229166666666659E-2</v>
      </c>
      <c r="AB2453" s="722"/>
    </row>
    <row r="2454" spans="1:28" x14ac:dyDescent="0.35">
      <c r="A2454" s="81" t="s">
        <v>7346</v>
      </c>
      <c r="C2454" s="118">
        <v>43957</v>
      </c>
      <c r="D2454" s="318">
        <v>43998</v>
      </c>
      <c r="E2454" s="83">
        <v>43991</v>
      </c>
      <c r="F2454" s="88" t="s">
        <v>7467</v>
      </c>
      <c r="G2454" s="88" t="s">
        <v>152</v>
      </c>
      <c r="H2454" s="98" t="s">
        <v>220</v>
      </c>
      <c r="I2454" s="98" t="s">
        <v>664</v>
      </c>
      <c r="J2454" s="75">
        <f t="shared" si="254"/>
        <v>1</v>
      </c>
      <c r="K2454" s="76" t="s">
        <v>211</v>
      </c>
      <c r="L2454" s="99" t="s">
        <v>8086</v>
      </c>
      <c r="N2454" s="78" t="s">
        <v>17</v>
      </c>
      <c r="Q2454" s="78" t="s">
        <v>2056</v>
      </c>
      <c r="R2454" s="75">
        <f t="shared" si="255"/>
        <v>1</v>
      </c>
      <c r="S2454" s="263" t="s">
        <v>1991</v>
      </c>
      <c r="T2454" s="263" t="s">
        <v>934</v>
      </c>
      <c r="Y2454" s="576">
        <v>0.65019675925925924</v>
      </c>
      <c r="Z2454" s="576">
        <v>0.7095717592592593</v>
      </c>
      <c r="AA2454" s="576">
        <f t="shared" si="256"/>
        <v>5.9375000000000067E-2</v>
      </c>
      <c r="AB2454" s="722"/>
    </row>
    <row r="2455" spans="1:28" x14ac:dyDescent="0.35">
      <c r="A2455" s="81" t="s">
        <v>7843</v>
      </c>
      <c r="C2455" s="118">
        <v>43957</v>
      </c>
      <c r="D2455" s="318">
        <v>43998</v>
      </c>
      <c r="E2455" s="83">
        <v>43986</v>
      </c>
      <c r="F2455" s="88" t="s">
        <v>7924</v>
      </c>
      <c r="G2455" s="88" t="s">
        <v>2698</v>
      </c>
      <c r="H2455" s="98" t="s">
        <v>220</v>
      </c>
      <c r="I2455" s="98" t="s">
        <v>722</v>
      </c>
      <c r="J2455" s="75">
        <f t="shared" si="254"/>
        <v>1</v>
      </c>
      <c r="K2455" s="76" t="s">
        <v>211</v>
      </c>
      <c r="L2455" s="99" t="s">
        <v>7526</v>
      </c>
      <c r="N2455" s="78" t="s">
        <v>18</v>
      </c>
      <c r="Q2455" s="78" t="s">
        <v>2056</v>
      </c>
      <c r="R2455" s="75">
        <f t="shared" si="255"/>
        <v>1</v>
      </c>
      <c r="S2455" s="263" t="s">
        <v>1991</v>
      </c>
      <c r="T2455" s="263" t="s">
        <v>932</v>
      </c>
      <c r="Y2455" s="576">
        <v>0.77690972222222221</v>
      </c>
      <c r="Z2455" s="576">
        <v>0.79204861111111102</v>
      </c>
      <c r="AA2455" s="576">
        <f t="shared" si="256"/>
        <v>1.5138888888888813E-2</v>
      </c>
      <c r="AB2455" s="722"/>
    </row>
    <row r="2456" spans="1:28" x14ac:dyDescent="0.35">
      <c r="A2456" s="81" t="s">
        <v>7347</v>
      </c>
      <c r="C2456" s="118">
        <v>43958</v>
      </c>
      <c r="D2456" s="318">
        <v>43998</v>
      </c>
      <c r="E2456" s="83">
        <v>43987</v>
      </c>
      <c r="F2456" s="88" t="s">
        <v>7468</v>
      </c>
      <c r="G2456" s="88" t="s">
        <v>195</v>
      </c>
      <c r="H2456" s="98" t="s">
        <v>220</v>
      </c>
      <c r="I2456" s="98" t="s">
        <v>722</v>
      </c>
      <c r="J2456" s="75">
        <f t="shared" si="254"/>
        <v>1</v>
      </c>
      <c r="K2456" s="76" t="s">
        <v>211</v>
      </c>
      <c r="L2456" s="99" t="s">
        <v>7526</v>
      </c>
      <c r="N2456" s="78" t="s">
        <v>17</v>
      </c>
      <c r="Q2456" s="78" t="s">
        <v>2163</v>
      </c>
      <c r="R2456" s="75">
        <f t="shared" si="255"/>
        <v>1</v>
      </c>
      <c r="S2456" s="263" t="s">
        <v>1991</v>
      </c>
      <c r="T2456" s="263" t="s">
        <v>932</v>
      </c>
      <c r="Y2456" s="576">
        <v>0.83981481481481479</v>
      </c>
      <c r="Z2456" s="576">
        <v>0.84657407407407403</v>
      </c>
      <c r="AA2456" s="576">
        <f t="shared" si="256"/>
        <v>6.7592592592592426E-3</v>
      </c>
      <c r="AB2456" s="722"/>
    </row>
    <row r="2457" spans="1:28" x14ac:dyDescent="0.35">
      <c r="A2457" s="81" t="s">
        <v>7350</v>
      </c>
      <c r="C2457" s="118">
        <v>43958</v>
      </c>
      <c r="D2457" s="318">
        <v>43998</v>
      </c>
      <c r="E2457" s="83">
        <v>43986</v>
      </c>
      <c r="F2457" s="88" t="s">
        <v>7471</v>
      </c>
      <c r="G2457" s="88" t="s">
        <v>156</v>
      </c>
      <c r="H2457" s="98" t="s">
        <v>220</v>
      </c>
      <c r="I2457" s="98" t="s">
        <v>722</v>
      </c>
      <c r="J2457" s="75">
        <f t="shared" si="254"/>
        <v>1</v>
      </c>
      <c r="K2457" s="76" t="s">
        <v>211</v>
      </c>
      <c r="L2457" s="99" t="s">
        <v>7527</v>
      </c>
      <c r="N2457" s="78" t="s">
        <v>18</v>
      </c>
      <c r="Q2457" s="78" t="s">
        <v>2447</v>
      </c>
      <c r="R2457" s="75">
        <f t="shared" si="255"/>
        <v>1</v>
      </c>
      <c r="S2457" s="263" t="s">
        <v>1991</v>
      </c>
      <c r="T2457" s="263" t="s">
        <v>933</v>
      </c>
      <c r="Y2457" s="576">
        <v>0.66710648148148144</v>
      </c>
      <c r="Z2457" s="576">
        <v>0.67099537037037038</v>
      </c>
      <c r="AA2457" s="576">
        <f t="shared" si="256"/>
        <v>3.8888888888889417E-3</v>
      </c>
      <c r="AB2457" s="722"/>
    </row>
    <row r="2458" spans="1:28" x14ac:dyDescent="0.35">
      <c r="A2458" s="81" t="s">
        <v>7352</v>
      </c>
      <c r="C2458" s="118">
        <v>43958</v>
      </c>
      <c r="D2458" s="318">
        <v>43998</v>
      </c>
      <c r="E2458" s="83">
        <v>43986</v>
      </c>
      <c r="F2458" s="88" t="s">
        <v>7473</v>
      </c>
      <c r="G2458" s="88" t="s">
        <v>160</v>
      </c>
      <c r="H2458" s="98" t="s">
        <v>220</v>
      </c>
      <c r="I2458" s="98" t="s">
        <v>722</v>
      </c>
      <c r="J2458" s="75">
        <f t="shared" si="254"/>
        <v>1</v>
      </c>
      <c r="K2458" s="76" t="s">
        <v>211</v>
      </c>
      <c r="L2458" s="99" t="s">
        <v>8047</v>
      </c>
      <c r="N2458" s="78" t="s">
        <v>17</v>
      </c>
      <c r="Q2458" s="78" t="s">
        <v>2056</v>
      </c>
      <c r="R2458" s="75">
        <f t="shared" si="255"/>
        <v>1</v>
      </c>
      <c r="S2458" s="263" t="s">
        <v>1991</v>
      </c>
      <c r="T2458" s="263" t="s">
        <v>933</v>
      </c>
      <c r="Y2458" s="576">
        <v>0.74664351851851851</v>
      </c>
      <c r="Z2458" s="576">
        <v>0.76217592592592587</v>
      </c>
      <c r="AA2458" s="576">
        <f t="shared" si="256"/>
        <v>1.5532407407407356E-2</v>
      </c>
      <c r="AB2458" s="722"/>
    </row>
    <row r="2459" spans="1:28" x14ac:dyDescent="0.35">
      <c r="A2459" s="81" t="s">
        <v>7353</v>
      </c>
      <c r="C2459" s="118">
        <v>43958</v>
      </c>
      <c r="D2459" s="318">
        <v>43998</v>
      </c>
      <c r="E2459" s="83">
        <v>43986</v>
      </c>
      <c r="F2459" s="88" t="s">
        <v>7474</v>
      </c>
      <c r="G2459" s="88" t="s">
        <v>162</v>
      </c>
      <c r="H2459" s="98" t="s">
        <v>220</v>
      </c>
      <c r="I2459" s="98" t="s">
        <v>722</v>
      </c>
      <c r="J2459" s="75">
        <f t="shared" si="254"/>
        <v>1</v>
      </c>
      <c r="K2459" s="76" t="s">
        <v>211</v>
      </c>
      <c r="L2459" s="99" t="s">
        <v>7791</v>
      </c>
      <c r="N2459" s="78" t="s">
        <v>17</v>
      </c>
      <c r="Q2459" s="78" t="s">
        <v>2097</v>
      </c>
      <c r="R2459" s="75">
        <f t="shared" si="255"/>
        <v>1</v>
      </c>
      <c r="S2459" s="263" t="s">
        <v>1991</v>
      </c>
      <c r="T2459" s="263" t="s">
        <v>933</v>
      </c>
      <c r="Y2459" s="576">
        <v>0.79320601851851846</v>
      </c>
      <c r="Z2459" s="576">
        <v>0.7992824074074073</v>
      </c>
      <c r="AA2459" s="576">
        <f t="shared" si="256"/>
        <v>6.0763888888888395E-3</v>
      </c>
      <c r="AB2459" s="722"/>
    </row>
    <row r="2460" spans="1:28" x14ac:dyDescent="0.35">
      <c r="A2460" s="81" t="s">
        <v>7354</v>
      </c>
      <c r="C2460" s="118">
        <v>43958</v>
      </c>
      <c r="D2460" s="318">
        <v>43998</v>
      </c>
      <c r="E2460" s="83">
        <v>43990</v>
      </c>
      <c r="F2460" s="88" t="s">
        <v>7475</v>
      </c>
      <c r="G2460" s="88" t="s">
        <v>162</v>
      </c>
      <c r="H2460" s="98" t="s">
        <v>220</v>
      </c>
      <c r="I2460" s="98" t="s">
        <v>722</v>
      </c>
      <c r="J2460" s="75">
        <f t="shared" si="254"/>
        <v>1</v>
      </c>
      <c r="K2460" s="76" t="s">
        <v>211</v>
      </c>
      <c r="L2460" s="99" t="s">
        <v>8071</v>
      </c>
      <c r="N2460" s="78" t="s">
        <v>17</v>
      </c>
      <c r="Q2460" s="78" t="s">
        <v>2130</v>
      </c>
      <c r="R2460" s="75">
        <f t="shared" si="255"/>
        <v>1</v>
      </c>
      <c r="S2460" s="263" t="s">
        <v>1991</v>
      </c>
      <c r="T2460" s="263" t="s">
        <v>933</v>
      </c>
      <c r="Y2460" s="576">
        <v>0.62156250000000002</v>
      </c>
      <c r="Z2460" s="576">
        <v>0.63009259259259254</v>
      </c>
      <c r="AA2460" s="576">
        <f t="shared" si="256"/>
        <v>8.5300925925925197E-3</v>
      </c>
      <c r="AB2460" s="722"/>
    </row>
    <row r="2461" spans="1:28" x14ac:dyDescent="0.35">
      <c r="A2461" s="81" t="s">
        <v>7356</v>
      </c>
      <c r="C2461" s="118">
        <v>43959</v>
      </c>
      <c r="D2461" s="318">
        <v>43998</v>
      </c>
      <c r="E2461" s="83">
        <v>43990</v>
      </c>
      <c r="F2461" s="88" t="s">
        <v>7477</v>
      </c>
      <c r="G2461" s="88" t="s">
        <v>3356</v>
      </c>
      <c r="H2461" s="98" t="s">
        <v>220</v>
      </c>
      <c r="I2461" s="98" t="s">
        <v>649</v>
      </c>
      <c r="J2461" s="75">
        <f t="shared" si="254"/>
        <v>1</v>
      </c>
      <c r="K2461" s="76" t="s">
        <v>211</v>
      </c>
      <c r="L2461" s="99" t="s">
        <v>7521</v>
      </c>
      <c r="N2461" s="78" t="s">
        <v>18</v>
      </c>
      <c r="Q2461" s="78" t="s">
        <v>2130</v>
      </c>
      <c r="R2461" s="75">
        <f t="shared" si="255"/>
        <v>1</v>
      </c>
      <c r="S2461" s="263" t="s">
        <v>1991</v>
      </c>
      <c r="T2461" s="263" t="s">
        <v>932</v>
      </c>
      <c r="Y2461" s="576">
        <v>0.73723379629629626</v>
      </c>
      <c r="Z2461" s="576">
        <v>0.7418865740740741</v>
      </c>
      <c r="AA2461" s="576">
        <f t="shared" si="256"/>
        <v>4.652777777777839E-3</v>
      </c>
      <c r="AB2461" s="722"/>
    </row>
    <row r="2462" spans="1:28" x14ac:dyDescent="0.35">
      <c r="A2462" s="81" t="s">
        <v>7357</v>
      </c>
      <c r="C2462" s="118">
        <v>43959</v>
      </c>
      <c r="D2462" s="318">
        <v>43998</v>
      </c>
      <c r="E2462" s="83">
        <v>43986</v>
      </c>
      <c r="F2462" s="88" t="s">
        <v>7478</v>
      </c>
      <c r="G2462" s="88" t="s">
        <v>162</v>
      </c>
      <c r="H2462" s="98" t="s">
        <v>220</v>
      </c>
      <c r="I2462" s="98" t="s">
        <v>730</v>
      </c>
      <c r="J2462" s="75">
        <f t="shared" si="254"/>
        <v>1</v>
      </c>
      <c r="K2462" s="76" t="s">
        <v>211</v>
      </c>
      <c r="L2462" s="99" t="s">
        <v>8046</v>
      </c>
      <c r="N2462" s="78" t="s">
        <v>17</v>
      </c>
      <c r="Q2462" s="78" t="s">
        <v>2447</v>
      </c>
      <c r="R2462" s="75">
        <f t="shared" si="255"/>
        <v>1</v>
      </c>
      <c r="S2462" s="263" t="s">
        <v>1991</v>
      </c>
      <c r="T2462" s="263" t="s">
        <v>934</v>
      </c>
      <c r="Y2462" s="576">
        <v>0.7198148148148148</v>
      </c>
      <c r="Z2462" s="576">
        <v>0.74333333333333329</v>
      </c>
      <c r="AA2462" s="576">
        <f t="shared" si="256"/>
        <v>2.3518518518518494E-2</v>
      </c>
      <c r="AB2462" s="722"/>
    </row>
    <row r="2463" spans="1:28" x14ac:dyDescent="0.35">
      <c r="A2463" s="81" t="s">
        <v>7358</v>
      </c>
      <c r="C2463" s="118">
        <v>43959</v>
      </c>
      <c r="D2463" s="318">
        <v>43998</v>
      </c>
      <c r="E2463" s="83">
        <v>43986</v>
      </c>
      <c r="F2463" s="88" t="s">
        <v>6986</v>
      </c>
      <c r="G2463" s="88" t="s">
        <v>3866</v>
      </c>
      <c r="H2463" s="98" t="s">
        <v>220</v>
      </c>
      <c r="I2463" s="98" t="s">
        <v>722</v>
      </c>
      <c r="J2463" s="75">
        <f t="shared" si="254"/>
        <v>1</v>
      </c>
      <c r="K2463" s="76" t="s">
        <v>211</v>
      </c>
      <c r="L2463" s="99" t="s">
        <v>7526</v>
      </c>
      <c r="N2463" s="78" t="s">
        <v>18</v>
      </c>
      <c r="Q2463" s="78" t="s">
        <v>2447</v>
      </c>
      <c r="R2463" s="75">
        <f t="shared" si="255"/>
        <v>1</v>
      </c>
      <c r="S2463" s="263" t="s">
        <v>1991</v>
      </c>
      <c r="T2463" s="263" t="s">
        <v>933</v>
      </c>
      <c r="Y2463" s="576">
        <v>0.76406249999999998</v>
      </c>
      <c r="Z2463" s="576">
        <v>0.77146990740740751</v>
      </c>
      <c r="AA2463" s="576">
        <f t="shared" si="256"/>
        <v>7.4074074074075291E-3</v>
      </c>
      <c r="AB2463" s="722"/>
    </row>
    <row r="2464" spans="1:28" x14ac:dyDescent="0.35">
      <c r="A2464" s="81" t="s">
        <v>7359</v>
      </c>
      <c r="C2464" s="118">
        <v>43959</v>
      </c>
      <c r="D2464" s="318">
        <v>43998</v>
      </c>
      <c r="E2464" s="83">
        <v>43986</v>
      </c>
      <c r="F2464" s="88" t="s">
        <v>7479</v>
      </c>
      <c r="G2464" s="88" t="s">
        <v>149</v>
      </c>
      <c r="H2464" s="98" t="s">
        <v>220</v>
      </c>
      <c r="I2464" s="98" t="s">
        <v>649</v>
      </c>
      <c r="J2464" s="75">
        <f t="shared" si="254"/>
        <v>1</v>
      </c>
      <c r="K2464" s="76" t="s">
        <v>211</v>
      </c>
      <c r="L2464" s="99" t="s">
        <v>7565</v>
      </c>
      <c r="N2464" s="78" t="s">
        <v>18</v>
      </c>
      <c r="Q2464" s="78" t="s">
        <v>2447</v>
      </c>
      <c r="R2464" s="75">
        <f t="shared" si="255"/>
        <v>1</v>
      </c>
      <c r="S2464" s="263" t="s">
        <v>1991</v>
      </c>
      <c r="T2464" s="263" t="s">
        <v>933</v>
      </c>
      <c r="Y2464" s="576">
        <v>0.77170138888888884</v>
      </c>
      <c r="Z2464" s="576">
        <v>0.77572916666666669</v>
      </c>
      <c r="AA2464" s="576">
        <f t="shared" si="256"/>
        <v>4.0277777777778523E-3</v>
      </c>
      <c r="AB2464" s="722"/>
    </row>
    <row r="2465" spans="1:28" x14ac:dyDescent="0.35">
      <c r="A2465" s="81" t="s">
        <v>7360</v>
      </c>
      <c r="C2465" s="118">
        <v>43959</v>
      </c>
      <c r="D2465" s="318">
        <v>43998</v>
      </c>
      <c r="E2465" s="83">
        <v>43990</v>
      </c>
      <c r="F2465" s="88" t="s">
        <v>7480</v>
      </c>
      <c r="G2465" s="88" t="s">
        <v>154</v>
      </c>
      <c r="H2465" s="98" t="s">
        <v>220</v>
      </c>
      <c r="I2465" s="98" t="s">
        <v>730</v>
      </c>
      <c r="J2465" s="75">
        <f t="shared" si="254"/>
        <v>1</v>
      </c>
      <c r="K2465" s="76" t="s">
        <v>211</v>
      </c>
      <c r="L2465" s="99" t="s">
        <v>8076</v>
      </c>
      <c r="N2465" s="78" t="s">
        <v>17</v>
      </c>
      <c r="Q2465" s="78" t="s">
        <v>2130</v>
      </c>
      <c r="R2465" s="75">
        <f t="shared" si="255"/>
        <v>1</v>
      </c>
      <c r="S2465" s="263" t="s">
        <v>1991</v>
      </c>
      <c r="T2465" s="263" t="s">
        <v>933</v>
      </c>
      <c r="U2465" s="304" t="s">
        <v>5592</v>
      </c>
      <c r="V2465" s="304" t="s">
        <v>8077</v>
      </c>
      <c r="Y2465" s="576">
        <v>0.74550925925925926</v>
      </c>
      <c r="Z2465" s="576">
        <v>0.77824074074074068</v>
      </c>
      <c r="AA2465" s="576">
        <f t="shared" si="256"/>
        <v>3.2731481481481417E-2</v>
      </c>
      <c r="AB2465" s="722"/>
    </row>
    <row r="2466" spans="1:28" x14ac:dyDescent="0.35">
      <c r="A2466" s="81" t="s">
        <v>7844</v>
      </c>
      <c r="C2466" s="118">
        <v>43959</v>
      </c>
      <c r="D2466" s="318">
        <v>43998</v>
      </c>
      <c r="E2466" s="83">
        <v>43987</v>
      </c>
      <c r="F2466" s="88" t="s">
        <v>7925</v>
      </c>
      <c r="G2466" s="88" t="s">
        <v>160</v>
      </c>
      <c r="H2466" s="98" t="s">
        <v>220</v>
      </c>
      <c r="I2466" s="98" t="s">
        <v>722</v>
      </c>
      <c r="J2466" s="75">
        <f t="shared" si="254"/>
        <v>1</v>
      </c>
      <c r="K2466" s="76" t="s">
        <v>211</v>
      </c>
      <c r="L2466" s="99" t="s">
        <v>8051</v>
      </c>
      <c r="N2466" s="78" t="s">
        <v>18</v>
      </c>
      <c r="Q2466" s="78" t="s">
        <v>2447</v>
      </c>
      <c r="R2466" s="75">
        <f t="shared" si="255"/>
        <v>1</v>
      </c>
      <c r="S2466" s="263" t="s">
        <v>1991</v>
      </c>
      <c r="T2466" s="263" t="s">
        <v>934</v>
      </c>
      <c r="U2466" s="304" t="s">
        <v>5592</v>
      </c>
      <c r="V2466" s="304" t="s">
        <v>8052</v>
      </c>
      <c r="Y2466" s="576">
        <v>0.52008101851851851</v>
      </c>
      <c r="Z2466" s="576">
        <v>0.52826388888888887</v>
      </c>
      <c r="AA2466" s="576">
        <f t="shared" si="256"/>
        <v>8.1828703703703543E-3</v>
      </c>
      <c r="AB2466" s="722"/>
    </row>
    <row r="2467" spans="1:28" x14ac:dyDescent="0.35">
      <c r="A2467" s="81" t="s">
        <v>7361</v>
      </c>
      <c r="C2467" s="118">
        <v>43959</v>
      </c>
      <c r="D2467" s="318">
        <v>43998</v>
      </c>
      <c r="E2467" s="83">
        <v>43987</v>
      </c>
      <c r="F2467" s="88" t="s">
        <v>7481</v>
      </c>
      <c r="G2467" s="88" t="s">
        <v>156</v>
      </c>
      <c r="H2467" s="98" t="s">
        <v>220</v>
      </c>
      <c r="I2467" s="98" t="s">
        <v>652</v>
      </c>
      <c r="J2467" s="75">
        <f t="shared" si="254"/>
        <v>1</v>
      </c>
      <c r="K2467" s="76" t="s">
        <v>211</v>
      </c>
      <c r="L2467" s="99" t="s">
        <v>8060</v>
      </c>
      <c r="N2467" s="78" t="s">
        <v>17</v>
      </c>
      <c r="Q2467" s="78" t="s">
        <v>2163</v>
      </c>
      <c r="R2467" s="75">
        <f t="shared" si="255"/>
        <v>1</v>
      </c>
      <c r="S2467" s="263" t="s">
        <v>1991</v>
      </c>
      <c r="T2467" s="263" t="s">
        <v>933</v>
      </c>
      <c r="Y2467" s="576">
        <v>0.84672453703703709</v>
      </c>
      <c r="Z2467" s="576">
        <v>0.8520833333333333</v>
      </c>
      <c r="AA2467" s="576">
        <f t="shared" si="256"/>
        <v>5.3587962962962088E-3</v>
      </c>
      <c r="AB2467" s="722"/>
    </row>
    <row r="2468" spans="1:28" x14ac:dyDescent="0.35">
      <c r="A2468" s="81" t="s">
        <v>7845</v>
      </c>
      <c r="C2468" s="118">
        <v>43963</v>
      </c>
      <c r="D2468" s="318">
        <v>43999</v>
      </c>
      <c r="E2468" s="83">
        <v>43990</v>
      </c>
      <c r="F2468" s="88" t="s">
        <v>7926</v>
      </c>
      <c r="G2468" s="88" t="s">
        <v>152</v>
      </c>
      <c r="H2468" s="98" t="s">
        <v>220</v>
      </c>
      <c r="I2468" s="98" t="s">
        <v>722</v>
      </c>
      <c r="J2468" s="75">
        <f t="shared" si="254"/>
        <v>1</v>
      </c>
      <c r="K2468" s="76" t="s">
        <v>211</v>
      </c>
      <c r="L2468" s="99" t="s">
        <v>8073</v>
      </c>
      <c r="N2468" s="78" t="s">
        <v>17</v>
      </c>
      <c r="Q2468" s="78" t="s">
        <v>2447</v>
      </c>
      <c r="R2468" s="75">
        <f t="shared" si="255"/>
        <v>1</v>
      </c>
      <c r="S2468" s="263" t="s">
        <v>1991</v>
      </c>
      <c r="T2468" s="263" t="s">
        <v>934</v>
      </c>
      <c r="Y2468" s="576">
        <v>0.64839120370370373</v>
      </c>
      <c r="Z2468" s="576">
        <v>0.65991898148148154</v>
      </c>
      <c r="AA2468" s="576">
        <f t="shared" si="256"/>
        <v>1.1527777777777803E-2</v>
      </c>
      <c r="AB2468" s="722"/>
    </row>
    <row r="2469" spans="1:28" x14ac:dyDescent="0.35">
      <c r="A2469" s="81" t="s">
        <v>7846</v>
      </c>
      <c r="C2469" s="118">
        <v>43963</v>
      </c>
      <c r="D2469" s="318">
        <v>43999</v>
      </c>
      <c r="E2469" s="83">
        <v>43990</v>
      </c>
      <c r="F2469" s="88" t="s">
        <v>7927</v>
      </c>
      <c r="G2469" s="88" t="s">
        <v>152</v>
      </c>
      <c r="H2469" s="98" t="s">
        <v>220</v>
      </c>
      <c r="I2469" s="98" t="s">
        <v>648</v>
      </c>
      <c r="J2469" s="75">
        <f t="shared" si="254"/>
        <v>1</v>
      </c>
      <c r="K2469" s="76" t="s">
        <v>211</v>
      </c>
      <c r="L2469" s="99" t="s">
        <v>7526</v>
      </c>
      <c r="N2469" s="78" t="s">
        <v>17</v>
      </c>
      <c r="Q2469" s="78" t="s">
        <v>2056</v>
      </c>
      <c r="R2469" s="75">
        <f t="shared" si="255"/>
        <v>1</v>
      </c>
      <c r="S2469" s="263" t="s">
        <v>1991</v>
      </c>
      <c r="T2469" s="263" t="s">
        <v>933</v>
      </c>
      <c r="Y2469" s="576">
        <v>0.79530092592592594</v>
      </c>
      <c r="Z2469" s="576">
        <v>0.80071759259259256</v>
      </c>
      <c r="AA2469" s="576">
        <f t="shared" si="256"/>
        <v>5.4166666666666252E-3</v>
      </c>
      <c r="AB2469" s="722"/>
    </row>
    <row r="2470" spans="1:28" x14ac:dyDescent="0.35">
      <c r="A2470" s="81" t="s">
        <v>7370</v>
      </c>
      <c r="C2470" s="118">
        <v>43963</v>
      </c>
      <c r="D2470" s="318">
        <v>43999</v>
      </c>
      <c r="E2470" s="83">
        <v>43990</v>
      </c>
      <c r="F2470" s="88" t="s">
        <v>7490</v>
      </c>
      <c r="G2470" s="88" t="s">
        <v>179</v>
      </c>
      <c r="H2470" s="98" t="s">
        <v>220</v>
      </c>
      <c r="I2470" s="98" t="s">
        <v>722</v>
      </c>
      <c r="J2470" s="75">
        <f t="shared" si="254"/>
        <v>1</v>
      </c>
      <c r="K2470" s="76" t="s">
        <v>211</v>
      </c>
      <c r="L2470" s="99" t="s">
        <v>7791</v>
      </c>
      <c r="N2470" s="78" t="s">
        <v>18</v>
      </c>
      <c r="Q2470" s="78" t="s">
        <v>2056</v>
      </c>
      <c r="R2470" s="75">
        <f t="shared" si="255"/>
        <v>1</v>
      </c>
      <c r="S2470" s="263" t="s">
        <v>1991</v>
      </c>
      <c r="T2470" s="263" t="s">
        <v>932</v>
      </c>
      <c r="Y2470" s="576">
        <v>0.80122685185185183</v>
      </c>
      <c r="Z2470" s="576">
        <v>0.81576388888888884</v>
      </c>
      <c r="AA2470" s="576">
        <f t="shared" si="256"/>
        <v>1.4537037037037015E-2</v>
      </c>
      <c r="AB2470" s="722"/>
    </row>
    <row r="2471" spans="1:28" x14ac:dyDescent="0.35">
      <c r="A2471" s="81" t="s">
        <v>7372</v>
      </c>
      <c r="C2471" s="118">
        <v>43963</v>
      </c>
      <c r="D2471" s="318">
        <v>44000</v>
      </c>
      <c r="E2471" s="83">
        <v>43990</v>
      </c>
      <c r="F2471" s="88" t="s">
        <v>7492</v>
      </c>
      <c r="G2471" s="88" t="s">
        <v>149</v>
      </c>
      <c r="H2471" s="98" t="s">
        <v>220</v>
      </c>
      <c r="I2471" s="98" t="s">
        <v>6960</v>
      </c>
      <c r="J2471" s="75">
        <f t="shared" si="254"/>
        <v>1</v>
      </c>
      <c r="K2471" s="76" t="s">
        <v>211</v>
      </c>
      <c r="L2471" s="99" t="s">
        <v>8066</v>
      </c>
      <c r="N2471" s="78" t="s">
        <v>18</v>
      </c>
      <c r="Q2471" s="78" t="s">
        <v>2097</v>
      </c>
      <c r="R2471" s="75">
        <f t="shared" si="255"/>
        <v>1</v>
      </c>
      <c r="S2471" s="263" t="s">
        <v>1991</v>
      </c>
      <c r="T2471" s="263" t="s">
        <v>934</v>
      </c>
      <c r="U2471" s="304" t="s">
        <v>5592</v>
      </c>
      <c r="V2471" s="304" t="s">
        <v>8067</v>
      </c>
      <c r="Y2471" s="576">
        <v>0.50026620370370367</v>
      </c>
      <c r="Z2471" s="576">
        <v>0.51105324074074077</v>
      </c>
      <c r="AA2471" s="576">
        <f t="shared" si="256"/>
        <v>1.0787037037037095E-2</v>
      </c>
      <c r="AB2471" s="722"/>
    </row>
    <row r="2472" spans="1:28" x14ac:dyDescent="0.35">
      <c r="A2472" s="81" t="s">
        <v>7373</v>
      </c>
      <c r="C2472" s="118">
        <v>43963</v>
      </c>
      <c r="D2472" s="318">
        <v>44000</v>
      </c>
      <c r="E2472" s="83">
        <v>43990</v>
      </c>
      <c r="F2472" s="88" t="s">
        <v>7493</v>
      </c>
      <c r="G2472" s="88" t="s">
        <v>154</v>
      </c>
      <c r="H2472" s="98" t="s">
        <v>220</v>
      </c>
      <c r="I2472" s="98" t="s">
        <v>652</v>
      </c>
      <c r="J2472" s="75">
        <f t="shared" si="254"/>
        <v>1</v>
      </c>
      <c r="K2472" s="76" t="s">
        <v>211</v>
      </c>
      <c r="L2472" s="99" t="s">
        <v>8078</v>
      </c>
      <c r="N2472" s="78" t="s">
        <v>17</v>
      </c>
      <c r="Q2472" s="78" t="s">
        <v>2447</v>
      </c>
      <c r="R2472" s="75">
        <f t="shared" si="255"/>
        <v>1</v>
      </c>
      <c r="S2472" s="263" t="s">
        <v>1991</v>
      </c>
      <c r="T2472" s="263" t="s">
        <v>932</v>
      </c>
      <c r="U2472" s="304" t="s">
        <v>5592</v>
      </c>
      <c r="V2472" s="304" t="s">
        <v>8079</v>
      </c>
      <c r="Y2472" s="576">
        <v>0.81628472222222215</v>
      </c>
      <c r="Z2472" s="576">
        <v>0.857488425925926</v>
      </c>
      <c r="AA2472" s="576">
        <f t="shared" si="256"/>
        <v>4.1203703703703853E-2</v>
      </c>
      <c r="AB2472" s="722"/>
    </row>
    <row r="2473" spans="1:28" x14ac:dyDescent="0.35">
      <c r="A2473" s="81" t="s">
        <v>7374</v>
      </c>
      <c r="C2473" s="118">
        <v>43963</v>
      </c>
      <c r="D2473" s="318">
        <v>43999</v>
      </c>
      <c r="E2473" s="83">
        <v>43987</v>
      </c>
      <c r="F2473" s="88" t="s">
        <v>7494</v>
      </c>
      <c r="G2473" s="88" t="s">
        <v>158</v>
      </c>
      <c r="H2473" s="98" t="s">
        <v>220</v>
      </c>
      <c r="I2473" s="98" t="s">
        <v>722</v>
      </c>
      <c r="J2473" s="75">
        <f t="shared" si="254"/>
        <v>1</v>
      </c>
      <c r="K2473" s="76" t="s">
        <v>211</v>
      </c>
      <c r="L2473" s="99" t="s">
        <v>8054</v>
      </c>
      <c r="N2473" s="78" t="s">
        <v>17</v>
      </c>
      <c r="Q2473" s="78" t="s">
        <v>2097</v>
      </c>
      <c r="R2473" s="75">
        <f t="shared" si="255"/>
        <v>1</v>
      </c>
      <c r="S2473" s="263" t="s">
        <v>1991</v>
      </c>
      <c r="T2473" s="263" t="s">
        <v>934</v>
      </c>
      <c r="Y2473" s="576">
        <v>0.58233796296296292</v>
      </c>
      <c r="Z2473" s="576">
        <v>0.59063657407407411</v>
      </c>
      <c r="AA2473" s="576">
        <f t="shared" si="256"/>
        <v>8.2986111111111871E-3</v>
      </c>
      <c r="AB2473" s="722"/>
    </row>
    <row r="2474" spans="1:28" x14ac:dyDescent="0.35">
      <c r="A2474" s="81" t="s">
        <v>7377</v>
      </c>
      <c r="C2474" s="118">
        <v>43963</v>
      </c>
      <c r="D2474" s="318">
        <v>44000</v>
      </c>
      <c r="E2474" s="83">
        <v>43992</v>
      </c>
      <c r="F2474" s="88" t="s">
        <v>7497</v>
      </c>
      <c r="G2474" s="88" t="s">
        <v>154</v>
      </c>
      <c r="H2474" s="98" t="s">
        <v>220</v>
      </c>
      <c r="I2474" s="98" t="s">
        <v>722</v>
      </c>
      <c r="J2474" s="75">
        <f t="shared" si="254"/>
        <v>1</v>
      </c>
      <c r="K2474" s="76" t="s">
        <v>211</v>
      </c>
      <c r="L2474" s="99" t="s">
        <v>7791</v>
      </c>
      <c r="N2474" s="78" t="s">
        <v>17</v>
      </c>
      <c r="Q2474" s="78" t="s">
        <v>2163</v>
      </c>
      <c r="R2474" s="75">
        <f t="shared" si="255"/>
        <v>1</v>
      </c>
      <c r="S2474" s="263" t="s">
        <v>1991</v>
      </c>
      <c r="T2474" s="263" t="s">
        <v>932</v>
      </c>
      <c r="Y2474" s="576">
        <v>0.52026620370370369</v>
      </c>
      <c r="Z2474" s="576">
        <v>0.53055555555555556</v>
      </c>
      <c r="AA2474" s="576">
        <f t="shared" si="256"/>
        <v>1.0289351851851869E-2</v>
      </c>
      <c r="AB2474" s="722"/>
    </row>
    <row r="2475" spans="1:28" x14ac:dyDescent="0.35">
      <c r="A2475" s="81" t="s">
        <v>7378</v>
      </c>
      <c r="C2475" s="118">
        <v>43963</v>
      </c>
      <c r="D2475" s="318">
        <v>43999</v>
      </c>
      <c r="E2475" s="83">
        <v>43987</v>
      </c>
      <c r="F2475" s="88" t="s">
        <v>7498</v>
      </c>
      <c r="G2475" s="88" t="s">
        <v>158</v>
      </c>
      <c r="H2475" s="98" t="s">
        <v>220</v>
      </c>
      <c r="I2475" s="98" t="s">
        <v>648</v>
      </c>
      <c r="J2475" s="75">
        <f t="shared" si="254"/>
        <v>1</v>
      </c>
      <c r="K2475" s="76" t="s">
        <v>211</v>
      </c>
      <c r="L2475" s="99" t="s">
        <v>7804</v>
      </c>
      <c r="N2475" s="78" t="s">
        <v>17</v>
      </c>
      <c r="Q2475" s="78" t="s">
        <v>2097</v>
      </c>
      <c r="R2475" s="75">
        <f t="shared" si="255"/>
        <v>1</v>
      </c>
      <c r="S2475" s="263" t="s">
        <v>1991</v>
      </c>
      <c r="T2475" s="263" t="s">
        <v>932</v>
      </c>
      <c r="Y2475" s="576">
        <v>0.57119212962962962</v>
      </c>
      <c r="Z2475" s="576">
        <v>0.58215277777777774</v>
      </c>
      <c r="AA2475" s="576">
        <f t="shared" si="256"/>
        <v>1.0960648148148122E-2</v>
      </c>
      <c r="AB2475" s="722"/>
    </row>
    <row r="2476" spans="1:28" x14ac:dyDescent="0.35">
      <c r="A2476" s="81" t="s">
        <v>7382</v>
      </c>
      <c r="C2476" s="118">
        <v>43963</v>
      </c>
      <c r="D2476" s="318">
        <v>44000</v>
      </c>
      <c r="E2476" s="83">
        <v>43990</v>
      </c>
      <c r="F2476" s="88" t="s">
        <v>7502</v>
      </c>
      <c r="G2476" s="88" t="s">
        <v>158</v>
      </c>
      <c r="H2476" s="98" t="s">
        <v>220</v>
      </c>
      <c r="I2476" s="98" t="s">
        <v>649</v>
      </c>
      <c r="J2476" s="75">
        <f t="shared" si="254"/>
        <v>1</v>
      </c>
      <c r="K2476" s="76" t="s">
        <v>211</v>
      </c>
      <c r="L2476" s="99" t="s">
        <v>7563</v>
      </c>
      <c r="N2476" s="78" t="s">
        <v>18</v>
      </c>
      <c r="Q2476" s="78" t="s">
        <v>2097</v>
      </c>
      <c r="R2476" s="75">
        <f t="shared" si="255"/>
        <v>1</v>
      </c>
      <c r="S2476" s="263" t="s">
        <v>1991</v>
      </c>
      <c r="T2476" s="263" t="s">
        <v>933</v>
      </c>
      <c r="Y2476" s="576">
        <v>0.49640046296296297</v>
      </c>
      <c r="Z2476" s="576">
        <v>0.49993055555555554</v>
      </c>
      <c r="AA2476" s="576">
        <f t="shared" si="256"/>
        <v>3.5300925925925708E-3</v>
      </c>
      <c r="AB2476" s="722"/>
    </row>
    <row r="2477" spans="1:28" x14ac:dyDescent="0.35">
      <c r="A2477" s="81" t="s">
        <v>7383</v>
      </c>
      <c r="C2477" s="118">
        <v>43963</v>
      </c>
      <c r="D2477" s="318">
        <v>43999</v>
      </c>
      <c r="E2477" s="83">
        <v>43991</v>
      </c>
      <c r="F2477" s="88" t="s">
        <v>7503</v>
      </c>
      <c r="G2477" s="88" t="s">
        <v>149</v>
      </c>
      <c r="H2477" s="98" t="s">
        <v>220</v>
      </c>
      <c r="I2477" s="98" t="s">
        <v>722</v>
      </c>
      <c r="J2477" s="75">
        <f t="shared" si="254"/>
        <v>1</v>
      </c>
      <c r="K2477" s="76" t="s">
        <v>211</v>
      </c>
      <c r="L2477" s="99" t="s">
        <v>8087</v>
      </c>
      <c r="N2477" s="78" t="s">
        <v>17</v>
      </c>
      <c r="Q2477" s="78" t="s">
        <v>2163</v>
      </c>
      <c r="R2477" s="75">
        <f t="shared" si="255"/>
        <v>1</v>
      </c>
      <c r="S2477" s="263" t="s">
        <v>1991</v>
      </c>
      <c r="T2477" s="263" t="s">
        <v>933</v>
      </c>
      <c r="Y2477" s="576">
        <v>0.71577546296296291</v>
      </c>
      <c r="Z2477" s="576">
        <v>0.72075231481481483</v>
      </c>
      <c r="AA2477" s="576">
        <f t="shared" si="256"/>
        <v>4.9768518518519267E-3</v>
      </c>
      <c r="AB2477" s="722"/>
    </row>
    <row r="2478" spans="1:28" x14ac:dyDescent="0.35">
      <c r="A2478" s="81" t="s">
        <v>7387</v>
      </c>
      <c r="C2478" s="118">
        <v>43963</v>
      </c>
      <c r="D2478" s="318">
        <v>44000</v>
      </c>
      <c r="E2478" s="83">
        <v>43992</v>
      </c>
      <c r="F2478" s="88" t="s">
        <v>7507</v>
      </c>
      <c r="G2478" s="88" t="s">
        <v>156</v>
      </c>
      <c r="H2478" s="98" t="s">
        <v>220</v>
      </c>
      <c r="I2478" s="98" t="s">
        <v>730</v>
      </c>
      <c r="J2478" s="75">
        <f t="shared" si="254"/>
        <v>1</v>
      </c>
      <c r="K2478" s="76" t="s">
        <v>211</v>
      </c>
      <c r="L2478" s="99" t="s">
        <v>8095</v>
      </c>
      <c r="N2478" s="78" t="s">
        <v>18</v>
      </c>
      <c r="Q2478" s="78" t="s">
        <v>2447</v>
      </c>
      <c r="R2478" s="75">
        <f t="shared" si="255"/>
        <v>1</v>
      </c>
      <c r="S2478" s="263" t="s">
        <v>1991</v>
      </c>
      <c r="T2478" s="263" t="s">
        <v>934</v>
      </c>
      <c r="Y2478" s="576">
        <v>0.41589120370370369</v>
      </c>
      <c r="Z2478" s="576">
        <v>0.42495370370370367</v>
      </c>
      <c r="AA2478" s="576">
        <f t="shared" si="256"/>
        <v>9.0624999999999734E-3</v>
      </c>
      <c r="AB2478" s="722"/>
    </row>
    <row r="2479" spans="1:28" x14ac:dyDescent="0.35">
      <c r="A2479" s="81" t="s">
        <v>7388</v>
      </c>
      <c r="C2479" s="118">
        <v>43964</v>
      </c>
      <c r="D2479" s="318">
        <v>44000</v>
      </c>
      <c r="E2479" s="83">
        <v>43991</v>
      </c>
      <c r="F2479" s="88" t="s">
        <v>7508</v>
      </c>
      <c r="G2479" s="88" t="s">
        <v>149</v>
      </c>
      <c r="H2479" s="98" t="s">
        <v>220</v>
      </c>
      <c r="I2479" s="98" t="s">
        <v>648</v>
      </c>
      <c r="J2479" s="75">
        <f t="shared" si="254"/>
        <v>1</v>
      </c>
      <c r="K2479" s="76" t="s">
        <v>211</v>
      </c>
      <c r="L2479" s="99" t="s">
        <v>7789</v>
      </c>
      <c r="N2479" s="78" t="s">
        <v>18</v>
      </c>
      <c r="Q2479" s="78" t="s">
        <v>2056</v>
      </c>
      <c r="R2479" s="75">
        <f t="shared" si="255"/>
        <v>1</v>
      </c>
      <c r="S2479" s="263" t="s">
        <v>1991</v>
      </c>
      <c r="T2479" s="263" t="s">
        <v>932</v>
      </c>
      <c r="Y2479" s="576">
        <v>0.74672453703703701</v>
      </c>
      <c r="Z2479" s="576">
        <v>0.75543981481481481</v>
      </c>
      <c r="AA2479" s="576">
        <f t="shared" si="256"/>
        <v>8.7152777777778079E-3</v>
      </c>
      <c r="AB2479" s="722"/>
    </row>
    <row r="2480" spans="1:28" x14ac:dyDescent="0.35">
      <c r="A2480" s="81" t="s">
        <v>7389</v>
      </c>
      <c r="C2480" s="118">
        <v>43964</v>
      </c>
      <c r="D2480" s="318">
        <v>44000</v>
      </c>
      <c r="E2480" s="83">
        <v>43992</v>
      </c>
      <c r="F2480" s="88" t="s">
        <v>7509</v>
      </c>
      <c r="G2480" s="88" t="s">
        <v>162</v>
      </c>
      <c r="H2480" s="81" t="s">
        <v>275</v>
      </c>
      <c r="I2480" s="98" t="s">
        <v>648</v>
      </c>
      <c r="J2480" s="75">
        <f t="shared" si="254"/>
        <v>1</v>
      </c>
      <c r="K2480" s="76" t="s">
        <v>211</v>
      </c>
      <c r="L2480" s="99" t="s">
        <v>8102</v>
      </c>
      <c r="N2480" s="78" t="s">
        <v>18</v>
      </c>
      <c r="Q2480" s="78" t="s">
        <v>2056</v>
      </c>
      <c r="R2480" s="75">
        <f t="shared" si="255"/>
        <v>1</v>
      </c>
      <c r="S2480" s="263" t="s">
        <v>1991</v>
      </c>
      <c r="T2480" s="263" t="s">
        <v>932</v>
      </c>
      <c r="U2480" s="304" t="s">
        <v>5592</v>
      </c>
      <c r="V2480" s="304" t="s">
        <v>8103</v>
      </c>
      <c r="Y2480" s="576">
        <v>0.57831018518518518</v>
      </c>
      <c r="Z2480" s="576">
        <v>0.61106481481481478</v>
      </c>
      <c r="AA2480" s="576">
        <f t="shared" si="256"/>
        <v>3.2754629629629606E-2</v>
      </c>
      <c r="AB2480" s="722"/>
    </row>
    <row r="2481" spans="1:28" x14ac:dyDescent="0.35">
      <c r="A2481" s="81" t="s">
        <v>7586</v>
      </c>
      <c r="C2481" s="118">
        <v>43964</v>
      </c>
      <c r="D2481" s="318">
        <v>44001</v>
      </c>
      <c r="E2481" s="83">
        <v>43991</v>
      </c>
      <c r="F2481" s="88" t="s">
        <v>7675</v>
      </c>
      <c r="G2481" s="88" t="s">
        <v>158</v>
      </c>
      <c r="H2481" s="98" t="s">
        <v>220</v>
      </c>
      <c r="I2481" s="98" t="s">
        <v>730</v>
      </c>
      <c r="J2481" s="75">
        <f t="shared" si="254"/>
        <v>1</v>
      </c>
      <c r="K2481" s="76" t="s">
        <v>211</v>
      </c>
      <c r="L2481" s="99" t="s">
        <v>8004</v>
      </c>
      <c r="N2481" s="78" t="s">
        <v>18</v>
      </c>
      <c r="Q2481" s="78" t="s">
        <v>2097</v>
      </c>
      <c r="R2481" s="75">
        <f t="shared" si="255"/>
        <v>1</v>
      </c>
      <c r="S2481" s="263" t="s">
        <v>1991</v>
      </c>
      <c r="T2481" s="263" t="s">
        <v>934</v>
      </c>
      <c r="U2481" s="304" t="s">
        <v>5592</v>
      </c>
      <c r="V2481" s="304" t="s">
        <v>8093</v>
      </c>
      <c r="Y2481" s="576">
        <v>0.93210648148148145</v>
      </c>
      <c r="Z2481" s="576">
        <v>0.94177083333333333</v>
      </c>
      <c r="AA2481" s="576">
        <f t="shared" si="256"/>
        <v>9.6643518518518823E-3</v>
      </c>
      <c r="AB2481" s="722"/>
    </row>
    <row r="2482" spans="1:28" x14ac:dyDescent="0.35">
      <c r="A2482" s="81" t="s">
        <v>7587</v>
      </c>
      <c r="C2482" s="118">
        <v>43964</v>
      </c>
      <c r="D2482" s="318">
        <v>44001</v>
      </c>
      <c r="E2482" s="83">
        <v>43991</v>
      </c>
      <c r="F2482" s="88" t="s">
        <v>7676</v>
      </c>
      <c r="G2482" s="88" t="s">
        <v>158</v>
      </c>
      <c r="H2482" s="98" t="s">
        <v>220</v>
      </c>
      <c r="I2482" s="98" t="s">
        <v>722</v>
      </c>
      <c r="J2482" s="75">
        <f t="shared" si="254"/>
        <v>1</v>
      </c>
      <c r="K2482" s="76" t="s">
        <v>211</v>
      </c>
      <c r="L2482" s="99" t="s">
        <v>7527</v>
      </c>
      <c r="N2482" s="78" t="s">
        <v>18</v>
      </c>
      <c r="Q2482" s="78" t="s">
        <v>2056</v>
      </c>
      <c r="R2482" s="75">
        <f t="shared" si="255"/>
        <v>1</v>
      </c>
      <c r="S2482" s="263" t="s">
        <v>1991</v>
      </c>
      <c r="T2482" s="263" t="s">
        <v>933</v>
      </c>
      <c r="Y2482" s="576">
        <v>0.84599537037037031</v>
      </c>
      <c r="Z2482" s="576">
        <v>0.85482638888888884</v>
      </c>
      <c r="AA2482" s="576">
        <f t="shared" si="256"/>
        <v>8.8310185185185297E-3</v>
      </c>
      <c r="AB2482" s="722"/>
    </row>
    <row r="2483" spans="1:28" x14ac:dyDescent="0.35">
      <c r="A2483" s="81" t="s">
        <v>7592</v>
      </c>
      <c r="C2483" s="118">
        <v>43965</v>
      </c>
      <c r="D2483" s="318">
        <v>44001</v>
      </c>
      <c r="E2483" s="83">
        <v>43992</v>
      </c>
      <c r="F2483" s="88" t="s">
        <v>7681</v>
      </c>
      <c r="G2483" s="88" t="s">
        <v>160</v>
      </c>
      <c r="H2483" s="98" t="s">
        <v>220</v>
      </c>
      <c r="I2483" s="98" t="s">
        <v>722</v>
      </c>
      <c r="J2483" s="75">
        <f t="shared" si="254"/>
        <v>1</v>
      </c>
      <c r="K2483" s="76" t="s">
        <v>211</v>
      </c>
      <c r="L2483" s="99" t="s">
        <v>7527</v>
      </c>
      <c r="N2483" s="78" t="s">
        <v>17</v>
      </c>
      <c r="Q2483" s="78" t="s">
        <v>2447</v>
      </c>
      <c r="R2483" s="75">
        <f t="shared" si="255"/>
        <v>1</v>
      </c>
      <c r="S2483" s="263" t="s">
        <v>1991</v>
      </c>
      <c r="T2483" s="263" t="s">
        <v>932</v>
      </c>
      <c r="Y2483" s="576">
        <v>0.44124999999999998</v>
      </c>
      <c r="Z2483" s="576">
        <v>0.45278935185185182</v>
      </c>
      <c r="AA2483" s="576">
        <f t="shared" si="256"/>
        <v>1.1539351851851842E-2</v>
      </c>
      <c r="AB2483" s="722"/>
    </row>
    <row r="2484" spans="1:28" x14ac:dyDescent="0.35">
      <c r="A2484" s="81" t="s">
        <v>7850</v>
      </c>
      <c r="C2484" s="118">
        <v>43965</v>
      </c>
      <c r="D2484" s="318">
        <v>44001</v>
      </c>
      <c r="E2484" s="83">
        <v>43992</v>
      </c>
      <c r="F2484" s="88" t="s">
        <v>7931</v>
      </c>
      <c r="G2484" s="88" t="s">
        <v>156</v>
      </c>
      <c r="H2484" s="98" t="s">
        <v>220</v>
      </c>
      <c r="I2484" s="98" t="s">
        <v>730</v>
      </c>
      <c r="J2484" s="75">
        <f t="shared" si="254"/>
        <v>1</v>
      </c>
      <c r="K2484" s="76" t="s">
        <v>211</v>
      </c>
      <c r="L2484" s="99" t="s">
        <v>7813</v>
      </c>
      <c r="N2484" s="78" t="s">
        <v>17</v>
      </c>
      <c r="Q2484" s="78" t="s">
        <v>2447</v>
      </c>
      <c r="R2484" s="75">
        <f t="shared" si="255"/>
        <v>1</v>
      </c>
      <c r="S2484" s="263" t="s">
        <v>1991</v>
      </c>
      <c r="T2484" s="263" t="s">
        <v>934</v>
      </c>
      <c r="Y2484" s="576">
        <v>0.45305555555555554</v>
      </c>
      <c r="Z2484" s="576">
        <v>0.46136574074074077</v>
      </c>
      <c r="AA2484" s="576">
        <f t="shared" si="256"/>
        <v>8.310185185185226E-3</v>
      </c>
      <c r="AB2484" s="722"/>
    </row>
    <row r="2485" spans="1:28" x14ac:dyDescent="0.35">
      <c r="A2485" s="81" t="s">
        <v>7607</v>
      </c>
      <c r="C2485" s="118">
        <v>43966</v>
      </c>
      <c r="D2485" s="318">
        <v>43990</v>
      </c>
      <c r="E2485" s="83">
        <v>43984</v>
      </c>
      <c r="F2485" s="88" t="s">
        <v>7696</v>
      </c>
      <c r="G2485" s="88" t="s">
        <v>158</v>
      </c>
      <c r="H2485" s="98" t="s">
        <v>220</v>
      </c>
      <c r="I2485" s="98" t="s">
        <v>656</v>
      </c>
      <c r="J2485" s="75">
        <f t="shared" ref="J2485:J2491" si="257">IF(OR(K2485="Документы готовы",K2485="Запрос в ФО",K2485="ЭЗ",K2485="РЕШ",K2485="РЕШ шаблон"),0.1,IF(OR(K2485="ЭЗ согласование",K2485="РЕШ согласование"),0.3,IF(OR(K2485="ЭЗ согласовано",K2485="РЕШ согласовано",K2485="РЕШ подписано"),0.6,IF(OR(K2485="ЭЗ ПР согласование",K2485="РЕШ УВ согласование"),0.9,IF(OR(K2485="ЭЗ ПР DONE",K2485="РЕШ УВ DONE"),1,0)))))</f>
        <v>1</v>
      </c>
      <c r="K2485" s="76" t="s">
        <v>211</v>
      </c>
      <c r="L2485" s="99" t="s">
        <v>8015</v>
      </c>
      <c r="N2485" s="78" t="s">
        <v>17</v>
      </c>
      <c r="Q2485" s="78" t="s">
        <v>2163</v>
      </c>
      <c r="R2485" s="75">
        <f t="shared" ref="R2485:R2491" si="258">IF(S2485="В работе",0.3,IF(S2485="Отписано",0.6,IF(S2485="На доработку",0.9,IF(S2485="Согласовано",1,0))))</f>
        <v>1</v>
      </c>
      <c r="S2485" s="263" t="s">
        <v>1991</v>
      </c>
      <c r="T2485" s="263" t="s">
        <v>932</v>
      </c>
      <c r="Y2485" s="576">
        <v>0.79174768518518512</v>
      </c>
      <c r="Z2485" s="576">
        <v>0.80245370370370372</v>
      </c>
      <c r="AA2485" s="576">
        <f t="shared" ref="AA2485:AA2491" si="259">Z2485-Y2485</f>
        <v>1.0706018518518601E-2</v>
      </c>
      <c r="AB2485" s="722"/>
    </row>
    <row r="2486" spans="1:28" x14ac:dyDescent="0.35">
      <c r="A2486" s="81" t="s">
        <v>7610</v>
      </c>
      <c r="C2486" s="118">
        <v>43966</v>
      </c>
      <c r="D2486" s="318">
        <v>43990</v>
      </c>
      <c r="E2486" s="83">
        <v>43984</v>
      </c>
      <c r="F2486" s="88" t="s">
        <v>7699</v>
      </c>
      <c r="G2486" s="88" t="s">
        <v>156</v>
      </c>
      <c r="H2486" s="98" t="s">
        <v>220</v>
      </c>
      <c r="I2486" s="98" t="s">
        <v>730</v>
      </c>
      <c r="J2486" s="75">
        <f t="shared" si="257"/>
        <v>1</v>
      </c>
      <c r="K2486" s="76" t="s">
        <v>211</v>
      </c>
      <c r="L2486" s="99" t="s">
        <v>8016</v>
      </c>
      <c r="N2486" s="78" t="s">
        <v>18</v>
      </c>
      <c r="Q2486" s="78" t="s">
        <v>2130</v>
      </c>
      <c r="R2486" s="75">
        <f t="shared" si="258"/>
        <v>1</v>
      </c>
      <c r="S2486" s="263" t="s">
        <v>1991</v>
      </c>
      <c r="T2486" s="263" t="s">
        <v>933</v>
      </c>
      <c r="Y2486" s="576">
        <v>0.8028819444444445</v>
      </c>
      <c r="Z2486" s="576">
        <v>0.81349537037037034</v>
      </c>
      <c r="AA2486" s="576">
        <f t="shared" si="259"/>
        <v>1.0613425925925846E-2</v>
      </c>
      <c r="AB2486" s="722" t="s">
        <v>7816</v>
      </c>
    </row>
    <row r="2487" spans="1:28" x14ac:dyDescent="0.35">
      <c r="A2487" s="81" t="s">
        <v>7611</v>
      </c>
      <c r="C2487" s="118">
        <v>43966</v>
      </c>
      <c r="D2487" s="318">
        <v>43990</v>
      </c>
      <c r="E2487" s="83">
        <v>43984</v>
      </c>
      <c r="F2487" s="88" t="s">
        <v>7700</v>
      </c>
      <c r="G2487" s="88" t="s">
        <v>191</v>
      </c>
      <c r="H2487" s="98" t="s">
        <v>220</v>
      </c>
      <c r="I2487" s="98" t="s">
        <v>656</v>
      </c>
      <c r="J2487" s="75">
        <f t="shared" si="257"/>
        <v>1</v>
      </c>
      <c r="K2487" s="76" t="s">
        <v>211</v>
      </c>
      <c r="L2487" s="99" t="s">
        <v>8017</v>
      </c>
      <c r="N2487" s="78" t="s">
        <v>17</v>
      </c>
      <c r="Q2487" s="78" t="s">
        <v>2130</v>
      </c>
      <c r="R2487" s="75">
        <f t="shared" si="258"/>
        <v>1</v>
      </c>
      <c r="S2487" s="263" t="s">
        <v>1991</v>
      </c>
      <c r="T2487" s="263" t="s">
        <v>932</v>
      </c>
      <c r="Y2487" s="576">
        <v>0.81387731481481485</v>
      </c>
      <c r="Z2487" s="576">
        <v>0.820775462962963</v>
      </c>
      <c r="AA2487" s="576">
        <f t="shared" si="259"/>
        <v>6.8981481481481532E-3</v>
      </c>
      <c r="AB2487" s="722"/>
    </row>
    <row r="2488" spans="1:28" x14ac:dyDescent="0.35">
      <c r="A2488" s="81" t="s">
        <v>7614</v>
      </c>
      <c r="C2488" s="118">
        <v>43969</v>
      </c>
      <c r="D2488" s="318">
        <v>43991</v>
      </c>
      <c r="E2488" s="83">
        <v>43984</v>
      </c>
      <c r="F2488" s="88" t="s">
        <v>7703</v>
      </c>
      <c r="G2488" s="88" t="s">
        <v>149</v>
      </c>
      <c r="H2488" s="98" t="s">
        <v>220</v>
      </c>
      <c r="I2488" s="98" t="s">
        <v>3725</v>
      </c>
      <c r="J2488" s="75">
        <f t="shared" si="257"/>
        <v>1</v>
      </c>
      <c r="K2488" s="76" t="s">
        <v>211</v>
      </c>
      <c r="L2488" s="99" t="s">
        <v>8020</v>
      </c>
      <c r="N2488" s="78" t="s">
        <v>19</v>
      </c>
      <c r="Q2488" s="78" t="s">
        <v>2163</v>
      </c>
      <c r="R2488" s="75">
        <f t="shared" si="258"/>
        <v>1</v>
      </c>
      <c r="S2488" s="263" t="s">
        <v>1991</v>
      </c>
      <c r="T2488" s="263" t="s">
        <v>933</v>
      </c>
      <c r="Y2488" s="576">
        <v>0.84685185185185186</v>
      </c>
      <c r="Z2488" s="576">
        <v>0.85921296296296301</v>
      </c>
      <c r="AA2488" s="576">
        <f t="shared" si="259"/>
        <v>1.2361111111111156E-2</v>
      </c>
      <c r="AB2488" s="722"/>
    </row>
    <row r="2489" spans="1:28" x14ac:dyDescent="0.35">
      <c r="A2489" s="81" t="s">
        <v>7628</v>
      </c>
      <c r="C2489" s="118">
        <v>43969</v>
      </c>
      <c r="D2489" s="318">
        <v>43991</v>
      </c>
      <c r="E2489" s="83">
        <v>43984</v>
      </c>
      <c r="F2489" s="88" t="s">
        <v>7717</v>
      </c>
      <c r="G2489" s="88" t="s">
        <v>176</v>
      </c>
      <c r="H2489" s="98" t="s">
        <v>220</v>
      </c>
      <c r="I2489" s="98" t="s">
        <v>1213</v>
      </c>
      <c r="J2489" s="75">
        <f t="shared" si="257"/>
        <v>1</v>
      </c>
      <c r="K2489" s="76" t="s">
        <v>211</v>
      </c>
      <c r="L2489" s="99" t="s">
        <v>7801</v>
      </c>
      <c r="N2489" s="78" t="s">
        <v>18</v>
      </c>
      <c r="Q2489" s="78" t="s">
        <v>2130</v>
      </c>
      <c r="R2489" s="75">
        <f t="shared" si="258"/>
        <v>1</v>
      </c>
      <c r="S2489" s="263" t="s">
        <v>1991</v>
      </c>
      <c r="T2489" s="263" t="s">
        <v>934</v>
      </c>
      <c r="Y2489" s="576">
        <v>0.83810185185185182</v>
      </c>
      <c r="Z2489" s="576">
        <v>0.84630787037037036</v>
      </c>
      <c r="AA2489" s="576">
        <f t="shared" si="259"/>
        <v>8.206018518518543E-3</v>
      </c>
      <c r="AB2489" s="722"/>
    </row>
    <row r="2490" spans="1:28" x14ac:dyDescent="0.35">
      <c r="A2490" s="81" t="s">
        <v>7641</v>
      </c>
      <c r="C2490" s="118">
        <v>43970</v>
      </c>
      <c r="D2490" s="318">
        <v>43992</v>
      </c>
      <c r="E2490" s="83">
        <v>43986</v>
      </c>
      <c r="F2490" s="88" t="s">
        <v>7730</v>
      </c>
      <c r="G2490" s="88" t="s">
        <v>177</v>
      </c>
      <c r="H2490" s="98" t="s">
        <v>220</v>
      </c>
      <c r="I2490" s="98" t="s">
        <v>3553</v>
      </c>
      <c r="J2490" s="75">
        <f t="shared" si="257"/>
        <v>1</v>
      </c>
      <c r="K2490" s="76" t="s">
        <v>211</v>
      </c>
      <c r="L2490" s="99" t="s">
        <v>8041</v>
      </c>
      <c r="N2490" s="78" t="s">
        <v>19</v>
      </c>
      <c r="Q2490" s="78" t="s">
        <v>2130</v>
      </c>
      <c r="R2490" s="75">
        <f t="shared" si="258"/>
        <v>1</v>
      </c>
      <c r="S2490" s="263" t="s">
        <v>1991</v>
      </c>
      <c r="T2490" s="263" t="s">
        <v>933</v>
      </c>
      <c r="Y2490" s="576">
        <v>0.57415509259259256</v>
      </c>
      <c r="Z2490" s="576">
        <v>0.58221064814814816</v>
      </c>
      <c r="AA2490" s="576">
        <f t="shared" si="259"/>
        <v>8.0555555555555935E-3</v>
      </c>
      <c r="AB2490" s="722"/>
    </row>
    <row r="2491" spans="1:28" x14ac:dyDescent="0.35">
      <c r="A2491" s="81" t="s">
        <v>7652</v>
      </c>
      <c r="C2491" s="118">
        <v>43971</v>
      </c>
      <c r="D2491" s="318">
        <v>43992</v>
      </c>
      <c r="E2491" s="83">
        <v>43990</v>
      </c>
      <c r="F2491" s="88" t="s">
        <v>7741</v>
      </c>
      <c r="G2491" s="88" t="s">
        <v>154</v>
      </c>
      <c r="H2491" s="98" t="s">
        <v>220</v>
      </c>
      <c r="I2491" s="98" t="s">
        <v>691</v>
      </c>
      <c r="J2491" s="75">
        <f t="shared" si="257"/>
        <v>1</v>
      </c>
      <c r="K2491" s="76" t="s">
        <v>211</v>
      </c>
      <c r="L2491" s="99" t="s">
        <v>8069</v>
      </c>
      <c r="N2491" s="78" t="s">
        <v>18</v>
      </c>
      <c r="Q2491" s="78" t="s">
        <v>2163</v>
      </c>
      <c r="R2491" s="75">
        <f t="shared" si="258"/>
        <v>1</v>
      </c>
      <c r="S2491" s="263" t="s">
        <v>1991</v>
      </c>
      <c r="T2491" s="263" t="s">
        <v>934</v>
      </c>
      <c r="Y2491" s="576">
        <v>0.57689814814814822</v>
      </c>
      <c r="Z2491" s="576">
        <v>0.5880671296296297</v>
      </c>
      <c r="AA2491" s="576">
        <f t="shared" si="259"/>
        <v>1.1168981481481488E-2</v>
      </c>
      <c r="AB2491" s="722"/>
    </row>
    <row r="2492" spans="1:28" x14ac:dyDescent="0.35">
      <c r="A2492" s="81" t="s">
        <v>7660</v>
      </c>
      <c r="C2492" s="118">
        <v>43972</v>
      </c>
      <c r="D2492" s="318">
        <v>43993</v>
      </c>
      <c r="E2492" s="83">
        <v>43984</v>
      </c>
      <c r="F2492" s="88" t="s">
        <v>7749</v>
      </c>
      <c r="G2492" s="88" t="s">
        <v>162</v>
      </c>
      <c r="H2492" s="98" t="s">
        <v>220</v>
      </c>
      <c r="I2492" s="98" t="s">
        <v>656</v>
      </c>
      <c r="J2492" s="75">
        <f t="shared" ref="J2492:J2509" si="260">IF(OR(K2492="Документы готовы",K2492="Запрос в ФО",K2492="ЭЗ",K2492="РЕШ",K2492="РЕШ шаблон"),0.1,IF(OR(K2492="ЭЗ согласование",K2492="РЕШ согласование"),0.3,IF(OR(K2492="ЭЗ согласовано",K2492="РЕШ согласовано",K2492="РЕШ подписано"),0.6,IF(OR(K2492="ЭЗ ПР согласование",K2492="РЕШ УВ согласование"),0.9,IF(OR(K2492="ЭЗ ПР DONE",K2492="РЕШ УВ DONE"),1,0)))))</f>
        <v>1</v>
      </c>
      <c r="K2492" s="76" t="s">
        <v>211</v>
      </c>
      <c r="L2492" s="99" t="s">
        <v>7544</v>
      </c>
      <c r="N2492" s="78" t="s">
        <v>17</v>
      </c>
      <c r="Q2492" s="78" t="s">
        <v>2056</v>
      </c>
      <c r="R2492" s="75">
        <f t="shared" ref="R2492:R2509" si="261">IF(S2492="В работе",0.3,IF(S2492="Отписано",0.6,IF(S2492="На доработку",0.9,IF(S2492="Согласовано",1,0))))</f>
        <v>1</v>
      </c>
      <c r="S2492" s="263" t="s">
        <v>1991</v>
      </c>
      <c r="T2492" s="263" t="s">
        <v>933</v>
      </c>
      <c r="Y2492" s="576">
        <v>0.86136574074074079</v>
      </c>
      <c r="Z2492" s="576">
        <v>0.87615740740740744</v>
      </c>
      <c r="AA2492" s="576">
        <f t="shared" ref="AA2492:AA2509" si="262">Z2492-Y2492</f>
        <v>1.4791666666666647E-2</v>
      </c>
      <c r="AB2492" s="722"/>
    </row>
    <row r="2493" spans="1:28" x14ac:dyDescent="0.35">
      <c r="A2493" s="81" t="s">
        <v>7853</v>
      </c>
      <c r="C2493" s="118">
        <v>43972</v>
      </c>
      <c r="D2493" s="318">
        <v>43997</v>
      </c>
      <c r="E2493" s="83">
        <v>43986</v>
      </c>
      <c r="F2493" s="88" t="s">
        <v>7934</v>
      </c>
      <c r="G2493" s="88" t="s">
        <v>162</v>
      </c>
      <c r="H2493" s="98" t="s">
        <v>220</v>
      </c>
      <c r="I2493" s="98" t="s">
        <v>730</v>
      </c>
      <c r="J2493" s="75">
        <f t="shared" si="260"/>
        <v>1</v>
      </c>
      <c r="K2493" s="76" t="s">
        <v>211</v>
      </c>
      <c r="L2493" s="99" t="s">
        <v>8042</v>
      </c>
      <c r="N2493" s="78" t="s">
        <v>18</v>
      </c>
      <c r="Q2493" s="78" t="s">
        <v>2163</v>
      </c>
      <c r="R2493" s="75">
        <f t="shared" si="261"/>
        <v>1</v>
      </c>
      <c r="S2493" s="263" t="s">
        <v>1991</v>
      </c>
      <c r="T2493" s="263" t="s">
        <v>934</v>
      </c>
      <c r="Y2493" s="576">
        <v>0.58915509259259258</v>
      </c>
      <c r="Z2493" s="576">
        <v>0.61443287037037042</v>
      </c>
      <c r="AA2493" s="576">
        <f t="shared" si="262"/>
        <v>2.5277777777777843E-2</v>
      </c>
      <c r="AB2493" s="722"/>
    </row>
    <row r="2494" spans="1:28" x14ac:dyDescent="0.35">
      <c r="A2494" s="81" t="s">
        <v>7854</v>
      </c>
      <c r="C2494" s="118">
        <v>43972</v>
      </c>
      <c r="D2494" s="318">
        <v>43997</v>
      </c>
      <c r="E2494" s="83">
        <v>43985</v>
      </c>
      <c r="F2494" s="88" t="s">
        <v>7935</v>
      </c>
      <c r="G2494" s="88" t="s">
        <v>152</v>
      </c>
      <c r="H2494" s="98" t="s">
        <v>220</v>
      </c>
      <c r="I2494" s="98" t="s">
        <v>3260</v>
      </c>
      <c r="J2494" s="75">
        <f t="shared" si="260"/>
        <v>1</v>
      </c>
      <c r="K2494" s="76" t="s">
        <v>211</v>
      </c>
      <c r="L2494" s="99" t="s">
        <v>8025</v>
      </c>
      <c r="N2494" s="78" t="s">
        <v>19</v>
      </c>
      <c r="Q2494" s="78" t="s">
        <v>2130</v>
      </c>
      <c r="R2494" s="75">
        <f t="shared" si="261"/>
        <v>1</v>
      </c>
      <c r="S2494" s="263" t="s">
        <v>1991</v>
      </c>
      <c r="T2494" s="263" t="s">
        <v>932</v>
      </c>
      <c r="Y2494" s="576">
        <v>0.53089120370370368</v>
      </c>
      <c r="Z2494" s="576">
        <v>0.54283564814814811</v>
      </c>
      <c r="AA2494" s="576">
        <f t="shared" si="262"/>
        <v>1.1944444444444424E-2</v>
      </c>
      <c r="AB2494" s="722"/>
    </row>
    <row r="2495" spans="1:28" x14ac:dyDescent="0.35">
      <c r="A2495" s="98" t="s">
        <v>7855</v>
      </c>
      <c r="C2495" s="118">
        <v>43972</v>
      </c>
      <c r="D2495" s="318">
        <v>43997</v>
      </c>
      <c r="E2495" s="83">
        <v>43987</v>
      </c>
      <c r="F2495" s="88" t="s">
        <v>7936</v>
      </c>
      <c r="G2495" s="88" t="s">
        <v>154</v>
      </c>
      <c r="H2495" s="98" t="s">
        <v>220</v>
      </c>
      <c r="I2495" s="98" t="s">
        <v>656</v>
      </c>
      <c r="J2495" s="75">
        <f t="shared" si="260"/>
        <v>1</v>
      </c>
      <c r="K2495" s="76" t="s">
        <v>211</v>
      </c>
      <c r="L2495" s="99" t="s">
        <v>8240</v>
      </c>
      <c r="N2495" s="78" t="s">
        <v>17</v>
      </c>
      <c r="Q2495" s="78" t="s">
        <v>2097</v>
      </c>
      <c r="R2495" s="75">
        <f t="shared" si="261"/>
        <v>1</v>
      </c>
      <c r="S2495" s="263" t="s">
        <v>1991</v>
      </c>
      <c r="T2495" s="263" t="s">
        <v>932</v>
      </c>
      <c r="X2495" s="304" t="s">
        <v>8224</v>
      </c>
      <c r="Y2495" s="576">
        <v>0.66836805555555545</v>
      </c>
      <c r="Z2495" s="576">
        <v>0.68709490740740742</v>
      </c>
      <c r="AA2495" s="576">
        <f t="shared" si="262"/>
        <v>1.8726851851851967E-2</v>
      </c>
      <c r="AB2495" s="722"/>
    </row>
    <row r="2496" spans="1:28" x14ac:dyDescent="0.35">
      <c r="A2496" s="81" t="s">
        <v>7857</v>
      </c>
      <c r="C2496" s="118">
        <v>43972</v>
      </c>
      <c r="D2496" s="318">
        <v>43997</v>
      </c>
      <c r="E2496" s="83">
        <v>43985</v>
      </c>
      <c r="F2496" s="88" t="s">
        <v>7938</v>
      </c>
      <c r="G2496" s="88" t="s">
        <v>3866</v>
      </c>
      <c r="H2496" s="98" t="s">
        <v>220</v>
      </c>
      <c r="I2496" s="98" t="s">
        <v>656</v>
      </c>
      <c r="J2496" s="75">
        <f t="shared" si="260"/>
        <v>1</v>
      </c>
      <c r="K2496" s="76" t="s">
        <v>211</v>
      </c>
      <c r="L2496" s="99" t="s">
        <v>7520</v>
      </c>
      <c r="N2496" s="78" t="s">
        <v>17</v>
      </c>
      <c r="Q2496" s="78" t="s">
        <v>2447</v>
      </c>
      <c r="R2496" s="75">
        <f t="shared" si="261"/>
        <v>1</v>
      </c>
      <c r="S2496" s="263" t="s">
        <v>1991</v>
      </c>
      <c r="T2496" s="263" t="s">
        <v>933</v>
      </c>
      <c r="Y2496" s="576">
        <v>0.52466435185185178</v>
      </c>
      <c r="Z2496" s="576">
        <v>0.53047453703703706</v>
      </c>
      <c r="AA2496" s="576">
        <f t="shared" si="262"/>
        <v>5.8101851851852793E-3</v>
      </c>
      <c r="AB2496" s="722"/>
    </row>
    <row r="2497" spans="1:28" x14ac:dyDescent="0.35">
      <c r="A2497" s="81" t="s">
        <v>7860</v>
      </c>
      <c r="C2497" s="118">
        <v>43973</v>
      </c>
      <c r="D2497" s="318">
        <v>43998</v>
      </c>
      <c r="E2497" s="83">
        <v>43987</v>
      </c>
      <c r="F2497" s="88" t="s">
        <v>7941</v>
      </c>
      <c r="G2497" s="88" t="s">
        <v>152</v>
      </c>
      <c r="H2497" s="98" t="s">
        <v>220</v>
      </c>
      <c r="I2497" s="98" t="s">
        <v>763</v>
      </c>
      <c r="J2497" s="75">
        <f t="shared" si="260"/>
        <v>1</v>
      </c>
      <c r="K2497" s="76" t="s">
        <v>211</v>
      </c>
      <c r="L2497" s="99" t="s">
        <v>7754</v>
      </c>
      <c r="N2497" s="78" t="s">
        <v>18</v>
      </c>
      <c r="Q2497" s="78" t="s">
        <v>2056</v>
      </c>
      <c r="R2497" s="75">
        <f t="shared" si="261"/>
        <v>1</v>
      </c>
      <c r="S2497" s="263" t="s">
        <v>1991</v>
      </c>
      <c r="T2497" s="263" t="s">
        <v>933</v>
      </c>
      <c r="Y2497" s="576">
        <v>0.52859953703703699</v>
      </c>
      <c r="Z2497" s="576">
        <v>0.53318287037037038</v>
      </c>
      <c r="AA2497" s="576">
        <f t="shared" si="262"/>
        <v>4.5833333333333837E-3</v>
      </c>
      <c r="AB2497" s="722"/>
    </row>
    <row r="2498" spans="1:28" x14ac:dyDescent="0.35">
      <c r="A2498" s="81" t="s">
        <v>7862</v>
      </c>
      <c r="C2498" s="118">
        <v>43973</v>
      </c>
      <c r="D2498" s="318">
        <v>43998</v>
      </c>
      <c r="E2498" s="83">
        <v>43990</v>
      </c>
      <c r="F2498" s="88" t="s">
        <v>7943</v>
      </c>
      <c r="G2498" s="88" t="s">
        <v>154</v>
      </c>
      <c r="H2498" s="81" t="s">
        <v>275</v>
      </c>
      <c r="I2498" s="98" t="s">
        <v>656</v>
      </c>
      <c r="J2498" s="75">
        <f t="shared" si="260"/>
        <v>1</v>
      </c>
      <c r="K2498" s="76" t="s">
        <v>211</v>
      </c>
      <c r="L2498" s="99" t="s">
        <v>8068</v>
      </c>
      <c r="N2498" s="78" t="s">
        <v>18</v>
      </c>
      <c r="Q2498" s="78" t="s">
        <v>2097</v>
      </c>
      <c r="R2498" s="75">
        <f t="shared" si="261"/>
        <v>1</v>
      </c>
      <c r="S2498" s="263" t="s">
        <v>1991</v>
      </c>
      <c r="T2498" s="263" t="s">
        <v>932</v>
      </c>
      <c r="Y2498" s="576">
        <v>0.54831018518518515</v>
      </c>
      <c r="Z2498" s="576">
        <v>0.56533564814814818</v>
      </c>
      <c r="AA2498" s="576">
        <f t="shared" si="262"/>
        <v>1.7025462962963034E-2</v>
      </c>
      <c r="AB2498" s="722"/>
    </row>
    <row r="2499" spans="1:28" x14ac:dyDescent="0.35">
      <c r="A2499" s="81" t="s">
        <v>7864</v>
      </c>
      <c r="C2499" s="118">
        <v>43973</v>
      </c>
      <c r="D2499" s="318">
        <v>43998</v>
      </c>
      <c r="E2499" s="83">
        <v>43986</v>
      </c>
      <c r="F2499" s="88" t="s">
        <v>7945</v>
      </c>
      <c r="G2499" s="88" t="s">
        <v>154</v>
      </c>
      <c r="H2499" s="98" t="s">
        <v>220</v>
      </c>
      <c r="I2499" s="98" t="s">
        <v>691</v>
      </c>
      <c r="J2499" s="75">
        <f t="shared" si="260"/>
        <v>1</v>
      </c>
      <c r="K2499" s="76" t="s">
        <v>211</v>
      </c>
      <c r="L2499" s="99" t="s">
        <v>8050</v>
      </c>
      <c r="N2499" s="78" t="s">
        <v>17</v>
      </c>
      <c r="Q2499" s="78" t="s">
        <v>2056</v>
      </c>
      <c r="R2499" s="75">
        <f t="shared" si="261"/>
        <v>1</v>
      </c>
      <c r="S2499" s="263" t="s">
        <v>1991</v>
      </c>
      <c r="T2499" s="263" t="s">
        <v>934</v>
      </c>
      <c r="Y2499" s="576">
        <v>0.91009259259259256</v>
      </c>
      <c r="Z2499" s="576">
        <v>0.92359953703703701</v>
      </c>
      <c r="AA2499" s="576">
        <f t="shared" si="262"/>
        <v>1.3506944444444446E-2</v>
      </c>
      <c r="AB2499" s="722"/>
    </row>
    <row r="2500" spans="1:28" x14ac:dyDescent="0.35">
      <c r="A2500" s="81" t="s">
        <v>7868</v>
      </c>
      <c r="C2500" s="118">
        <v>43976</v>
      </c>
      <c r="D2500" s="318">
        <v>43998</v>
      </c>
      <c r="E2500" s="83">
        <v>43990</v>
      </c>
      <c r="F2500" s="88" t="s">
        <v>7949</v>
      </c>
      <c r="G2500" s="88" t="s">
        <v>170</v>
      </c>
      <c r="H2500" s="98" t="s">
        <v>220</v>
      </c>
      <c r="I2500" s="98" t="s">
        <v>730</v>
      </c>
      <c r="J2500" s="75">
        <f t="shared" si="260"/>
        <v>1</v>
      </c>
      <c r="K2500" s="76" t="s">
        <v>211</v>
      </c>
      <c r="L2500" s="99" t="s">
        <v>8070</v>
      </c>
      <c r="N2500" s="78" t="s">
        <v>18</v>
      </c>
      <c r="Q2500" s="78" t="s">
        <v>2447</v>
      </c>
      <c r="R2500" s="75">
        <f t="shared" si="261"/>
        <v>1</v>
      </c>
      <c r="S2500" s="263" t="s">
        <v>1991</v>
      </c>
      <c r="T2500" s="263" t="s">
        <v>932</v>
      </c>
      <c r="Y2500" s="576">
        <v>0.6010416666666667</v>
      </c>
      <c r="Z2500" s="576">
        <v>0.61219907407407403</v>
      </c>
      <c r="AA2500" s="576">
        <f t="shared" si="262"/>
        <v>1.1157407407407338E-2</v>
      </c>
      <c r="AB2500" s="722"/>
    </row>
    <row r="2501" spans="1:28" x14ac:dyDescent="0.35">
      <c r="A2501" s="81" t="s">
        <v>7874</v>
      </c>
      <c r="C2501" s="118">
        <v>43976</v>
      </c>
      <c r="D2501" s="318">
        <v>43998</v>
      </c>
      <c r="E2501" s="83">
        <v>43990</v>
      </c>
      <c r="F2501" s="88" t="s">
        <v>7955</v>
      </c>
      <c r="G2501" s="88" t="s">
        <v>176</v>
      </c>
      <c r="H2501" s="98" t="s">
        <v>220</v>
      </c>
      <c r="I2501" s="98" t="s">
        <v>656</v>
      </c>
      <c r="J2501" s="75">
        <f t="shared" si="260"/>
        <v>1</v>
      </c>
      <c r="K2501" s="76" t="s">
        <v>211</v>
      </c>
      <c r="L2501" s="99" t="s">
        <v>7515</v>
      </c>
      <c r="N2501" s="78" t="s">
        <v>17</v>
      </c>
      <c r="Q2501" s="78" t="s">
        <v>2163</v>
      </c>
      <c r="R2501" s="75">
        <f t="shared" si="261"/>
        <v>1</v>
      </c>
      <c r="S2501" s="263" t="s">
        <v>1991</v>
      </c>
      <c r="T2501" s="263" t="s">
        <v>932</v>
      </c>
      <c r="Y2501" s="576">
        <v>0.58850694444444451</v>
      </c>
      <c r="Z2501" s="576">
        <v>0.5980671296296296</v>
      </c>
      <c r="AA2501" s="576">
        <f t="shared" si="262"/>
        <v>9.5601851851850883E-3</v>
      </c>
      <c r="AB2501" s="722"/>
    </row>
    <row r="2502" spans="1:28" x14ac:dyDescent="0.35">
      <c r="A2502" s="81" t="s">
        <v>7875</v>
      </c>
      <c r="C2502" s="118">
        <v>43976</v>
      </c>
      <c r="D2502" s="318">
        <v>43998</v>
      </c>
      <c r="E2502" s="83">
        <v>43986</v>
      </c>
      <c r="F2502" s="88" t="s">
        <v>7956</v>
      </c>
      <c r="G2502" s="88" t="s">
        <v>152</v>
      </c>
      <c r="H2502" s="98" t="s">
        <v>220</v>
      </c>
      <c r="I2502" s="98" t="s">
        <v>8043</v>
      </c>
      <c r="J2502" s="75">
        <f t="shared" si="260"/>
        <v>1</v>
      </c>
      <c r="K2502" s="76" t="s">
        <v>211</v>
      </c>
      <c r="L2502" s="99" t="s">
        <v>8044</v>
      </c>
      <c r="N2502" s="78" t="s">
        <v>19</v>
      </c>
      <c r="Q2502" s="78" t="s">
        <v>2447</v>
      </c>
      <c r="R2502" s="75">
        <f t="shared" si="261"/>
        <v>1</v>
      </c>
      <c r="S2502" s="263" t="s">
        <v>1991</v>
      </c>
      <c r="T2502" s="263" t="s">
        <v>932</v>
      </c>
      <c r="Y2502" s="576">
        <v>0.65371527777777783</v>
      </c>
      <c r="Z2502" s="576">
        <v>0.66236111111111107</v>
      </c>
      <c r="AA2502" s="576">
        <f t="shared" si="262"/>
        <v>8.6458333333332416E-3</v>
      </c>
      <c r="AB2502" s="722"/>
    </row>
    <row r="2503" spans="1:28" x14ac:dyDescent="0.35">
      <c r="A2503" s="81" t="s">
        <v>7876</v>
      </c>
      <c r="C2503" s="118">
        <v>43976</v>
      </c>
      <c r="D2503" s="318">
        <v>43998</v>
      </c>
      <c r="E2503" s="83">
        <v>43986</v>
      </c>
      <c r="F2503" s="88" t="s">
        <v>7957</v>
      </c>
      <c r="G2503" s="88" t="s">
        <v>195</v>
      </c>
      <c r="H2503" s="98" t="s">
        <v>220</v>
      </c>
      <c r="I2503" s="98" t="s">
        <v>3725</v>
      </c>
      <c r="J2503" s="75">
        <f t="shared" si="260"/>
        <v>1</v>
      </c>
      <c r="K2503" s="76" t="s">
        <v>211</v>
      </c>
      <c r="L2503" s="99" t="s">
        <v>8045</v>
      </c>
      <c r="N2503" s="78" t="s">
        <v>19</v>
      </c>
      <c r="Q2503" s="78" t="s">
        <v>2447</v>
      </c>
      <c r="R2503" s="75">
        <f t="shared" si="261"/>
        <v>1</v>
      </c>
      <c r="S2503" s="263" t="s">
        <v>1991</v>
      </c>
      <c r="T2503" s="263" t="s">
        <v>934</v>
      </c>
      <c r="Y2503" s="576">
        <v>0.66280092592592588</v>
      </c>
      <c r="Z2503" s="576">
        <v>0.66664351851851855</v>
      </c>
      <c r="AA2503" s="576">
        <f t="shared" si="262"/>
        <v>3.8425925925926752E-3</v>
      </c>
      <c r="AB2503" s="722"/>
    </row>
    <row r="2504" spans="1:28" x14ac:dyDescent="0.35">
      <c r="A2504" s="81" t="s">
        <v>7877</v>
      </c>
      <c r="C2504" s="118">
        <v>43976</v>
      </c>
      <c r="D2504" s="318">
        <v>43999</v>
      </c>
      <c r="E2504" s="83">
        <v>43991</v>
      </c>
      <c r="F2504" s="88" t="s">
        <v>7958</v>
      </c>
      <c r="G2504" s="88" t="s">
        <v>154</v>
      </c>
      <c r="H2504" s="98" t="s">
        <v>220</v>
      </c>
      <c r="I2504" s="98" t="s">
        <v>691</v>
      </c>
      <c r="J2504" s="75">
        <f t="shared" si="260"/>
        <v>1</v>
      </c>
      <c r="K2504" s="76" t="s">
        <v>211</v>
      </c>
      <c r="L2504" s="99" t="s">
        <v>8088</v>
      </c>
      <c r="N2504" s="78" t="s">
        <v>18</v>
      </c>
      <c r="Q2504" s="78" t="s">
        <v>2163</v>
      </c>
      <c r="R2504" s="75">
        <f t="shared" si="261"/>
        <v>1</v>
      </c>
      <c r="S2504" s="263" t="s">
        <v>1991</v>
      </c>
      <c r="T2504" s="263" t="s">
        <v>932</v>
      </c>
      <c r="Y2504" s="576">
        <v>0.72530092592592599</v>
      </c>
      <c r="Z2504" s="576">
        <v>0.73182870370370379</v>
      </c>
      <c r="AA2504" s="576">
        <f t="shared" si="262"/>
        <v>6.527777777777799E-3</v>
      </c>
      <c r="AB2504" s="722"/>
    </row>
    <row r="2505" spans="1:28" x14ac:dyDescent="0.35">
      <c r="A2505" s="81" t="s">
        <v>7888</v>
      </c>
      <c r="C2505" s="118">
        <v>43977</v>
      </c>
      <c r="D2505" s="318">
        <v>44018</v>
      </c>
      <c r="F2505" s="88" t="s">
        <v>7969</v>
      </c>
      <c r="G2505" s="88" t="s">
        <v>154</v>
      </c>
      <c r="H2505" s="98" t="s">
        <v>220</v>
      </c>
      <c r="J2505" s="75">
        <f t="shared" si="260"/>
        <v>0</v>
      </c>
      <c r="K2505" s="76"/>
      <c r="Q2505" s="78" t="s">
        <v>2097</v>
      </c>
      <c r="R2505" s="75">
        <f t="shared" si="261"/>
        <v>0.3</v>
      </c>
      <c r="S2505" s="263" t="s">
        <v>1988</v>
      </c>
      <c r="T2505" s="263"/>
      <c r="U2505" s="304" t="s">
        <v>5592</v>
      </c>
      <c r="V2505" s="304" t="s">
        <v>8092</v>
      </c>
      <c r="Y2505" s="576">
        <v>0.92048611111111101</v>
      </c>
      <c r="Z2505" s="576">
        <v>0.9274768518518518</v>
      </c>
      <c r="AA2505" s="576">
        <f t="shared" si="262"/>
        <v>6.9907407407407973E-3</v>
      </c>
      <c r="AB2505" s="722"/>
    </row>
    <row r="2506" spans="1:28" x14ac:dyDescent="0.35">
      <c r="A2506" s="81" t="s">
        <v>7889</v>
      </c>
      <c r="C2506" s="118">
        <v>43977</v>
      </c>
      <c r="D2506" s="318">
        <v>43999</v>
      </c>
      <c r="E2506" s="83">
        <v>43992</v>
      </c>
      <c r="F2506" s="88" t="s">
        <v>7970</v>
      </c>
      <c r="G2506" s="88" t="s">
        <v>158</v>
      </c>
      <c r="H2506" s="98" t="s">
        <v>220</v>
      </c>
      <c r="I2506" s="98" t="s">
        <v>1213</v>
      </c>
      <c r="J2506" s="75">
        <f t="shared" si="260"/>
        <v>1</v>
      </c>
      <c r="K2506" s="76" t="s">
        <v>211</v>
      </c>
      <c r="L2506" s="99" t="s">
        <v>8105</v>
      </c>
      <c r="N2506" s="78" t="s">
        <v>17</v>
      </c>
      <c r="Q2506" s="78" t="s">
        <v>2056</v>
      </c>
      <c r="R2506" s="75">
        <f t="shared" si="261"/>
        <v>1</v>
      </c>
      <c r="S2506" s="263" t="s">
        <v>1991</v>
      </c>
      <c r="T2506" s="263" t="s">
        <v>934</v>
      </c>
      <c r="Y2506" s="576">
        <v>0.63744212962962965</v>
      </c>
      <c r="Z2506" s="576">
        <v>0.65575231481481489</v>
      </c>
      <c r="AA2506" s="576">
        <f t="shared" si="262"/>
        <v>1.8310185185185235E-2</v>
      </c>
      <c r="AB2506" s="722"/>
    </row>
    <row r="2507" spans="1:28" x14ac:dyDescent="0.35">
      <c r="A2507" s="81" t="s">
        <v>7890</v>
      </c>
      <c r="C2507" s="118">
        <v>43977</v>
      </c>
      <c r="D2507" s="318">
        <v>43999</v>
      </c>
      <c r="E2507" s="83">
        <v>43991</v>
      </c>
      <c r="F2507" s="88" t="s">
        <v>7971</v>
      </c>
      <c r="G2507" s="88" t="s">
        <v>170</v>
      </c>
      <c r="H2507" s="98" t="s">
        <v>220</v>
      </c>
      <c r="I2507" s="98" t="s">
        <v>8084</v>
      </c>
      <c r="J2507" s="75">
        <f t="shared" si="260"/>
        <v>1</v>
      </c>
      <c r="K2507" s="76" t="s">
        <v>211</v>
      </c>
      <c r="L2507" s="99" t="s">
        <v>8089</v>
      </c>
      <c r="N2507" s="78" t="s">
        <v>18</v>
      </c>
      <c r="Q2507" s="78" t="s">
        <v>2163</v>
      </c>
      <c r="R2507" s="75">
        <f t="shared" si="261"/>
        <v>1</v>
      </c>
      <c r="S2507" s="263" t="s">
        <v>1991</v>
      </c>
      <c r="T2507" s="263" t="s">
        <v>933</v>
      </c>
      <c r="Y2507" s="576">
        <v>0.73820601851851853</v>
      </c>
      <c r="Z2507" s="576">
        <v>0.74509259259259253</v>
      </c>
      <c r="AA2507" s="576">
        <f t="shared" si="262"/>
        <v>6.8865740740740033E-3</v>
      </c>
      <c r="AB2507" s="722"/>
    </row>
    <row r="2508" spans="1:28" x14ac:dyDescent="0.35">
      <c r="A2508" s="81" t="s">
        <v>7893</v>
      </c>
      <c r="C2508" s="118">
        <v>43977</v>
      </c>
      <c r="D2508" s="318">
        <v>44000</v>
      </c>
      <c r="E2508" s="83">
        <v>43986</v>
      </c>
      <c r="F2508" s="88" t="s">
        <v>7974</v>
      </c>
      <c r="G2508" s="88" t="s">
        <v>179</v>
      </c>
      <c r="H2508" s="98" t="s">
        <v>220</v>
      </c>
      <c r="I2508" s="98" t="s">
        <v>5589</v>
      </c>
      <c r="J2508" s="75">
        <f t="shared" si="260"/>
        <v>1</v>
      </c>
      <c r="K2508" s="76" t="s">
        <v>211</v>
      </c>
      <c r="L2508" s="99" t="s">
        <v>8040</v>
      </c>
      <c r="N2508" s="78" t="s">
        <v>19</v>
      </c>
      <c r="Q2508" s="78" t="s">
        <v>2447</v>
      </c>
      <c r="R2508" s="75">
        <f t="shared" si="261"/>
        <v>1</v>
      </c>
      <c r="S2508" s="263" t="s">
        <v>1991</v>
      </c>
      <c r="T2508" s="263" t="s">
        <v>934</v>
      </c>
      <c r="Y2508" s="576">
        <v>0.52765046296296292</v>
      </c>
      <c r="Z2508" s="576">
        <v>0.53021990740740743</v>
      </c>
      <c r="AA2508" s="576">
        <f t="shared" si="262"/>
        <v>2.569444444444513E-3</v>
      </c>
      <c r="AB2508" s="722"/>
    </row>
    <row r="2509" spans="1:28" x14ac:dyDescent="0.35">
      <c r="A2509" s="81" t="s">
        <v>7895</v>
      </c>
      <c r="C2509" s="118">
        <v>43977</v>
      </c>
      <c r="D2509" s="318">
        <v>43999</v>
      </c>
      <c r="E2509" s="83">
        <v>43990</v>
      </c>
      <c r="F2509" s="88" t="s">
        <v>7976</v>
      </c>
      <c r="G2509" s="88" t="s">
        <v>160</v>
      </c>
      <c r="H2509" s="98" t="s">
        <v>220</v>
      </c>
      <c r="I2509" s="98" t="s">
        <v>691</v>
      </c>
      <c r="J2509" s="75">
        <f t="shared" si="260"/>
        <v>1</v>
      </c>
      <c r="K2509" s="76" t="s">
        <v>211</v>
      </c>
      <c r="L2509" s="99" t="s">
        <v>8074</v>
      </c>
      <c r="N2509" s="78" t="s">
        <v>18</v>
      </c>
      <c r="Q2509" s="78" t="s">
        <v>2447</v>
      </c>
      <c r="R2509" s="75">
        <f t="shared" si="261"/>
        <v>1</v>
      </c>
      <c r="S2509" s="263" t="s">
        <v>1991</v>
      </c>
      <c r="T2509" s="263" t="s">
        <v>934</v>
      </c>
      <c r="Y2509" s="576">
        <v>0.66024305555555551</v>
      </c>
      <c r="Z2509" s="576">
        <v>0.66773148148148154</v>
      </c>
      <c r="AA2509" s="576">
        <f t="shared" si="262"/>
        <v>7.4884259259260233E-3</v>
      </c>
      <c r="AB2509" s="722"/>
    </row>
    <row r="2510" spans="1:28" x14ac:dyDescent="0.35">
      <c r="A2510" s="81" t="s">
        <v>7897</v>
      </c>
      <c r="C2510" s="118">
        <v>43977</v>
      </c>
      <c r="D2510" s="318">
        <v>43999</v>
      </c>
      <c r="E2510" s="83">
        <v>43990</v>
      </c>
      <c r="F2510" s="88" t="s">
        <v>7978</v>
      </c>
      <c r="G2510" s="88" t="s">
        <v>152</v>
      </c>
      <c r="H2510" s="98" t="s">
        <v>220</v>
      </c>
      <c r="I2510" s="98" t="s">
        <v>6817</v>
      </c>
      <c r="J2510" s="75">
        <f t="shared" ref="J2510:J2514" si="263">IF(OR(K2510="Документы готовы",K2510="Запрос в ФО",K2510="ЭЗ",K2510="РЕШ",K2510="РЕШ шаблон"),0.1,IF(OR(K2510="ЭЗ согласование",K2510="РЕШ согласование"),0.3,IF(OR(K2510="ЭЗ согласовано",K2510="РЕШ согласовано",K2510="РЕШ подписано"),0.6,IF(OR(K2510="ЭЗ ПР согласование",K2510="РЕШ УВ согласование"),0.9,IF(OR(K2510="ЭЗ ПР DONE",K2510="РЕШ УВ DONE"),1,0)))))</f>
        <v>1</v>
      </c>
      <c r="K2510" s="76" t="s">
        <v>211</v>
      </c>
      <c r="L2510" s="99" t="s">
        <v>8099</v>
      </c>
      <c r="N2510" s="78" t="s">
        <v>17</v>
      </c>
      <c r="Q2510" s="78" t="s">
        <v>2447</v>
      </c>
      <c r="R2510" s="75">
        <f t="shared" ref="R2510:R2514" si="264">IF(S2510="В работе",0.3,IF(S2510="Отписано",0.6,IF(S2510="На доработку",0.9,IF(S2510="Согласовано",1,0))))</f>
        <v>1</v>
      </c>
      <c r="S2510" s="263" t="s">
        <v>1991</v>
      </c>
      <c r="T2510" s="263" t="s">
        <v>933</v>
      </c>
      <c r="Y2510" s="576">
        <v>0.67763888888888879</v>
      </c>
      <c r="Z2510" s="576">
        <v>0.68440972222222218</v>
      </c>
      <c r="AA2510" s="576">
        <f t="shared" ref="AA2510:AA2526" si="265">Z2510-Y2510</f>
        <v>6.7708333333333925E-3</v>
      </c>
      <c r="AB2510" s="722"/>
    </row>
    <row r="2511" spans="1:28" x14ac:dyDescent="0.35">
      <c r="A2511" s="81" t="s">
        <v>7901</v>
      </c>
      <c r="C2511" s="118">
        <v>43978</v>
      </c>
      <c r="D2511" s="318">
        <v>44000</v>
      </c>
      <c r="E2511" s="83">
        <v>43992</v>
      </c>
      <c r="F2511" s="88" t="s">
        <v>7981</v>
      </c>
      <c r="G2511" s="88" t="s">
        <v>154</v>
      </c>
      <c r="H2511" s="98" t="s">
        <v>220</v>
      </c>
      <c r="I2511" s="98" t="s">
        <v>1213</v>
      </c>
      <c r="J2511" s="75">
        <f t="shared" si="263"/>
        <v>1</v>
      </c>
      <c r="K2511" s="76" t="s">
        <v>211</v>
      </c>
      <c r="L2511" s="99" t="s">
        <v>8096</v>
      </c>
      <c r="N2511" s="78" t="s">
        <v>18</v>
      </c>
      <c r="Q2511" s="78" t="s">
        <v>2447</v>
      </c>
      <c r="R2511" s="75">
        <f t="shared" si="264"/>
        <v>1</v>
      </c>
      <c r="S2511" s="263" t="s">
        <v>1991</v>
      </c>
      <c r="T2511" s="263" t="s">
        <v>934</v>
      </c>
      <c r="Y2511" s="576">
        <v>0.4253587962962963</v>
      </c>
      <c r="Z2511" s="576">
        <v>0.43309027777777781</v>
      </c>
      <c r="AA2511" s="576">
        <f t="shared" si="265"/>
        <v>7.7314814814815058E-3</v>
      </c>
      <c r="AB2511" s="722"/>
    </row>
    <row r="2512" spans="1:28" x14ac:dyDescent="0.35">
      <c r="A2512" s="81" t="s">
        <v>7908</v>
      </c>
      <c r="C2512" s="118">
        <v>43978</v>
      </c>
      <c r="D2512" s="318">
        <v>44001</v>
      </c>
      <c r="E2512" s="83">
        <v>43991</v>
      </c>
      <c r="F2512" s="88" t="s">
        <v>7988</v>
      </c>
      <c r="G2512" s="88" t="s">
        <v>152</v>
      </c>
      <c r="H2512" s="81" t="s">
        <v>275</v>
      </c>
      <c r="I2512" s="98" t="s">
        <v>730</v>
      </c>
      <c r="J2512" s="75">
        <f t="shared" si="263"/>
        <v>1</v>
      </c>
      <c r="K2512" s="76" t="s">
        <v>211</v>
      </c>
      <c r="L2512" s="99" t="s">
        <v>8249</v>
      </c>
      <c r="N2512" s="78" t="s">
        <v>18</v>
      </c>
      <c r="Q2512" s="78" t="s">
        <v>2056</v>
      </c>
      <c r="R2512" s="75">
        <f t="shared" si="264"/>
        <v>1</v>
      </c>
      <c r="S2512" s="263" t="s">
        <v>1991</v>
      </c>
      <c r="T2512" s="263" t="s">
        <v>933</v>
      </c>
      <c r="Y2512" s="576">
        <v>0.75564814814814818</v>
      </c>
      <c r="Z2512" s="576">
        <v>0.7761689814814815</v>
      </c>
      <c r="AA2512" s="576">
        <f t="shared" si="265"/>
        <v>2.0520833333333321E-2</v>
      </c>
      <c r="AB2512" s="722"/>
    </row>
    <row r="2513" spans="1:28" x14ac:dyDescent="0.35">
      <c r="A2513" s="81" t="s">
        <v>7909</v>
      </c>
      <c r="C2513" s="118">
        <v>43978</v>
      </c>
      <c r="D2513" s="318">
        <v>44001</v>
      </c>
      <c r="E2513" s="83">
        <v>43992</v>
      </c>
      <c r="F2513" s="88" t="s">
        <v>7989</v>
      </c>
      <c r="G2513" s="88" t="s">
        <v>3356</v>
      </c>
      <c r="H2513" s="98" t="s">
        <v>220</v>
      </c>
      <c r="I2513" s="98" t="s">
        <v>656</v>
      </c>
      <c r="J2513" s="75">
        <f t="shared" si="263"/>
        <v>1</v>
      </c>
      <c r="K2513" s="76" t="s">
        <v>211</v>
      </c>
      <c r="L2513" s="99" t="s">
        <v>8097</v>
      </c>
      <c r="N2513" s="78" t="s">
        <v>18</v>
      </c>
      <c r="Q2513" s="78" t="s">
        <v>2447</v>
      </c>
      <c r="R2513" s="75">
        <f t="shared" si="264"/>
        <v>1</v>
      </c>
      <c r="S2513" s="263" t="s">
        <v>1991</v>
      </c>
      <c r="T2513" s="263" t="s">
        <v>932</v>
      </c>
      <c r="Y2513" s="576">
        <v>0.43326388888888889</v>
      </c>
      <c r="Z2513" s="576">
        <v>0.44107638888888889</v>
      </c>
      <c r="AA2513" s="576">
        <f t="shared" si="265"/>
        <v>7.8125E-3</v>
      </c>
      <c r="AB2513" s="722"/>
    </row>
    <row r="2514" spans="1:28" x14ac:dyDescent="0.35">
      <c r="A2514" s="81" t="s">
        <v>7919</v>
      </c>
      <c r="C2514" s="118">
        <v>43979</v>
      </c>
      <c r="D2514" s="318">
        <v>44001</v>
      </c>
      <c r="E2514" s="83">
        <v>43991</v>
      </c>
      <c r="F2514" s="88" t="s">
        <v>7999</v>
      </c>
      <c r="G2514" s="88" t="s">
        <v>152</v>
      </c>
      <c r="H2514" s="98" t="s">
        <v>220</v>
      </c>
      <c r="I2514" s="98" t="s">
        <v>1213</v>
      </c>
      <c r="J2514" s="75">
        <f t="shared" si="263"/>
        <v>1</v>
      </c>
      <c r="K2514" s="76" t="s">
        <v>211</v>
      </c>
      <c r="L2514" s="99" t="s">
        <v>8090</v>
      </c>
      <c r="N2514" s="78" t="s">
        <v>18</v>
      </c>
      <c r="Q2514" s="78" t="s">
        <v>2056</v>
      </c>
      <c r="R2514" s="75">
        <f t="shared" si="264"/>
        <v>1</v>
      </c>
      <c r="S2514" s="263" t="s">
        <v>1991</v>
      </c>
      <c r="T2514" s="263" t="s">
        <v>934</v>
      </c>
      <c r="Y2514" s="576">
        <v>0.85516203703703697</v>
      </c>
      <c r="Z2514" s="576">
        <v>0.8611805555555555</v>
      </c>
      <c r="AA2514" s="576">
        <f t="shared" si="265"/>
        <v>6.0185185185185341E-3</v>
      </c>
      <c r="AB2514" s="722"/>
    </row>
    <row r="2515" spans="1:28" x14ac:dyDescent="0.35">
      <c r="A2515" s="81" t="s">
        <v>8028</v>
      </c>
      <c r="C2515" s="118">
        <v>43958</v>
      </c>
      <c r="D2515" s="318">
        <v>43998</v>
      </c>
      <c r="E2515" s="83">
        <v>43991</v>
      </c>
      <c r="F2515" s="88" t="s">
        <v>8032</v>
      </c>
      <c r="G2515" s="88" t="s">
        <v>162</v>
      </c>
      <c r="H2515" s="98" t="s">
        <v>220</v>
      </c>
      <c r="I2515" s="98" t="s">
        <v>4550</v>
      </c>
      <c r="J2515" s="75">
        <f t="shared" ref="J2515:J2517" si="266">IF(OR(K2515="Документы готовы",K2515="Запрос в ФО",K2515="ЭЗ",K2515="РЕШ",K2515="РЕШ шаблон"),0.1,IF(OR(K2515="ЭЗ согласование",K2515="РЕШ согласование"),0.3,IF(OR(K2515="ЭЗ согласовано",K2515="РЕШ согласовано",K2515="РЕШ подписано"),0.6,IF(OR(K2515="ЭЗ ПР согласование",K2515="РЕШ УВ согласование"),0.9,IF(OR(K2515="ЭЗ ПР DONE",K2515="РЕШ УВ DONE"),1,0)))))</f>
        <v>1</v>
      </c>
      <c r="K2515" s="76" t="s">
        <v>211</v>
      </c>
      <c r="L2515" s="99" t="s">
        <v>8094</v>
      </c>
      <c r="N2515" s="78" t="s">
        <v>17</v>
      </c>
      <c r="Q2515" s="78" t="s">
        <v>2056</v>
      </c>
      <c r="R2515" s="75">
        <f t="shared" ref="R2515" si="267">IF(S2515="В работе",0.3,IF(S2515="Отписано",0.6,IF(S2515="На доработку",0.9,IF(S2515="Согласовано",1,0))))</f>
        <v>1</v>
      </c>
      <c r="S2515" s="263" t="s">
        <v>1991</v>
      </c>
      <c r="T2515" s="263" t="s">
        <v>932</v>
      </c>
      <c r="Y2515" s="576">
        <v>0.86163194444444446</v>
      </c>
      <c r="Z2515" s="576">
        <v>0.88769675925925917</v>
      </c>
      <c r="AA2515" s="576">
        <f t="shared" si="265"/>
        <v>2.6064814814814707E-2</v>
      </c>
    </row>
    <row r="2516" spans="1:28" x14ac:dyDescent="0.35">
      <c r="A2516" s="81" t="s">
        <v>8029</v>
      </c>
      <c r="C2516" s="118">
        <v>43959</v>
      </c>
      <c r="D2516" s="318">
        <v>43998</v>
      </c>
      <c r="E2516" s="83">
        <v>43990</v>
      </c>
      <c r="F2516" s="88" t="s">
        <v>8033</v>
      </c>
      <c r="G2516" s="88" t="s">
        <v>152</v>
      </c>
      <c r="H2516" s="98" t="s">
        <v>220</v>
      </c>
      <c r="I2516" s="98" t="s">
        <v>649</v>
      </c>
      <c r="J2516" s="75">
        <f t="shared" si="266"/>
        <v>1</v>
      </c>
      <c r="K2516" s="76" t="s">
        <v>211</v>
      </c>
      <c r="L2516" s="99" t="s">
        <v>7565</v>
      </c>
      <c r="N2516" s="78" t="s">
        <v>18</v>
      </c>
      <c r="Q2516" s="78" t="s">
        <v>2163</v>
      </c>
      <c r="R2516" s="75">
        <f t="shared" ref="R2516:R2517" si="268">IF(S2516="В работе",0.3,IF(S2516="Отписано",0.6,IF(S2516="На доработку",0.9,IF(S2516="Согласовано",1,0))))</f>
        <v>1</v>
      </c>
      <c r="S2516" s="263" t="s">
        <v>1991</v>
      </c>
      <c r="T2516" s="263" t="s">
        <v>932</v>
      </c>
      <c r="Y2516" s="576">
        <v>0.6850694444444444</v>
      </c>
      <c r="Z2516" s="576">
        <v>0.69049768518518517</v>
      </c>
      <c r="AA2516" s="576">
        <f t="shared" si="265"/>
        <v>5.4282407407407751E-3</v>
      </c>
    </row>
    <row r="2517" spans="1:28" x14ac:dyDescent="0.35">
      <c r="A2517" s="81" t="s">
        <v>8030</v>
      </c>
      <c r="C2517" s="118">
        <v>43963</v>
      </c>
      <c r="D2517" s="318">
        <v>43999</v>
      </c>
      <c r="E2517" s="83">
        <v>43990</v>
      </c>
      <c r="F2517" s="255" t="s">
        <v>8034</v>
      </c>
      <c r="G2517" s="88" t="s">
        <v>1051</v>
      </c>
      <c r="H2517" s="98" t="s">
        <v>220</v>
      </c>
      <c r="I2517" s="98" t="s">
        <v>649</v>
      </c>
      <c r="J2517" s="75">
        <f t="shared" si="266"/>
        <v>1</v>
      </c>
      <c r="K2517" s="76" t="s">
        <v>211</v>
      </c>
      <c r="L2517" s="99" t="s">
        <v>7565</v>
      </c>
      <c r="N2517" s="78" t="s">
        <v>18</v>
      </c>
      <c r="Q2517" s="78" t="s">
        <v>2447</v>
      </c>
      <c r="R2517" s="75">
        <f t="shared" si="268"/>
        <v>1</v>
      </c>
      <c r="S2517" s="263" t="s">
        <v>1991</v>
      </c>
      <c r="T2517" s="263" t="s">
        <v>934</v>
      </c>
      <c r="Y2517" s="576">
        <v>0.66822916666666676</v>
      </c>
      <c r="Z2517" s="576">
        <v>0.67732638888888885</v>
      </c>
      <c r="AA2517" s="576">
        <f t="shared" si="265"/>
        <v>9.09722222222209E-3</v>
      </c>
    </row>
    <row r="2518" spans="1:28" x14ac:dyDescent="0.35">
      <c r="A2518" s="81" t="s">
        <v>7576</v>
      </c>
      <c r="C2518" s="118">
        <v>43900</v>
      </c>
      <c r="D2518" s="318">
        <v>44001</v>
      </c>
      <c r="E2518" s="83">
        <v>43996</v>
      </c>
      <c r="F2518" s="255" t="s">
        <v>7665</v>
      </c>
      <c r="G2518" s="88" t="s">
        <v>152</v>
      </c>
      <c r="H2518" s="98" t="s">
        <v>220</v>
      </c>
      <c r="I2518" s="98" t="s">
        <v>649</v>
      </c>
      <c r="J2518" s="75">
        <f t="shared" ref="J2518:J2544" si="269">IF(OR(K2518="Документы готовы",K2518="Запрос в ФО",K2518="ЭЗ",K2518="РЕШ",K2518="РЕШ шаблон"),0.1,IF(OR(K2518="ЭЗ согласование",K2518="РЕШ согласование"),0.3,IF(OR(K2518="ЭЗ согласовано",K2518="РЕШ согласовано",K2518="РЕШ подписано"),0.6,IF(OR(K2518="ЭЗ ПР согласование",K2518="РЕШ УВ согласование"),0.9,IF(OR(K2518="ЭЗ ПР DONE",K2518="РЕШ УВ DONE"),1,0)))))</f>
        <v>1</v>
      </c>
      <c r="K2518" s="76" t="s">
        <v>211</v>
      </c>
      <c r="L2518" s="99" t="s">
        <v>7565</v>
      </c>
      <c r="N2518" s="78" t="s">
        <v>18</v>
      </c>
      <c r="Q2518" s="78" t="s">
        <v>2130</v>
      </c>
      <c r="R2518" s="75">
        <f t="shared" ref="R2518" si="270">IF(S2518="В работе",0.3,IF(S2518="Отписано",0.6,IF(S2518="На доработку",0.9,IF(S2518="Согласовано",1,0))))</f>
        <v>1</v>
      </c>
      <c r="S2518" s="263" t="s">
        <v>1991</v>
      </c>
      <c r="T2518" s="263" t="s">
        <v>933</v>
      </c>
      <c r="Y2518" s="576">
        <v>0.93664351851851846</v>
      </c>
      <c r="Z2518" s="576">
        <v>0.9400115740740741</v>
      </c>
      <c r="AA2518" s="576">
        <f t="shared" si="265"/>
        <v>3.368055555555638E-3</v>
      </c>
    </row>
    <row r="2519" spans="1:28" x14ac:dyDescent="0.35">
      <c r="A2519" s="81" t="s">
        <v>8106</v>
      </c>
      <c r="C2519" s="118">
        <v>43915</v>
      </c>
      <c r="D2519" s="318">
        <v>44004</v>
      </c>
      <c r="E2519" s="83">
        <v>43993</v>
      </c>
      <c r="F2519" s="88" t="s">
        <v>8169</v>
      </c>
      <c r="G2519" s="88" t="s">
        <v>158</v>
      </c>
      <c r="H2519" s="98" t="s">
        <v>220</v>
      </c>
      <c r="I2519" s="98" t="s">
        <v>656</v>
      </c>
      <c r="J2519" s="75">
        <f t="shared" si="269"/>
        <v>0.3</v>
      </c>
      <c r="K2519" s="76" t="s">
        <v>568</v>
      </c>
      <c r="L2519" s="99" t="s">
        <v>7520</v>
      </c>
      <c r="N2519" s="78" t="s">
        <v>17</v>
      </c>
      <c r="Q2519" s="78" t="s">
        <v>2447</v>
      </c>
      <c r="R2519" s="75">
        <f t="shared" ref="R2519:R2545" si="271">IF(S2519="В работе",0.3,IF(S2519="Отписано",0.6,IF(S2519="На доработку",0.9,IF(S2519="Согласовано",1,0))))</f>
        <v>1</v>
      </c>
      <c r="S2519" s="263" t="s">
        <v>1991</v>
      </c>
      <c r="T2519" s="263" t="s">
        <v>932</v>
      </c>
      <c r="Y2519" s="576">
        <v>0.4619907407407407</v>
      </c>
      <c r="Z2519" s="576">
        <v>0.47083333333333338</v>
      </c>
      <c r="AA2519" s="576">
        <f t="shared" si="265"/>
        <v>8.8425925925926796E-3</v>
      </c>
    </row>
    <row r="2520" spans="1:28" x14ac:dyDescent="0.35">
      <c r="A2520" s="81" t="s">
        <v>8109</v>
      </c>
      <c r="C2520" s="118">
        <v>43917</v>
      </c>
      <c r="D2520" s="318">
        <v>44005</v>
      </c>
      <c r="E2520" s="83">
        <v>43994</v>
      </c>
      <c r="F2520" s="88" t="s">
        <v>8170</v>
      </c>
      <c r="G2520" s="88" t="s">
        <v>154</v>
      </c>
      <c r="H2520" s="98" t="s">
        <v>220</v>
      </c>
      <c r="I2520" s="98" t="s">
        <v>656</v>
      </c>
      <c r="J2520" s="75">
        <f t="shared" si="269"/>
        <v>0.3</v>
      </c>
      <c r="K2520" s="76" t="s">
        <v>568</v>
      </c>
      <c r="L2520" s="99" t="s">
        <v>7520</v>
      </c>
      <c r="N2520" s="78" t="s">
        <v>18</v>
      </c>
      <c r="Q2520" s="78" t="s">
        <v>2447</v>
      </c>
      <c r="R2520" s="75">
        <f t="shared" si="271"/>
        <v>1</v>
      </c>
      <c r="S2520" s="263" t="s">
        <v>1991</v>
      </c>
      <c r="T2520" s="263" t="s">
        <v>932</v>
      </c>
      <c r="Y2520" s="576">
        <v>0.43072916666666666</v>
      </c>
      <c r="Z2520" s="576">
        <v>0.44797453703703699</v>
      </c>
      <c r="AA2520" s="576">
        <f t="shared" si="265"/>
        <v>1.7245370370370328E-2</v>
      </c>
    </row>
    <row r="2521" spans="1:28" x14ac:dyDescent="0.35">
      <c r="A2521" s="81" t="s">
        <v>8111</v>
      </c>
      <c r="C2521" s="118">
        <v>43935</v>
      </c>
      <c r="D2521" s="318">
        <v>44005</v>
      </c>
      <c r="E2521" s="83">
        <v>43994</v>
      </c>
      <c r="F2521" s="88" t="s">
        <v>8172</v>
      </c>
      <c r="G2521" s="88" t="s">
        <v>152</v>
      </c>
      <c r="H2521" s="98" t="s">
        <v>220</v>
      </c>
      <c r="I2521" s="98" t="s">
        <v>1122</v>
      </c>
      <c r="J2521" s="75">
        <f t="shared" si="269"/>
        <v>0.3</v>
      </c>
      <c r="K2521" s="76" t="s">
        <v>568</v>
      </c>
      <c r="L2521" s="99" t="s">
        <v>8234</v>
      </c>
      <c r="N2521" s="78" t="s">
        <v>18</v>
      </c>
      <c r="Q2521" s="78" t="s">
        <v>2447</v>
      </c>
      <c r="R2521" s="75">
        <f t="shared" si="271"/>
        <v>1</v>
      </c>
      <c r="S2521" s="263" t="s">
        <v>1991</v>
      </c>
      <c r="T2521" s="263" t="s">
        <v>932</v>
      </c>
      <c r="Y2521" s="576">
        <v>0.39974537037037039</v>
      </c>
      <c r="Z2521" s="576">
        <v>0.4053356481481481</v>
      </c>
      <c r="AA2521" s="576">
        <f t="shared" si="265"/>
        <v>5.590277777777708E-3</v>
      </c>
    </row>
    <row r="2522" spans="1:28" x14ac:dyDescent="0.35">
      <c r="A2522" s="81" t="s">
        <v>8112</v>
      </c>
      <c r="C2522" s="118">
        <v>43936</v>
      </c>
      <c r="D2522" s="318">
        <v>44005</v>
      </c>
      <c r="E2522" s="83">
        <v>43997</v>
      </c>
      <c r="F2522" s="88" t="s">
        <v>8172</v>
      </c>
      <c r="G2522" s="88" t="s">
        <v>152</v>
      </c>
      <c r="H2522" s="98" t="s">
        <v>220</v>
      </c>
      <c r="I2522" s="98" t="s">
        <v>1122</v>
      </c>
      <c r="J2522" s="75">
        <f t="shared" si="269"/>
        <v>0.3</v>
      </c>
      <c r="K2522" s="76" t="s">
        <v>568</v>
      </c>
      <c r="L2522" s="99" t="s">
        <v>8234</v>
      </c>
      <c r="N2522" s="78" t="s">
        <v>18</v>
      </c>
      <c r="Q2522" s="78" t="s">
        <v>2056</v>
      </c>
      <c r="R2522" s="75">
        <f t="shared" si="271"/>
        <v>1</v>
      </c>
      <c r="S2522" s="263" t="s">
        <v>1991</v>
      </c>
      <c r="T2522" s="263" t="s">
        <v>933</v>
      </c>
      <c r="Y2522" s="576">
        <v>0.73172453703703699</v>
      </c>
      <c r="Z2522" s="576">
        <v>0.73607638888888882</v>
      </c>
      <c r="AA2522" s="576">
        <f t="shared" si="265"/>
        <v>4.351851851851829E-3</v>
      </c>
    </row>
    <row r="2523" spans="1:28" x14ac:dyDescent="0.35">
      <c r="A2523" s="81" t="s">
        <v>8113</v>
      </c>
      <c r="C2523" s="118">
        <v>43936</v>
      </c>
      <c r="D2523" s="318">
        <v>44005</v>
      </c>
      <c r="E2523" s="83">
        <v>43997</v>
      </c>
      <c r="F2523" s="88" t="s">
        <v>8172</v>
      </c>
      <c r="G2523" s="88" t="s">
        <v>152</v>
      </c>
      <c r="H2523" s="98" t="s">
        <v>220</v>
      </c>
      <c r="I2523" s="98" t="s">
        <v>1122</v>
      </c>
      <c r="J2523" s="75">
        <f t="shared" si="269"/>
        <v>0.3</v>
      </c>
      <c r="K2523" s="76" t="s">
        <v>568</v>
      </c>
      <c r="L2523" s="99" t="s">
        <v>8234</v>
      </c>
      <c r="N2523" s="78" t="s">
        <v>18</v>
      </c>
      <c r="Q2523" s="78" t="s">
        <v>2056</v>
      </c>
      <c r="R2523" s="75">
        <f t="shared" si="271"/>
        <v>1</v>
      </c>
      <c r="S2523" s="263" t="s">
        <v>1991</v>
      </c>
      <c r="T2523" s="263" t="s">
        <v>933</v>
      </c>
      <c r="Y2523" s="576">
        <v>0.72649305555555566</v>
      </c>
      <c r="Z2523" s="576">
        <v>0.73148148148148151</v>
      </c>
      <c r="AA2523" s="576">
        <f t="shared" si="265"/>
        <v>4.9884259259258545E-3</v>
      </c>
    </row>
    <row r="2524" spans="1:28" x14ac:dyDescent="0.35">
      <c r="A2524" s="81" t="s">
        <v>8116</v>
      </c>
      <c r="C2524" s="118">
        <v>43943</v>
      </c>
      <c r="D2524" s="318">
        <v>44005</v>
      </c>
      <c r="E2524" s="83">
        <v>43997</v>
      </c>
      <c r="F2524" s="88" t="s">
        <v>8172</v>
      </c>
      <c r="G2524" s="88" t="s">
        <v>152</v>
      </c>
      <c r="H2524" s="98" t="s">
        <v>220</v>
      </c>
      <c r="I2524" s="98" t="s">
        <v>1122</v>
      </c>
      <c r="J2524" s="75">
        <f t="shared" si="269"/>
        <v>0.3</v>
      </c>
      <c r="K2524" s="76" t="s">
        <v>568</v>
      </c>
      <c r="L2524" s="99" t="s">
        <v>8234</v>
      </c>
      <c r="N2524" s="78" t="s">
        <v>18</v>
      </c>
      <c r="Q2524" s="78" t="s">
        <v>2056</v>
      </c>
      <c r="R2524" s="75">
        <f t="shared" si="271"/>
        <v>1</v>
      </c>
      <c r="S2524" s="263" t="s">
        <v>1991</v>
      </c>
      <c r="T2524" s="263" t="s">
        <v>934</v>
      </c>
      <c r="Y2524" s="576">
        <v>0.71725694444444443</v>
      </c>
      <c r="Z2524" s="576">
        <v>0.7259606481481482</v>
      </c>
      <c r="AA2524" s="576">
        <f t="shared" si="265"/>
        <v>8.703703703703769E-3</v>
      </c>
    </row>
    <row r="2525" spans="1:28" x14ac:dyDescent="0.35">
      <c r="A2525" s="98" t="s">
        <v>7054</v>
      </c>
      <c r="C2525" s="118">
        <v>43950</v>
      </c>
      <c r="D2525" s="318">
        <v>43998</v>
      </c>
      <c r="E2525" s="83">
        <v>43993</v>
      </c>
      <c r="F2525" s="88" t="s">
        <v>7117</v>
      </c>
      <c r="G2525" s="88" t="s">
        <v>181</v>
      </c>
      <c r="H2525" s="98" t="s">
        <v>275</v>
      </c>
      <c r="I2525" s="98" t="s">
        <v>722</v>
      </c>
      <c r="J2525" s="75">
        <f t="shared" si="269"/>
        <v>1</v>
      </c>
      <c r="K2525" s="76" t="s">
        <v>211</v>
      </c>
      <c r="L2525" s="99" t="s">
        <v>7526</v>
      </c>
      <c r="N2525" s="78" t="s">
        <v>17</v>
      </c>
      <c r="Q2525" s="78" t="s">
        <v>2130</v>
      </c>
      <c r="R2525" s="75">
        <f t="shared" si="271"/>
        <v>1</v>
      </c>
      <c r="S2525" s="263" t="s">
        <v>1991</v>
      </c>
      <c r="T2525" s="263" t="s">
        <v>933</v>
      </c>
      <c r="Y2525" s="576">
        <v>0.53784722222222225</v>
      </c>
      <c r="Z2525" s="576">
        <v>0.54982638888888891</v>
      </c>
      <c r="AA2525" s="576">
        <f t="shared" si="265"/>
        <v>1.1979166666666652E-2</v>
      </c>
    </row>
    <row r="2526" spans="1:28" x14ac:dyDescent="0.35">
      <c r="A2526" s="81" t="s">
        <v>7056</v>
      </c>
      <c r="C2526" s="118">
        <v>43950</v>
      </c>
      <c r="D2526" s="318">
        <v>43998</v>
      </c>
      <c r="E2526" s="83">
        <v>43992</v>
      </c>
      <c r="F2526" s="88" t="s">
        <v>7119</v>
      </c>
      <c r="G2526" s="88" t="s">
        <v>417</v>
      </c>
      <c r="H2526" s="98" t="s">
        <v>220</v>
      </c>
      <c r="I2526" s="98" t="s">
        <v>722</v>
      </c>
      <c r="J2526" s="75">
        <f t="shared" si="269"/>
        <v>1</v>
      </c>
      <c r="K2526" s="76" t="s">
        <v>211</v>
      </c>
      <c r="L2526" s="99" t="s">
        <v>8219</v>
      </c>
      <c r="N2526" s="78" t="s">
        <v>18</v>
      </c>
      <c r="Q2526" s="78" t="s">
        <v>2130</v>
      </c>
      <c r="R2526" s="75">
        <f t="shared" si="271"/>
        <v>1</v>
      </c>
      <c r="S2526" s="263" t="s">
        <v>1991</v>
      </c>
      <c r="T2526" s="263" t="s">
        <v>933</v>
      </c>
      <c r="Y2526" s="576">
        <v>0.82168981481481485</v>
      </c>
      <c r="Z2526" s="576">
        <v>0.83314814814814808</v>
      </c>
      <c r="AA2526" s="576">
        <f t="shared" si="265"/>
        <v>1.1458333333333237E-2</v>
      </c>
    </row>
    <row r="2527" spans="1:28" x14ac:dyDescent="0.35">
      <c r="A2527" s="81" t="s">
        <v>8122</v>
      </c>
      <c r="C2527" s="118">
        <v>43956</v>
      </c>
      <c r="D2527" s="318">
        <v>44005</v>
      </c>
      <c r="E2527" s="83">
        <v>43997</v>
      </c>
      <c r="F2527" s="88" t="s">
        <v>8172</v>
      </c>
      <c r="G2527" s="88" t="s">
        <v>152</v>
      </c>
      <c r="H2527" s="98" t="s">
        <v>220</v>
      </c>
      <c r="I2527" s="98" t="s">
        <v>1122</v>
      </c>
      <c r="J2527" s="75">
        <f t="shared" si="269"/>
        <v>0.3</v>
      </c>
      <c r="K2527" s="76" t="s">
        <v>568</v>
      </c>
      <c r="L2527" s="99" t="s">
        <v>8234</v>
      </c>
      <c r="N2527" s="78" t="s">
        <v>18</v>
      </c>
      <c r="Q2527" s="78" t="s">
        <v>2056</v>
      </c>
      <c r="R2527" s="75">
        <f t="shared" si="271"/>
        <v>1</v>
      </c>
      <c r="S2527" s="263" t="s">
        <v>1991</v>
      </c>
      <c r="T2527" s="263" t="s">
        <v>934</v>
      </c>
      <c r="Y2527" s="576">
        <v>0.69869212962962957</v>
      </c>
      <c r="Z2527" s="576">
        <v>0.70574074074074078</v>
      </c>
      <c r="AA2527" s="576">
        <f t="shared" ref="AA2527:AA2548" si="272">Z2527-Y2527</f>
        <v>7.0486111111112137E-3</v>
      </c>
    </row>
    <row r="2528" spans="1:28" x14ac:dyDescent="0.35">
      <c r="A2528" s="81" t="s">
        <v>7847</v>
      </c>
      <c r="C2528" s="118">
        <v>43963</v>
      </c>
      <c r="D2528" s="318">
        <v>43999</v>
      </c>
      <c r="E2528" s="83">
        <v>43994</v>
      </c>
      <c r="F2528" s="88" t="s">
        <v>7928</v>
      </c>
      <c r="G2528" s="88" t="s">
        <v>2698</v>
      </c>
      <c r="H2528" s="98" t="s">
        <v>220</v>
      </c>
      <c r="I2528" s="98" t="s">
        <v>722</v>
      </c>
      <c r="J2528" s="75">
        <f t="shared" si="269"/>
        <v>1</v>
      </c>
      <c r="K2528" s="76" t="s">
        <v>211</v>
      </c>
      <c r="L2528" s="99" t="s">
        <v>8244</v>
      </c>
      <c r="N2528" s="78" t="s">
        <v>17</v>
      </c>
      <c r="Q2528" s="78" t="s">
        <v>2130</v>
      </c>
      <c r="R2528" s="75">
        <f t="shared" si="271"/>
        <v>1</v>
      </c>
      <c r="S2528" s="263" t="s">
        <v>1991</v>
      </c>
      <c r="T2528" s="263" t="s">
        <v>933</v>
      </c>
      <c r="Y2528" s="576">
        <v>0.60826388888888883</v>
      </c>
      <c r="Z2528" s="576">
        <v>0.61714120370370373</v>
      </c>
      <c r="AA2528" s="576">
        <f t="shared" si="272"/>
        <v>8.8773148148149073E-3</v>
      </c>
    </row>
    <row r="2529" spans="1:27" x14ac:dyDescent="0.35">
      <c r="A2529" s="81" t="s">
        <v>7386</v>
      </c>
      <c r="C2529" s="118">
        <v>43963</v>
      </c>
      <c r="D2529" s="318">
        <v>44000</v>
      </c>
      <c r="E2529" s="83">
        <v>43996</v>
      </c>
      <c r="F2529" s="88" t="s">
        <v>7506</v>
      </c>
      <c r="G2529" s="88" t="s">
        <v>152</v>
      </c>
      <c r="H2529" s="98" t="s">
        <v>220</v>
      </c>
      <c r="I2529" s="98" t="s">
        <v>649</v>
      </c>
      <c r="J2529" s="75">
        <f t="shared" si="269"/>
        <v>1</v>
      </c>
      <c r="K2529" s="76" t="s">
        <v>211</v>
      </c>
      <c r="L2529" s="99" t="s">
        <v>7565</v>
      </c>
      <c r="N2529" s="78" t="s">
        <v>18</v>
      </c>
      <c r="Q2529" s="78" t="s">
        <v>2130</v>
      </c>
      <c r="R2529" s="75">
        <f t="shared" si="271"/>
        <v>1</v>
      </c>
      <c r="S2529" s="263" t="s">
        <v>1991</v>
      </c>
      <c r="T2529" s="263" t="s">
        <v>932</v>
      </c>
      <c r="Y2529" s="576">
        <v>0.92663194444444441</v>
      </c>
      <c r="Z2529" s="576">
        <v>0.93146990740740743</v>
      </c>
      <c r="AA2529" s="576">
        <f t="shared" si="272"/>
        <v>4.8379629629630161E-3</v>
      </c>
    </row>
    <row r="2530" spans="1:27" x14ac:dyDescent="0.35">
      <c r="A2530" s="81" t="s">
        <v>7848</v>
      </c>
      <c r="C2530" s="118">
        <v>43964</v>
      </c>
      <c r="D2530" s="318">
        <v>44001</v>
      </c>
      <c r="E2530" s="83">
        <v>43992</v>
      </c>
      <c r="F2530" s="88" t="s">
        <v>7929</v>
      </c>
      <c r="G2530" s="88" t="s">
        <v>152</v>
      </c>
      <c r="H2530" s="98" t="s">
        <v>220</v>
      </c>
      <c r="I2530" s="98" t="s">
        <v>722</v>
      </c>
      <c r="J2530" s="75">
        <f t="shared" si="269"/>
        <v>1</v>
      </c>
      <c r="K2530" s="76" t="s">
        <v>211</v>
      </c>
      <c r="L2530" s="99" t="s">
        <v>7527</v>
      </c>
      <c r="N2530" s="78" t="s">
        <v>18</v>
      </c>
      <c r="Q2530" s="78" t="s">
        <v>2163</v>
      </c>
      <c r="R2530" s="75">
        <f t="shared" si="271"/>
        <v>1</v>
      </c>
      <c r="S2530" s="263" t="s">
        <v>1991</v>
      </c>
      <c r="T2530" s="263" t="s">
        <v>934</v>
      </c>
      <c r="Y2530" s="576">
        <v>0.84260416666666671</v>
      </c>
      <c r="Z2530" s="576">
        <v>0.85385416666666669</v>
      </c>
      <c r="AA2530" s="576">
        <f t="shared" si="272"/>
        <v>1.1249999999999982E-2</v>
      </c>
    </row>
    <row r="2531" spans="1:27" x14ac:dyDescent="0.35">
      <c r="A2531" s="98" t="s">
        <v>7581</v>
      </c>
      <c r="C2531" s="118">
        <v>43964</v>
      </c>
      <c r="D2531" s="318">
        <v>44001</v>
      </c>
      <c r="E2531" s="83">
        <v>43996</v>
      </c>
      <c r="F2531" s="88" t="s">
        <v>7670</v>
      </c>
      <c r="G2531" s="88" t="s">
        <v>186</v>
      </c>
      <c r="H2531" s="98" t="s">
        <v>220</v>
      </c>
      <c r="I2531" s="98" t="s">
        <v>722</v>
      </c>
      <c r="J2531" s="75">
        <f t="shared" si="269"/>
        <v>1</v>
      </c>
      <c r="K2531" s="76" t="s">
        <v>211</v>
      </c>
      <c r="L2531" s="99" t="s">
        <v>8247</v>
      </c>
      <c r="N2531" s="78" t="s">
        <v>18</v>
      </c>
      <c r="Q2531" s="78" t="s">
        <v>2130</v>
      </c>
      <c r="R2531" s="75">
        <f t="shared" si="271"/>
        <v>1</v>
      </c>
      <c r="S2531" s="263" t="s">
        <v>1991</v>
      </c>
      <c r="T2531" s="263" t="s">
        <v>934</v>
      </c>
      <c r="Y2531" s="576">
        <v>0.90910879629629626</v>
      </c>
      <c r="Z2531" s="576">
        <v>0.91737268518518522</v>
      </c>
      <c r="AA2531" s="576">
        <f t="shared" si="272"/>
        <v>8.2638888888889594E-3</v>
      </c>
    </row>
    <row r="2532" spans="1:27" x14ac:dyDescent="0.35">
      <c r="A2532" s="81" t="s">
        <v>7392</v>
      </c>
      <c r="C2532" s="118">
        <v>43964</v>
      </c>
      <c r="D2532" s="318">
        <v>44000</v>
      </c>
      <c r="E2532" s="83">
        <v>43996</v>
      </c>
      <c r="F2532" s="88" t="s">
        <v>7512</v>
      </c>
      <c r="G2532" s="88" t="s">
        <v>162</v>
      </c>
      <c r="H2532" s="98" t="s">
        <v>220</v>
      </c>
      <c r="I2532" s="98" t="s">
        <v>649</v>
      </c>
      <c r="J2532" s="75">
        <f t="shared" si="269"/>
        <v>1</v>
      </c>
      <c r="K2532" s="76" t="s">
        <v>211</v>
      </c>
      <c r="L2532" s="99" t="s">
        <v>7565</v>
      </c>
      <c r="N2532" s="78" t="s">
        <v>18</v>
      </c>
      <c r="Q2532" s="78" t="s">
        <v>2130</v>
      </c>
      <c r="R2532" s="75">
        <f t="shared" si="271"/>
        <v>1</v>
      </c>
      <c r="S2532" s="263" t="s">
        <v>1991</v>
      </c>
      <c r="T2532" s="263" t="s">
        <v>934</v>
      </c>
      <c r="Y2532" s="576">
        <v>0.92256944444444444</v>
      </c>
      <c r="Z2532" s="576">
        <v>0.92638888888888893</v>
      </c>
      <c r="AA2532" s="576">
        <f t="shared" si="272"/>
        <v>3.8194444444444864E-3</v>
      </c>
    </row>
    <row r="2533" spans="1:27" x14ac:dyDescent="0.35">
      <c r="A2533" s="81" t="s">
        <v>7589</v>
      </c>
      <c r="C2533" s="118">
        <v>43964</v>
      </c>
      <c r="D2533" s="318">
        <v>44001</v>
      </c>
      <c r="E2533" s="83">
        <v>43993</v>
      </c>
      <c r="F2533" s="88" t="s">
        <v>7678</v>
      </c>
      <c r="G2533" s="88" t="s">
        <v>149</v>
      </c>
      <c r="H2533" s="98" t="s">
        <v>220</v>
      </c>
      <c r="I2533" s="98" t="s">
        <v>652</v>
      </c>
      <c r="J2533" s="75">
        <f t="shared" si="269"/>
        <v>1</v>
      </c>
      <c r="K2533" s="76" t="s">
        <v>211</v>
      </c>
      <c r="L2533" s="99" t="s">
        <v>7769</v>
      </c>
      <c r="N2533" s="78" t="s">
        <v>18</v>
      </c>
      <c r="Q2533" s="78" t="s">
        <v>2163</v>
      </c>
      <c r="R2533" s="75">
        <f t="shared" si="271"/>
        <v>1</v>
      </c>
      <c r="S2533" s="263" t="s">
        <v>1991</v>
      </c>
      <c r="T2533" s="263" t="s">
        <v>933</v>
      </c>
      <c r="Y2533" s="576">
        <v>0.45437499999999997</v>
      </c>
      <c r="Z2533" s="576">
        <v>0.46159722222222221</v>
      </c>
      <c r="AA2533" s="576">
        <f t="shared" si="272"/>
        <v>7.222222222222241E-3</v>
      </c>
    </row>
    <row r="2534" spans="1:27" x14ac:dyDescent="0.35">
      <c r="A2534" s="81" t="s">
        <v>7590</v>
      </c>
      <c r="C2534" s="118">
        <v>43965</v>
      </c>
      <c r="D2534" s="318">
        <v>44004</v>
      </c>
      <c r="E2534" s="83">
        <v>43997</v>
      </c>
      <c r="F2534" s="88" t="s">
        <v>7679</v>
      </c>
      <c r="G2534" s="88" t="s">
        <v>158</v>
      </c>
      <c r="H2534" s="98" t="s">
        <v>220</v>
      </c>
      <c r="I2534" s="98" t="s">
        <v>722</v>
      </c>
      <c r="J2534" s="75">
        <f t="shared" si="269"/>
        <v>0.3</v>
      </c>
      <c r="K2534" s="76" t="s">
        <v>568</v>
      </c>
      <c r="L2534" s="99" t="s">
        <v>7527</v>
      </c>
      <c r="N2534" s="78" t="s">
        <v>17</v>
      </c>
      <c r="Q2534" s="78" t="s">
        <v>2130</v>
      </c>
      <c r="R2534" s="75">
        <f t="shared" si="271"/>
        <v>1</v>
      </c>
      <c r="S2534" s="263" t="s">
        <v>1991</v>
      </c>
      <c r="T2534" s="263" t="s">
        <v>932</v>
      </c>
      <c r="Y2534" s="576">
        <v>0.6881018518518518</v>
      </c>
      <c r="Z2534" s="576">
        <v>0.69319444444444445</v>
      </c>
      <c r="AA2534" s="576">
        <f t="shared" si="272"/>
        <v>5.0925925925926485E-3</v>
      </c>
    </row>
    <row r="2535" spans="1:27" x14ac:dyDescent="0.35">
      <c r="A2535" s="81" t="s">
        <v>7593</v>
      </c>
      <c r="C2535" s="118">
        <v>43965</v>
      </c>
      <c r="D2535" s="318">
        <v>44004</v>
      </c>
      <c r="E2535" s="83">
        <v>43993</v>
      </c>
      <c r="F2535" s="88" t="s">
        <v>7682</v>
      </c>
      <c r="G2535" s="88" t="s">
        <v>158</v>
      </c>
      <c r="H2535" s="98" t="s">
        <v>220</v>
      </c>
      <c r="I2535" s="98" t="s">
        <v>722</v>
      </c>
      <c r="J2535" s="75">
        <f t="shared" si="269"/>
        <v>0.3</v>
      </c>
      <c r="K2535" s="76" t="s">
        <v>568</v>
      </c>
      <c r="L2535" s="99" t="s">
        <v>7527</v>
      </c>
      <c r="N2535" s="78" t="s">
        <v>17</v>
      </c>
      <c r="Q2535" s="78" t="s">
        <v>2097</v>
      </c>
      <c r="R2535" s="75">
        <f t="shared" si="271"/>
        <v>1</v>
      </c>
      <c r="S2535" s="263" t="s">
        <v>1991</v>
      </c>
      <c r="T2535" s="263" t="s">
        <v>932</v>
      </c>
      <c r="Y2535" s="576">
        <v>0.73400462962962953</v>
      </c>
      <c r="Z2535" s="576">
        <v>0.74078703703703708</v>
      </c>
      <c r="AA2535" s="576">
        <f t="shared" si="272"/>
        <v>6.7824074074075424E-3</v>
      </c>
    </row>
    <row r="2536" spans="1:27" x14ac:dyDescent="0.35">
      <c r="A2536" s="81" t="s">
        <v>7594</v>
      </c>
      <c r="C2536" s="118">
        <v>43965</v>
      </c>
      <c r="D2536" s="318">
        <v>44004</v>
      </c>
      <c r="E2536" s="83">
        <v>43993</v>
      </c>
      <c r="F2536" s="88" t="s">
        <v>7683</v>
      </c>
      <c r="G2536" s="88" t="s">
        <v>168</v>
      </c>
      <c r="H2536" s="98" t="s">
        <v>220</v>
      </c>
      <c r="I2536" s="98" t="s">
        <v>649</v>
      </c>
      <c r="J2536" s="75">
        <f t="shared" si="269"/>
        <v>0.3</v>
      </c>
      <c r="K2536" s="76" t="s">
        <v>568</v>
      </c>
      <c r="L2536" s="99" t="s">
        <v>8228</v>
      </c>
      <c r="N2536" s="78" t="s">
        <v>18</v>
      </c>
      <c r="Q2536" s="78" t="s">
        <v>2447</v>
      </c>
      <c r="R2536" s="75">
        <f t="shared" si="271"/>
        <v>1</v>
      </c>
      <c r="S2536" s="263" t="s">
        <v>1991</v>
      </c>
      <c r="T2536" s="263" t="s">
        <v>933</v>
      </c>
      <c r="Y2536" s="576">
        <v>0.74100694444444448</v>
      </c>
      <c r="Z2536" s="576">
        <v>0.74754629629629632</v>
      </c>
      <c r="AA2536" s="576">
        <f t="shared" si="272"/>
        <v>6.5393518518518379E-3</v>
      </c>
    </row>
    <row r="2537" spans="1:27" x14ac:dyDescent="0.35">
      <c r="A2537" s="81" t="s">
        <v>7595</v>
      </c>
      <c r="C2537" s="118">
        <v>43965</v>
      </c>
      <c r="D2537" s="318">
        <v>44004</v>
      </c>
      <c r="E2537" s="83">
        <v>43997</v>
      </c>
      <c r="F2537" s="88" t="s">
        <v>7684</v>
      </c>
      <c r="G2537" s="88" t="s">
        <v>158</v>
      </c>
      <c r="H2537" s="98" t="s">
        <v>220</v>
      </c>
      <c r="I2537" s="98" t="s">
        <v>722</v>
      </c>
      <c r="J2537" s="75">
        <f t="shared" si="269"/>
        <v>0.3</v>
      </c>
      <c r="K2537" s="76" t="s">
        <v>568</v>
      </c>
      <c r="L2537" s="99" t="s">
        <v>7526</v>
      </c>
      <c r="N2537" s="78" t="s">
        <v>17</v>
      </c>
      <c r="Q2537" s="78" t="s">
        <v>2130</v>
      </c>
      <c r="R2537" s="75">
        <f t="shared" si="271"/>
        <v>1</v>
      </c>
      <c r="S2537" s="263" t="s">
        <v>1991</v>
      </c>
      <c r="T2537" s="263" t="s">
        <v>933</v>
      </c>
      <c r="Y2537" s="576">
        <v>0.69349537037037035</v>
      </c>
      <c r="Z2537" s="576">
        <v>0.69832175925925932</v>
      </c>
      <c r="AA2537" s="576">
        <f t="shared" si="272"/>
        <v>4.8263888888889772E-3</v>
      </c>
    </row>
    <row r="2538" spans="1:27" x14ac:dyDescent="0.35">
      <c r="A2538" s="81" t="s">
        <v>8124</v>
      </c>
      <c r="C2538" s="118">
        <v>43965</v>
      </c>
      <c r="D2538" s="318">
        <v>44004</v>
      </c>
      <c r="E2538" s="83">
        <v>43993</v>
      </c>
      <c r="F2538" s="88" t="s">
        <v>8173</v>
      </c>
      <c r="G2538" s="88" t="s">
        <v>181</v>
      </c>
      <c r="H2538" s="98" t="s">
        <v>220</v>
      </c>
      <c r="I2538" s="98" t="s">
        <v>722</v>
      </c>
      <c r="J2538" s="75">
        <f t="shared" si="269"/>
        <v>0.3</v>
      </c>
      <c r="K2538" s="76" t="s">
        <v>568</v>
      </c>
      <c r="L2538" s="99" t="s">
        <v>8230</v>
      </c>
      <c r="N2538" s="78" t="s">
        <v>18</v>
      </c>
      <c r="Q2538" s="78" t="s">
        <v>2163</v>
      </c>
      <c r="R2538" s="75">
        <f t="shared" si="271"/>
        <v>1</v>
      </c>
      <c r="S2538" s="263" t="s">
        <v>1991</v>
      </c>
      <c r="T2538" s="263" t="s">
        <v>932</v>
      </c>
      <c r="Y2538" s="576">
        <v>0.75907407407407401</v>
      </c>
      <c r="Z2538" s="576">
        <v>0.76513888888888892</v>
      </c>
      <c r="AA2538" s="576">
        <f t="shared" si="272"/>
        <v>6.0648148148149117E-3</v>
      </c>
    </row>
    <row r="2539" spans="1:27" x14ac:dyDescent="0.35">
      <c r="A2539" s="81" t="s">
        <v>7851</v>
      </c>
      <c r="C2539" s="118">
        <v>43965</v>
      </c>
      <c r="D2539" s="318">
        <v>44001</v>
      </c>
      <c r="E2539" s="83">
        <v>43996</v>
      </c>
      <c r="F2539" s="88" t="s">
        <v>7932</v>
      </c>
      <c r="G2539" s="88" t="s">
        <v>176</v>
      </c>
      <c r="H2539" s="98" t="s">
        <v>220</v>
      </c>
      <c r="I2539" s="98" t="s">
        <v>722</v>
      </c>
      <c r="J2539" s="75">
        <f t="shared" si="269"/>
        <v>1</v>
      </c>
      <c r="K2539" s="76" t="s">
        <v>211</v>
      </c>
      <c r="L2539" s="99" t="s">
        <v>8248</v>
      </c>
      <c r="N2539" s="78" t="s">
        <v>18</v>
      </c>
      <c r="Q2539" s="78" t="s">
        <v>2130</v>
      </c>
      <c r="R2539" s="75">
        <f t="shared" si="271"/>
        <v>1</v>
      </c>
      <c r="S2539" s="263" t="s">
        <v>1991</v>
      </c>
      <c r="T2539" s="263" t="s">
        <v>932</v>
      </c>
      <c r="Y2539" s="576">
        <v>0.91766203703703697</v>
      </c>
      <c r="Z2539" s="576">
        <v>0.92175925925925928</v>
      </c>
      <c r="AA2539" s="576">
        <f t="shared" si="272"/>
        <v>4.0972222222223076E-3</v>
      </c>
    </row>
    <row r="2540" spans="1:27" x14ac:dyDescent="0.35">
      <c r="A2540" s="81" t="s">
        <v>7596</v>
      </c>
      <c r="C2540" s="118">
        <v>43965</v>
      </c>
      <c r="D2540" s="318">
        <v>44004</v>
      </c>
      <c r="E2540" s="83">
        <v>43993</v>
      </c>
      <c r="F2540" s="88" t="s">
        <v>7685</v>
      </c>
      <c r="G2540" s="88" t="s">
        <v>149</v>
      </c>
      <c r="H2540" s="98" t="s">
        <v>220</v>
      </c>
      <c r="I2540" s="98" t="s">
        <v>649</v>
      </c>
      <c r="J2540" s="75">
        <f t="shared" si="269"/>
        <v>0.3</v>
      </c>
      <c r="K2540" s="76" t="s">
        <v>568</v>
      </c>
      <c r="L2540" s="99" t="s">
        <v>7565</v>
      </c>
      <c r="N2540" s="78" t="s">
        <v>18</v>
      </c>
      <c r="Q2540" s="78" t="s">
        <v>2447</v>
      </c>
      <c r="R2540" s="75">
        <f t="shared" si="271"/>
        <v>1</v>
      </c>
      <c r="S2540" s="263" t="s">
        <v>1991</v>
      </c>
      <c r="T2540" s="263" t="s">
        <v>934</v>
      </c>
      <c r="Y2540" s="576">
        <v>0.78513888888888894</v>
      </c>
      <c r="Z2540" s="576">
        <v>0.78961805555555553</v>
      </c>
      <c r="AA2540" s="576">
        <f t="shared" si="272"/>
        <v>4.4791666666665897E-3</v>
      </c>
    </row>
    <row r="2541" spans="1:27" x14ac:dyDescent="0.35">
      <c r="A2541" s="81" t="s">
        <v>7597</v>
      </c>
      <c r="C2541" s="118">
        <v>43965</v>
      </c>
      <c r="D2541" s="318">
        <v>44004</v>
      </c>
      <c r="E2541" s="83">
        <v>43993</v>
      </c>
      <c r="F2541" s="88" t="s">
        <v>7686</v>
      </c>
      <c r="G2541" s="88" t="s">
        <v>154</v>
      </c>
      <c r="H2541" s="98" t="s">
        <v>220</v>
      </c>
      <c r="I2541" s="98" t="s">
        <v>722</v>
      </c>
      <c r="J2541" s="75">
        <f t="shared" si="269"/>
        <v>0.3</v>
      </c>
      <c r="K2541" s="76" t="s">
        <v>568</v>
      </c>
      <c r="L2541" s="99" t="s">
        <v>7791</v>
      </c>
      <c r="N2541" s="78" t="s">
        <v>18</v>
      </c>
      <c r="Q2541" s="78" t="s">
        <v>2163</v>
      </c>
      <c r="R2541" s="75">
        <f t="shared" si="271"/>
        <v>1</v>
      </c>
      <c r="S2541" s="263" t="s">
        <v>1991</v>
      </c>
      <c r="T2541" s="263" t="s">
        <v>933</v>
      </c>
      <c r="Y2541" s="576">
        <v>0.76560185185185192</v>
      </c>
      <c r="Z2541" s="576">
        <v>0.77678240740740734</v>
      </c>
      <c r="AA2541" s="576">
        <f t="shared" si="272"/>
        <v>1.1180555555555416E-2</v>
      </c>
    </row>
    <row r="2542" spans="1:27" x14ac:dyDescent="0.35">
      <c r="A2542" s="81" t="s">
        <v>7599</v>
      </c>
      <c r="C2542" s="118">
        <v>43966</v>
      </c>
      <c r="D2542" s="318">
        <v>44005</v>
      </c>
      <c r="E2542" s="83">
        <v>43993</v>
      </c>
      <c r="F2542" s="88" t="s">
        <v>7688</v>
      </c>
      <c r="G2542" s="88" t="s">
        <v>156</v>
      </c>
      <c r="H2542" s="98" t="s">
        <v>220</v>
      </c>
      <c r="I2542" s="98" t="s">
        <v>649</v>
      </c>
      <c r="J2542" s="75">
        <f t="shared" si="269"/>
        <v>0.3</v>
      </c>
      <c r="K2542" s="76" t="s">
        <v>568</v>
      </c>
      <c r="L2542" s="99" t="s">
        <v>8223</v>
      </c>
      <c r="N2542" s="78" t="s">
        <v>17</v>
      </c>
      <c r="Q2542" s="78" t="s">
        <v>2056</v>
      </c>
      <c r="R2542" s="75">
        <f t="shared" si="271"/>
        <v>1</v>
      </c>
      <c r="S2542" s="263" t="s">
        <v>1991</v>
      </c>
      <c r="T2542" s="263" t="s">
        <v>934</v>
      </c>
      <c r="Y2542" s="576">
        <v>0.44729166666666664</v>
      </c>
      <c r="Z2542" s="576">
        <v>0.45402777777777775</v>
      </c>
      <c r="AA2542" s="576">
        <f t="shared" si="272"/>
        <v>6.7361111111111094E-3</v>
      </c>
    </row>
    <row r="2543" spans="1:27" x14ac:dyDescent="0.35">
      <c r="A2543" s="81" t="s">
        <v>7604</v>
      </c>
      <c r="C2543" s="118">
        <v>43966</v>
      </c>
      <c r="D2543" s="318">
        <v>44004</v>
      </c>
      <c r="E2543" s="83">
        <v>43994</v>
      </c>
      <c r="F2543" s="88" t="s">
        <v>7693</v>
      </c>
      <c r="G2543" s="88" t="s">
        <v>156</v>
      </c>
      <c r="H2543" s="98" t="s">
        <v>220</v>
      </c>
      <c r="I2543" s="98" t="s">
        <v>722</v>
      </c>
      <c r="J2543" s="75">
        <f t="shared" si="269"/>
        <v>0.3</v>
      </c>
      <c r="K2543" s="76" t="s">
        <v>568</v>
      </c>
      <c r="L2543" s="99" t="s">
        <v>7804</v>
      </c>
      <c r="N2543" s="78" t="s">
        <v>17</v>
      </c>
      <c r="Q2543" s="78" t="s">
        <v>2097</v>
      </c>
      <c r="R2543" s="75">
        <f t="shared" si="271"/>
        <v>1</v>
      </c>
      <c r="S2543" s="263" t="s">
        <v>1991</v>
      </c>
      <c r="T2543" s="263" t="s">
        <v>933</v>
      </c>
      <c r="Y2543" s="576">
        <v>0.33162037037037034</v>
      </c>
      <c r="Z2543" s="576">
        <v>0.3379861111111111</v>
      </c>
      <c r="AA2543" s="576">
        <f t="shared" si="272"/>
        <v>6.3657407407407551E-3</v>
      </c>
    </row>
    <row r="2544" spans="1:27" x14ac:dyDescent="0.35">
      <c r="A2544" s="81" t="s">
        <v>7606</v>
      </c>
      <c r="C2544" s="118">
        <v>43966</v>
      </c>
      <c r="D2544" s="318">
        <v>44004</v>
      </c>
      <c r="E2544" s="83">
        <v>43993</v>
      </c>
      <c r="F2544" s="88" t="s">
        <v>7695</v>
      </c>
      <c r="G2544" s="88" t="s">
        <v>162</v>
      </c>
      <c r="H2544" s="98" t="s">
        <v>220</v>
      </c>
      <c r="I2544" s="98" t="s">
        <v>722</v>
      </c>
      <c r="J2544" s="75">
        <f t="shared" si="269"/>
        <v>0.3</v>
      </c>
      <c r="K2544" s="76" t="s">
        <v>568</v>
      </c>
      <c r="L2544" s="99" t="s">
        <v>8222</v>
      </c>
      <c r="N2544" s="78" t="s">
        <v>18</v>
      </c>
      <c r="Q2544" s="78" t="s">
        <v>2056</v>
      </c>
      <c r="R2544" s="75">
        <f t="shared" si="271"/>
        <v>1</v>
      </c>
      <c r="S2544" s="263" t="s">
        <v>1991</v>
      </c>
      <c r="T2544" s="263" t="s">
        <v>933</v>
      </c>
      <c r="Y2544" s="576">
        <v>0.41995370370370372</v>
      </c>
      <c r="Z2544" s="576">
        <v>0.42456018518518518</v>
      </c>
      <c r="AA2544" s="576">
        <f t="shared" si="272"/>
        <v>4.6064814814814614E-3</v>
      </c>
    </row>
    <row r="2545" spans="1:27" x14ac:dyDescent="0.35">
      <c r="A2545" s="81" t="s">
        <v>7608</v>
      </c>
      <c r="C2545" s="118">
        <v>43966</v>
      </c>
      <c r="D2545" s="318">
        <v>44005</v>
      </c>
      <c r="E2545" s="83">
        <v>43993</v>
      </c>
      <c r="F2545" s="88" t="s">
        <v>7697</v>
      </c>
      <c r="G2545" s="88" t="s">
        <v>160</v>
      </c>
      <c r="H2545" s="98" t="s">
        <v>220</v>
      </c>
      <c r="I2545" s="98" t="s">
        <v>722</v>
      </c>
      <c r="J2545" s="75">
        <f t="shared" ref="J2545:J2549" si="273">IF(OR(K2545="Документы готовы",K2545="Запрос в ФО",K2545="ЭЗ",K2545="РЕШ",K2545="РЕШ шаблон"),0.1,IF(OR(K2545="ЭЗ согласование",K2545="РЕШ согласование"),0.3,IF(OR(K2545="ЭЗ согласовано",K2545="РЕШ согласовано",K2545="РЕШ подписано"),0.6,IF(OR(K2545="ЭЗ ПР согласование",K2545="РЕШ УВ согласование"),0.9,IF(OR(K2545="ЭЗ ПР DONE",K2545="РЕШ УВ DONE"),1,0)))))</f>
        <v>0.3</v>
      </c>
      <c r="K2545" s="76" t="s">
        <v>568</v>
      </c>
      <c r="L2545" s="99" t="s">
        <v>7526</v>
      </c>
      <c r="N2545" s="78" t="s">
        <v>17</v>
      </c>
      <c r="Q2545" s="78" t="s">
        <v>2056</v>
      </c>
      <c r="R2545" s="75">
        <f t="shared" si="271"/>
        <v>1</v>
      </c>
      <c r="S2545" s="263" t="s">
        <v>1991</v>
      </c>
      <c r="T2545" s="263" t="s">
        <v>933</v>
      </c>
      <c r="Y2545" s="576">
        <v>0.4406018518518518</v>
      </c>
      <c r="Z2545" s="576">
        <v>0.44699074074074074</v>
      </c>
      <c r="AA2545" s="576">
        <f t="shared" si="272"/>
        <v>6.3888888888889439E-3</v>
      </c>
    </row>
    <row r="2546" spans="1:27" x14ac:dyDescent="0.35">
      <c r="A2546" s="81" t="s">
        <v>7609</v>
      </c>
      <c r="C2546" s="118">
        <v>43966</v>
      </c>
      <c r="D2546" s="318">
        <v>44005</v>
      </c>
      <c r="E2546" s="83">
        <v>43994</v>
      </c>
      <c r="F2546" s="88" t="s">
        <v>7698</v>
      </c>
      <c r="G2546" s="88" t="s">
        <v>154</v>
      </c>
      <c r="H2546" s="98" t="s">
        <v>220</v>
      </c>
      <c r="I2546" s="98" t="s">
        <v>8232</v>
      </c>
      <c r="J2546" s="75">
        <f t="shared" si="273"/>
        <v>0.3</v>
      </c>
      <c r="K2546" s="76" t="s">
        <v>568</v>
      </c>
      <c r="L2546" s="99" t="s">
        <v>8251</v>
      </c>
      <c r="N2546" s="78" t="s">
        <v>17</v>
      </c>
      <c r="Q2546" s="78" t="s">
        <v>2097</v>
      </c>
      <c r="R2546" s="75">
        <f t="shared" ref="R2546:R2549" si="274">IF(S2546="В работе",0.3,IF(S2546="Отписано",0.6,IF(S2546="На доработку",0.9,IF(S2546="Согласовано",1,0))))</f>
        <v>1</v>
      </c>
      <c r="S2546" s="263" t="s">
        <v>1991</v>
      </c>
      <c r="T2546" s="263" t="s">
        <v>932</v>
      </c>
      <c r="U2546" s="304" t="s">
        <v>5592</v>
      </c>
      <c r="V2546" s="304" t="s">
        <v>8233</v>
      </c>
      <c r="Y2546" s="576">
        <v>0.36694444444444446</v>
      </c>
      <c r="Z2546" s="576">
        <v>0.37584490740740745</v>
      </c>
      <c r="AA2546" s="576">
        <f t="shared" si="272"/>
        <v>8.900462962962985E-3</v>
      </c>
    </row>
    <row r="2547" spans="1:27" x14ac:dyDescent="0.35">
      <c r="A2547" s="81" t="s">
        <v>7613</v>
      </c>
      <c r="C2547" s="118">
        <v>43966</v>
      </c>
      <c r="D2547" s="318">
        <v>44005</v>
      </c>
      <c r="E2547" s="83">
        <v>43994</v>
      </c>
      <c r="F2547" s="88" t="s">
        <v>7702</v>
      </c>
      <c r="G2547" s="88" t="s">
        <v>162</v>
      </c>
      <c r="H2547" s="98" t="s">
        <v>220</v>
      </c>
      <c r="I2547" s="98" t="s">
        <v>722</v>
      </c>
      <c r="J2547" s="75">
        <f t="shared" si="273"/>
        <v>0.3</v>
      </c>
      <c r="K2547" s="76" t="s">
        <v>568</v>
      </c>
      <c r="L2547" s="99" t="s">
        <v>8236</v>
      </c>
      <c r="N2547" s="78" t="s">
        <v>17</v>
      </c>
      <c r="Q2547" s="78" t="s">
        <v>2447</v>
      </c>
      <c r="R2547" s="75">
        <f t="shared" si="274"/>
        <v>1</v>
      </c>
      <c r="S2547" s="263" t="s">
        <v>1991</v>
      </c>
      <c r="T2547" s="263" t="s">
        <v>933</v>
      </c>
      <c r="Y2547" s="576">
        <v>0.44825231481481481</v>
      </c>
      <c r="Z2547" s="576">
        <v>0.4621527777777778</v>
      </c>
      <c r="AA2547" s="576">
        <f t="shared" si="272"/>
        <v>1.3900462962962989E-2</v>
      </c>
    </row>
    <row r="2548" spans="1:27" x14ac:dyDescent="0.35">
      <c r="A2548" s="81" t="s">
        <v>7631</v>
      </c>
      <c r="C2548" s="118">
        <v>43969</v>
      </c>
      <c r="D2548" s="318">
        <v>44005</v>
      </c>
      <c r="E2548" s="83">
        <v>43997</v>
      </c>
      <c r="F2548" s="88" t="s">
        <v>7720</v>
      </c>
      <c r="G2548" s="88" t="s">
        <v>162</v>
      </c>
      <c r="H2548" s="98" t="s">
        <v>220</v>
      </c>
      <c r="I2548" s="98" t="s">
        <v>722</v>
      </c>
      <c r="J2548" s="75">
        <f t="shared" si="273"/>
        <v>0.3</v>
      </c>
      <c r="K2548" s="76" t="s">
        <v>568</v>
      </c>
      <c r="L2548" s="99" t="s">
        <v>8027</v>
      </c>
      <c r="N2548" s="78" t="s">
        <v>17</v>
      </c>
      <c r="Q2548" s="78" t="s">
        <v>2130</v>
      </c>
      <c r="R2548" s="75">
        <f t="shared" si="274"/>
        <v>1</v>
      </c>
      <c r="S2548" s="263" t="s">
        <v>1991</v>
      </c>
      <c r="T2548" s="263" t="s">
        <v>934</v>
      </c>
      <c r="Y2548" s="576">
        <v>0.74979166666666675</v>
      </c>
      <c r="Z2548" s="576">
        <v>0.75843749999999999</v>
      </c>
      <c r="AA2548" s="576">
        <f t="shared" si="272"/>
        <v>8.6458333333332416E-3</v>
      </c>
    </row>
    <row r="2549" spans="1:27" x14ac:dyDescent="0.35">
      <c r="A2549" s="81" t="s">
        <v>7658</v>
      </c>
      <c r="C2549" s="118">
        <v>43972</v>
      </c>
      <c r="D2549" s="318">
        <v>43993</v>
      </c>
      <c r="E2549" s="83">
        <v>43993</v>
      </c>
      <c r="F2549" s="88" t="s">
        <v>7747</v>
      </c>
      <c r="G2549" s="88" t="s">
        <v>154</v>
      </c>
      <c r="H2549" s="98" t="s">
        <v>220</v>
      </c>
      <c r="I2549" s="98" t="s">
        <v>1004</v>
      </c>
      <c r="J2549" s="75">
        <f t="shared" si="273"/>
        <v>1</v>
      </c>
      <c r="K2549" s="76" t="s">
        <v>211</v>
      </c>
      <c r="L2549" s="99" t="s">
        <v>7528</v>
      </c>
      <c r="N2549" s="78" t="s">
        <v>19</v>
      </c>
      <c r="Q2549" s="78" t="s">
        <v>2447</v>
      </c>
      <c r="R2549" s="75">
        <f t="shared" si="274"/>
        <v>1</v>
      </c>
      <c r="S2549" s="263" t="s">
        <v>1991</v>
      </c>
      <c r="T2549" s="263" t="s">
        <v>932</v>
      </c>
      <c r="Y2549" s="576">
        <v>0.39052083333333337</v>
      </c>
      <c r="Z2549" s="576">
        <v>0.40751157407407407</v>
      </c>
      <c r="AA2549" s="576">
        <f t="shared" ref="AA2549:AA2550" si="275">Z2549-Y2549</f>
        <v>1.6990740740740695E-2</v>
      </c>
    </row>
    <row r="2550" spans="1:27" x14ac:dyDescent="0.35">
      <c r="A2550" s="81" t="s">
        <v>7885</v>
      </c>
      <c r="C2550" s="118">
        <v>43976</v>
      </c>
      <c r="D2550" s="318">
        <v>43998</v>
      </c>
      <c r="E2550" s="83">
        <v>43993</v>
      </c>
      <c r="F2550" s="88" t="s">
        <v>7966</v>
      </c>
      <c r="G2550" s="88" t="s">
        <v>152</v>
      </c>
      <c r="H2550" s="98" t="s">
        <v>220</v>
      </c>
      <c r="I2550" s="98" t="s">
        <v>656</v>
      </c>
      <c r="J2550" s="75">
        <f t="shared" ref="J2550:J2556" si="276">IF(OR(K2550="Документы готовы",K2550="Запрос в ФО",K2550="ЭЗ",K2550="РЕШ",K2550="РЕШ шаблон"),0.1,IF(OR(K2550="ЭЗ согласование",K2550="РЕШ согласование"),0.3,IF(OR(K2550="ЭЗ согласовано",K2550="РЕШ согласовано",K2550="РЕШ подписано"),0.6,IF(OR(K2550="ЭЗ ПР согласование",K2550="РЕШ УВ согласование"),0.9,IF(OR(K2550="ЭЗ ПР DONE",K2550="РЕШ УВ DONE"),1,0)))))</f>
        <v>1</v>
      </c>
      <c r="K2550" s="76" t="s">
        <v>211</v>
      </c>
      <c r="L2550" s="99" t="s">
        <v>8221</v>
      </c>
      <c r="N2550" s="78" t="s">
        <v>17</v>
      </c>
      <c r="Q2550" s="78" t="s">
        <v>2130</v>
      </c>
      <c r="R2550" s="75">
        <f t="shared" ref="R2550:R2556" si="277">IF(S2550="В работе",0.3,IF(S2550="Отписано",0.6,IF(S2550="На доработку",0.9,IF(S2550="Согласовано",1,0))))</f>
        <v>1</v>
      </c>
      <c r="S2550" s="263" t="s">
        <v>1991</v>
      </c>
      <c r="T2550" s="263" t="s">
        <v>934</v>
      </c>
      <c r="Y2550" s="576">
        <v>0.40777777777777779</v>
      </c>
      <c r="Z2550" s="576">
        <v>0.41939814814814813</v>
      </c>
      <c r="AA2550" s="576">
        <f t="shared" si="275"/>
        <v>1.1620370370370336E-2</v>
      </c>
    </row>
    <row r="2551" spans="1:27" x14ac:dyDescent="0.35">
      <c r="A2551" s="81" t="s">
        <v>7911</v>
      </c>
      <c r="C2551" s="118">
        <v>43978</v>
      </c>
      <c r="D2551" s="318">
        <v>44001</v>
      </c>
      <c r="E2551" s="83">
        <v>43997</v>
      </c>
      <c r="F2551" s="88" t="s">
        <v>7694</v>
      </c>
      <c r="G2551" s="88" t="s">
        <v>154</v>
      </c>
      <c r="H2551" s="81" t="s">
        <v>275</v>
      </c>
      <c r="I2551" s="98" t="s">
        <v>629</v>
      </c>
      <c r="J2551" s="75">
        <f t="shared" si="276"/>
        <v>1</v>
      </c>
      <c r="K2551" s="76" t="s">
        <v>211</v>
      </c>
      <c r="L2551" s="99" t="s">
        <v>8250</v>
      </c>
      <c r="N2551" s="78" t="s">
        <v>19</v>
      </c>
      <c r="Q2551" s="78" t="s">
        <v>2130</v>
      </c>
      <c r="R2551" s="75">
        <f t="shared" si="277"/>
        <v>1</v>
      </c>
      <c r="S2551" s="263" t="s">
        <v>1991</v>
      </c>
      <c r="T2551" s="263" t="s">
        <v>933</v>
      </c>
      <c r="Y2551" s="576">
        <v>0.39767361111111116</v>
      </c>
      <c r="Z2551" s="576">
        <v>0.41701388888888885</v>
      </c>
      <c r="AA2551" s="576">
        <f t="shared" ref="AA2551:AA2566" si="278">Z2551-Y2551</f>
        <v>1.9340277777777692E-2</v>
      </c>
    </row>
    <row r="2552" spans="1:27" x14ac:dyDescent="0.35">
      <c r="A2552" s="81" t="s">
        <v>7915</v>
      </c>
      <c r="C2552" s="118">
        <v>43979</v>
      </c>
      <c r="D2552" s="318">
        <v>44001</v>
      </c>
      <c r="E2552" s="83">
        <v>43993</v>
      </c>
      <c r="F2552" s="88" t="s">
        <v>7995</v>
      </c>
      <c r="G2552" s="88" t="s">
        <v>154</v>
      </c>
      <c r="H2552" s="98" t="s">
        <v>220</v>
      </c>
      <c r="I2552" s="98" t="s">
        <v>656</v>
      </c>
      <c r="J2552" s="75">
        <f t="shared" si="276"/>
        <v>1</v>
      </c>
      <c r="K2552" s="76" t="s">
        <v>211</v>
      </c>
      <c r="L2552" s="99" t="s">
        <v>8227</v>
      </c>
      <c r="N2552" s="78" t="s">
        <v>17</v>
      </c>
      <c r="Q2552" s="78" t="s">
        <v>2163</v>
      </c>
      <c r="R2552" s="75">
        <f t="shared" si="277"/>
        <v>1</v>
      </c>
      <c r="S2552" s="263" t="s">
        <v>1991</v>
      </c>
      <c r="T2552" s="263" t="s">
        <v>934</v>
      </c>
      <c r="Y2552" s="576">
        <v>0.72234953703703697</v>
      </c>
      <c r="Z2552" s="576">
        <v>0.73362268518518514</v>
      </c>
      <c r="AA2552" s="576">
        <f t="shared" si="278"/>
        <v>1.1273148148148171E-2</v>
      </c>
    </row>
    <row r="2553" spans="1:27" x14ac:dyDescent="0.35">
      <c r="A2553" s="81" t="s">
        <v>8129</v>
      </c>
      <c r="C2553" s="118">
        <v>43979</v>
      </c>
      <c r="D2553" s="318">
        <v>44004</v>
      </c>
      <c r="E2553" s="83">
        <v>43993</v>
      </c>
      <c r="F2553" s="88" t="s">
        <v>8178</v>
      </c>
      <c r="G2553" s="88" t="s">
        <v>152</v>
      </c>
      <c r="H2553" s="98" t="s">
        <v>220</v>
      </c>
      <c r="I2553" s="98" t="s">
        <v>1213</v>
      </c>
      <c r="J2553" s="75">
        <f t="shared" si="276"/>
        <v>0.3</v>
      </c>
      <c r="K2553" s="76" t="s">
        <v>568</v>
      </c>
      <c r="L2553" s="99" t="s">
        <v>8231</v>
      </c>
      <c r="N2553" s="78" t="s">
        <v>18</v>
      </c>
      <c r="Q2553" s="78" t="s">
        <v>2163</v>
      </c>
      <c r="R2553" s="75">
        <f t="shared" si="277"/>
        <v>1</v>
      </c>
      <c r="S2553" s="263" t="s">
        <v>1991</v>
      </c>
      <c r="T2553" s="263" t="s">
        <v>934</v>
      </c>
      <c r="Y2553" s="576">
        <v>0.77828703703703705</v>
      </c>
      <c r="Z2553" s="576">
        <v>0.78403935185185192</v>
      </c>
      <c r="AA2553" s="576">
        <f t="shared" si="278"/>
        <v>5.7523148148148628E-3</v>
      </c>
    </row>
    <row r="2554" spans="1:27" x14ac:dyDescent="0.35">
      <c r="A2554" s="81" t="s">
        <v>8130</v>
      </c>
      <c r="C2554" s="118">
        <v>43979</v>
      </c>
      <c r="D2554" s="318">
        <v>44004</v>
      </c>
      <c r="E2554" s="83">
        <v>43993</v>
      </c>
      <c r="F2554" s="88" t="s">
        <v>8179</v>
      </c>
      <c r="G2554" s="88" t="s">
        <v>186</v>
      </c>
      <c r="H2554" s="98" t="s">
        <v>220</v>
      </c>
      <c r="I2554" s="98" t="s">
        <v>3260</v>
      </c>
      <c r="J2554" s="75">
        <f t="shared" si="276"/>
        <v>0.3</v>
      </c>
      <c r="K2554" s="76" t="s">
        <v>568</v>
      </c>
      <c r="L2554" s="99" t="s">
        <v>7528</v>
      </c>
      <c r="N2554" s="78" t="s">
        <v>19</v>
      </c>
      <c r="Q2554" s="78" t="s">
        <v>2056</v>
      </c>
      <c r="R2554" s="75">
        <f t="shared" si="277"/>
        <v>1</v>
      </c>
      <c r="S2554" s="263" t="s">
        <v>1991</v>
      </c>
      <c r="T2554" s="263" t="s">
        <v>934</v>
      </c>
      <c r="Y2554" s="576">
        <v>0.42473379629629626</v>
      </c>
      <c r="Z2554" s="576">
        <v>0.4329513888888889</v>
      </c>
      <c r="AA2554" s="576">
        <f t="shared" si="278"/>
        <v>8.2175925925926374E-3</v>
      </c>
    </row>
    <row r="2555" spans="1:27" x14ac:dyDescent="0.35">
      <c r="A2555" s="81" t="s">
        <v>8135</v>
      </c>
      <c r="C2555" s="118">
        <v>43979</v>
      </c>
      <c r="D2555" s="318">
        <v>44004</v>
      </c>
      <c r="E2555" s="83">
        <v>43993</v>
      </c>
      <c r="F2555" s="88" t="s">
        <v>8184</v>
      </c>
      <c r="G2555" s="88" t="s">
        <v>152</v>
      </c>
      <c r="H2555" s="98" t="s">
        <v>220</v>
      </c>
      <c r="I2555" s="98" t="s">
        <v>1213</v>
      </c>
      <c r="J2555" s="75">
        <f t="shared" si="276"/>
        <v>0.3</v>
      </c>
      <c r="K2555" s="76" t="s">
        <v>568</v>
      </c>
      <c r="L2555" s="99" t="s">
        <v>8090</v>
      </c>
      <c r="N2555" s="78" t="s">
        <v>18</v>
      </c>
      <c r="Q2555" s="78" t="s">
        <v>2056</v>
      </c>
      <c r="R2555" s="75">
        <f t="shared" si="277"/>
        <v>1</v>
      </c>
      <c r="S2555" s="263" t="s">
        <v>1991</v>
      </c>
      <c r="T2555" s="263" t="s">
        <v>933</v>
      </c>
      <c r="Y2555" s="576">
        <v>0.43328703703703703</v>
      </c>
      <c r="Z2555" s="576">
        <v>0.44040509259259258</v>
      </c>
      <c r="AA2555" s="576">
        <f t="shared" si="278"/>
        <v>7.118055555555558E-3</v>
      </c>
    </row>
    <row r="2556" spans="1:27" x14ac:dyDescent="0.35">
      <c r="A2556" s="81" t="s">
        <v>8137</v>
      </c>
      <c r="C2556" s="118">
        <v>43979</v>
      </c>
      <c r="D2556" s="318">
        <v>44004</v>
      </c>
      <c r="E2556" s="83">
        <v>43993</v>
      </c>
      <c r="F2556" s="88" t="s">
        <v>8186</v>
      </c>
      <c r="G2556" s="88" t="s">
        <v>179</v>
      </c>
      <c r="H2556" s="98" t="s">
        <v>220</v>
      </c>
      <c r="I2556" s="98" t="s">
        <v>730</v>
      </c>
      <c r="J2556" s="75">
        <f t="shared" si="276"/>
        <v>0.3</v>
      </c>
      <c r="K2556" s="76" t="s">
        <v>568</v>
      </c>
      <c r="L2556" s="99" t="s">
        <v>8229</v>
      </c>
      <c r="N2556" s="78" t="s">
        <v>18</v>
      </c>
      <c r="Q2556" s="78" t="s">
        <v>2447</v>
      </c>
      <c r="R2556" s="75">
        <f t="shared" si="277"/>
        <v>1</v>
      </c>
      <c r="S2556" s="263" t="s">
        <v>1991</v>
      </c>
      <c r="T2556" s="263" t="s">
        <v>934</v>
      </c>
      <c r="Y2556" s="576">
        <v>0.74829861111111118</v>
      </c>
      <c r="Z2556" s="576">
        <v>0.75862268518518527</v>
      </c>
      <c r="AA2556" s="576">
        <f t="shared" si="278"/>
        <v>1.0324074074074097E-2</v>
      </c>
    </row>
    <row r="2557" spans="1:27" x14ac:dyDescent="0.35">
      <c r="A2557" s="81" t="s">
        <v>8157</v>
      </c>
      <c r="C2557" s="118">
        <v>43983</v>
      </c>
      <c r="D2557" s="318">
        <v>44005</v>
      </c>
      <c r="E2557" s="83">
        <v>43994</v>
      </c>
      <c r="F2557" s="88" t="s">
        <v>8206</v>
      </c>
      <c r="G2557" s="88" t="s">
        <v>154</v>
      </c>
      <c r="H2557" s="98" t="s">
        <v>220</v>
      </c>
      <c r="I2557" s="98" t="s">
        <v>656</v>
      </c>
      <c r="J2557" s="75">
        <f t="shared" ref="J2557:J2582" si="279">IF(OR(K2557="Документы готовы",K2557="Запрос в ФО",K2557="ЭЗ",K2557="РЕШ",K2557="РЕШ шаблон"),0.1,IF(OR(K2557="ЭЗ согласование",K2557="РЕШ согласование"),0.3,IF(OR(K2557="ЭЗ согласовано",K2557="РЕШ согласовано",K2557="РЕШ подписано"),0.6,IF(OR(K2557="ЭЗ ПР согласование",K2557="РЕШ УВ согласование"),0.9,IF(OR(K2557="ЭЗ ПР DONE",K2557="РЕШ УВ DONE"),1,0)))))</f>
        <v>0.3</v>
      </c>
      <c r="K2557" s="76" t="s">
        <v>568</v>
      </c>
      <c r="L2557" s="99" t="s">
        <v>7515</v>
      </c>
      <c r="N2557" s="78" t="s">
        <v>17</v>
      </c>
      <c r="Q2557" s="78" t="s">
        <v>2447</v>
      </c>
      <c r="R2557" s="75">
        <f t="shared" ref="R2557:R2583" si="280">IF(S2557="В работе",0.3,IF(S2557="Отписано",0.6,IF(S2557="На доработку",0.9,IF(S2557="Согласовано",1,0))))</f>
        <v>1</v>
      </c>
      <c r="S2557" s="263" t="s">
        <v>1991</v>
      </c>
      <c r="T2557" s="263" t="s">
        <v>933</v>
      </c>
      <c r="Y2557" s="576">
        <v>0.6175694444444445</v>
      </c>
      <c r="Z2557" s="576">
        <v>0.62922453703703707</v>
      </c>
      <c r="AA2557" s="576">
        <f t="shared" si="278"/>
        <v>1.1655092592592564E-2</v>
      </c>
    </row>
    <row r="2558" spans="1:27" x14ac:dyDescent="0.35">
      <c r="A2558" s="81" t="s">
        <v>8158</v>
      </c>
      <c r="C2558" s="118">
        <v>43983</v>
      </c>
      <c r="D2558" s="318">
        <v>44005</v>
      </c>
      <c r="E2558" s="83">
        <v>43994</v>
      </c>
      <c r="F2558" s="88" t="s">
        <v>8207</v>
      </c>
      <c r="G2558" s="88" t="s">
        <v>154</v>
      </c>
      <c r="H2558" s="98" t="s">
        <v>220</v>
      </c>
      <c r="I2558" s="98" t="s">
        <v>656</v>
      </c>
      <c r="J2558" s="75">
        <f t="shared" si="279"/>
        <v>0.3</v>
      </c>
      <c r="K2558" s="76" t="s">
        <v>568</v>
      </c>
      <c r="L2558" s="99" t="s">
        <v>8243</v>
      </c>
      <c r="N2558" s="78" t="s">
        <v>19</v>
      </c>
      <c r="Q2558" s="78" t="s">
        <v>2447</v>
      </c>
      <c r="R2558" s="75">
        <f t="shared" si="280"/>
        <v>1</v>
      </c>
      <c r="S2558" s="263" t="s">
        <v>1991</v>
      </c>
      <c r="T2558" s="263" t="s">
        <v>934</v>
      </c>
      <c r="Y2558" s="576">
        <v>0.5774421296296296</v>
      </c>
      <c r="Z2558" s="576">
        <v>0.60805555555555557</v>
      </c>
      <c r="AA2558" s="576">
        <f t="shared" si="278"/>
        <v>3.0613425925925974E-2</v>
      </c>
    </row>
    <row r="2559" spans="1:27" x14ac:dyDescent="0.35">
      <c r="A2559" s="81" t="s">
        <v>8159</v>
      </c>
      <c r="C2559" s="118">
        <v>43983</v>
      </c>
      <c r="D2559" s="318">
        <v>44005</v>
      </c>
      <c r="E2559" s="83">
        <v>43994</v>
      </c>
      <c r="F2559" s="88" t="s">
        <v>8208</v>
      </c>
      <c r="G2559" s="88" t="s">
        <v>170</v>
      </c>
      <c r="H2559" s="98" t="s">
        <v>220</v>
      </c>
      <c r="I2559" s="98" t="s">
        <v>665</v>
      </c>
      <c r="J2559" s="75">
        <f t="shared" si="279"/>
        <v>0.3</v>
      </c>
      <c r="K2559" s="76" t="s">
        <v>568</v>
      </c>
      <c r="L2559" s="99" t="s">
        <v>8235</v>
      </c>
      <c r="N2559" s="78" t="s">
        <v>18</v>
      </c>
      <c r="Q2559" s="78" t="s">
        <v>2447</v>
      </c>
      <c r="R2559" s="75">
        <f t="shared" si="280"/>
        <v>1</v>
      </c>
      <c r="S2559" s="263" t="s">
        <v>1991</v>
      </c>
      <c r="T2559" s="263" t="s">
        <v>934</v>
      </c>
      <c r="Y2559" s="576">
        <v>0.40578703703703706</v>
      </c>
      <c r="Z2559" s="576">
        <v>0.41584490740740737</v>
      </c>
      <c r="AA2559" s="576">
        <f t="shared" si="278"/>
        <v>1.0057870370370314E-2</v>
      </c>
    </row>
    <row r="2560" spans="1:27" x14ac:dyDescent="0.35">
      <c r="A2560" s="81" t="s">
        <v>8161</v>
      </c>
      <c r="C2560" s="118">
        <v>43983</v>
      </c>
      <c r="D2560" s="318">
        <v>44005</v>
      </c>
      <c r="E2560" s="83">
        <v>43994</v>
      </c>
      <c r="F2560" s="88" t="s">
        <v>8210</v>
      </c>
      <c r="G2560" s="88" t="s">
        <v>158</v>
      </c>
      <c r="H2560" s="98" t="s">
        <v>220</v>
      </c>
      <c r="I2560" s="98" t="s">
        <v>656</v>
      </c>
      <c r="J2560" s="75">
        <f t="shared" si="279"/>
        <v>0.3</v>
      </c>
      <c r="K2560" s="76" t="s">
        <v>568</v>
      </c>
      <c r="L2560" s="99" t="s">
        <v>7544</v>
      </c>
      <c r="N2560" s="78" t="s">
        <v>18</v>
      </c>
      <c r="Q2560" s="78" t="s">
        <v>2447</v>
      </c>
      <c r="R2560" s="75">
        <f t="shared" si="280"/>
        <v>1</v>
      </c>
      <c r="S2560" s="263" t="s">
        <v>1991</v>
      </c>
      <c r="T2560" s="263" t="s">
        <v>933</v>
      </c>
      <c r="Y2560" s="576">
        <v>0.41615740740740742</v>
      </c>
      <c r="Z2560" s="576">
        <v>0.43032407407407408</v>
      </c>
      <c r="AA2560" s="576">
        <f t="shared" si="278"/>
        <v>1.4166666666666661E-2</v>
      </c>
    </row>
    <row r="2561" spans="1:27" x14ac:dyDescent="0.35">
      <c r="A2561" s="81" t="s">
        <v>8167</v>
      </c>
      <c r="C2561" s="118">
        <v>43983</v>
      </c>
      <c r="D2561" s="318">
        <v>44005</v>
      </c>
      <c r="E2561" s="83">
        <v>43994</v>
      </c>
      <c r="F2561" s="88" t="s">
        <v>8216</v>
      </c>
      <c r="G2561" s="88" t="s">
        <v>158</v>
      </c>
      <c r="H2561" s="81" t="s">
        <v>275</v>
      </c>
      <c r="I2561" s="98" t="s">
        <v>656</v>
      </c>
      <c r="J2561" s="75">
        <f t="shared" si="279"/>
        <v>0.3</v>
      </c>
      <c r="K2561" s="76" t="s">
        <v>568</v>
      </c>
      <c r="L2561" s="99" t="s">
        <v>8370</v>
      </c>
      <c r="N2561" s="78" t="s">
        <v>19</v>
      </c>
      <c r="Q2561" s="78" t="s">
        <v>2097</v>
      </c>
      <c r="R2561" s="75">
        <f t="shared" si="280"/>
        <v>1</v>
      </c>
      <c r="S2561" s="263" t="s">
        <v>1991</v>
      </c>
      <c r="T2561" s="263" t="s">
        <v>933</v>
      </c>
      <c r="U2561" s="304" t="s">
        <v>5592</v>
      </c>
      <c r="V2561" s="304" t="s">
        <v>8371</v>
      </c>
      <c r="Y2561" s="576">
        <v>0.35446759259259258</v>
      </c>
      <c r="Z2561" s="576">
        <v>0.36622685185185189</v>
      </c>
      <c r="AA2561" s="576">
        <f t="shared" si="278"/>
        <v>1.1759259259259303E-2</v>
      </c>
    </row>
    <row r="2562" spans="1:27" x14ac:dyDescent="0.35">
      <c r="A2562" s="81" t="s">
        <v>8168</v>
      </c>
      <c r="C2562" s="118">
        <v>43983</v>
      </c>
      <c r="D2562" s="318">
        <v>44005</v>
      </c>
      <c r="E2562" s="83">
        <v>43994</v>
      </c>
      <c r="F2562" s="255" t="s">
        <v>8217</v>
      </c>
      <c r="G2562" s="88" t="s">
        <v>154</v>
      </c>
      <c r="H2562" s="98" t="s">
        <v>220</v>
      </c>
      <c r="I2562" s="98" t="s">
        <v>656</v>
      </c>
      <c r="J2562" s="75">
        <f t="shared" si="279"/>
        <v>0.3</v>
      </c>
      <c r="K2562" s="76" t="s">
        <v>568</v>
      </c>
      <c r="L2562" s="99" t="s">
        <v>7544</v>
      </c>
      <c r="N2562" s="78" t="s">
        <v>18</v>
      </c>
      <c r="Q2562" s="78" t="s">
        <v>2097</v>
      </c>
      <c r="R2562" s="75">
        <f t="shared" si="280"/>
        <v>1</v>
      </c>
      <c r="S2562" s="263" t="s">
        <v>1991</v>
      </c>
      <c r="T2562" s="263" t="s">
        <v>932</v>
      </c>
      <c r="Y2562" s="576">
        <v>0.33826388888888892</v>
      </c>
      <c r="Z2562" s="576">
        <v>0.35401620370370374</v>
      </c>
      <c r="AA2562" s="576">
        <f t="shared" si="278"/>
        <v>1.5752314814814816E-2</v>
      </c>
    </row>
    <row r="2563" spans="1:27" x14ac:dyDescent="0.35">
      <c r="A2563" s="81" t="s">
        <v>7577</v>
      </c>
      <c r="C2563" s="118">
        <v>43906</v>
      </c>
      <c r="D2563" s="318">
        <v>44008</v>
      </c>
      <c r="E2563" s="83">
        <v>44004</v>
      </c>
      <c r="F2563" s="255" t="s">
        <v>7666</v>
      </c>
      <c r="G2563" s="88" t="s">
        <v>183</v>
      </c>
      <c r="H2563" s="98" t="s">
        <v>220</v>
      </c>
      <c r="I2563" s="98" t="s">
        <v>2517</v>
      </c>
      <c r="J2563" s="75">
        <f t="shared" si="279"/>
        <v>0.3</v>
      </c>
      <c r="K2563" s="76" t="s">
        <v>568</v>
      </c>
      <c r="L2563" s="99" t="s">
        <v>8423</v>
      </c>
      <c r="N2563" s="78" t="s">
        <v>18</v>
      </c>
      <c r="Q2563" s="78" t="s">
        <v>2130</v>
      </c>
      <c r="R2563" s="75">
        <f t="shared" si="280"/>
        <v>1</v>
      </c>
      <c r="S2563" s="263" t="s">
        <v>1991</v>
      </c>
      <c r="T2563" s="263" t="s">
        <v>933</v>
      </c>
      <c r="Y2563" s="576">
        <v>0.46640046296296295</v>
      </c>
      <c r="Z2563" s="576">
        <v>0.48859953703703707</v>
      </c>
      <c r="AA2563" s="576">
        <f t="shared" si="278"/>
        <v>2.2199074074074121E-2</v>
      </c>
    </row>
    <row r="2564" spans="1:27" x14ac:dyDescent="0.35">
      <c r="A2564" s="81" t="s">
        <v>8108</v>
      </c>
      <c r="C2564" s="118">
        <v>43916</v>
      </c>
      <c r="D2564" s="318">
        <v>44005</v>
      </c>
      <c r="E2564" s="83">
        <v>43998</v>
      </c>
      <c r="F2564" s="88" t="s">
        <v>4367</v>
      </c>
      <c r="G2564" s="88" t="s">
        <v>154</v>
      </c>
      <c r="H2564" s="98" t="s">
        <v>220</v>
      </c>
      <c r="I2564" s="98" t="s">
        <v>8367</v>
      </c>
      <c r="J2564" s="75">
        <f t="shared" si="279"/>
        <v>0.3</v>
      </c>
      <c r="K2564" s="76" t="s">
        <v>568</v>
      </c>
      <c r="L2564" s="99" t="s">
        <v>8025</v>
      </c>
      <c r="N2564" s="78" t="s">
        <v>19</v>
      </c>
      <c r="Q2564" s="78" t="s">
        <v>2130</v>
      </c>
      <c r="R2564" s="75">
        <f t="shared" si="280"/>
        <v>1</v>
      </c>
      <c r="S2564" s="263" t="s">
        <v>1991</v>
      </c>
      <c r="T2564" s="263" t="s">
        <v>933</v>
      </c>
      <c r="U2564" s="304" t="s">
        <v>5592</v>
      </c>
      <c r="V2564" s="304" t="s">
        <v>8368</v>
      </c>
      <c r="Y2564" s="576">
        <v>0.46804398148148146</v>
      </c>
      <c r="Z2564" s="576">
        <v>0.48207175925925921</v>
      </c>
      <c r="AA2564" s="576">
        <f t="shared" si="278"/>
        <v>1.402777777777775E-2</v>
      </c>
    </row>
    <row r="2565" spans="1:27" x14ac:dyDescent="0.35">
      <c r="A2565" s="81" t="s">
        <v>6602</v>
      </c>
      <c r="C2565" s="118">
        <v>43928</v>
      </c>
      <c r="D2565" s="118">
        <v>44014</v>
      </c>
      <c r="F2565" s="88" t="s">
        <v>6727</v>
      </c>
      <c r="G2565" s="88" t="s">
        <v>158</v>
      </c>
      <c r="H2565" s="98" t="s">
        <v>220</v>
      </c>
      <c r="J2565" s="75">
        <f t="shared" si="279"/>
        <v>0</v>
      </c>
      <c r="K2565" s="76"/>
      <c r="Q2565" s="78" t="s">
        <v>2130</v>
      </c>
      <c r="R2565" s="75">
        <f t="shared" si="280"/>
        <v>0.3</v>
      </c>
      <c r="S2565" s="263" t="s">
        <v>1988</v>
      </c>
      <c r="T2565" s="263"/>
      <c r="AA2565" s="576">
        <f t="shared" si="278"/>
        <v>0</v>
      </c>
    </row>
    <row r="2566" spans="1:27" x14ac:dyDescent="0.35">
      <c r="A2566" s="81" t="s">
        <v>6862</v>
      </c>
      <c r="C2566" s="118">
        <v>43935</v>
      </c>
      <c r="D2566" s="118">
        <v>44014</v>
      </c>
      <c r="F2566" s="88" t="s">
        <v>6890</v>
      </c>
      <c r="G2566" s="88" t="s">
        <v>3356</v>
      </c>
      <c r="H2566" s="98" t="s">
        <v>220</v>
      </c>
      <c r="J2566" s="75">
        <f t="shared" si="279"/>
        <v>0</v>
      </c>
      <c r="K2566" s="76"/>
      <c r="Q2566" s="78" t="s">
        <v>2097</v>
      </c>
      <c r="R2566" s="75">
        <f t="shared" si="280"/>
        <v>0.3</v>
      </c>
      <c r="S2566" s="263" t="s">
        <v>1988</v>
      </c>
      <c r="T2566" s="263"/>
      <c r="AA2566" s="576">
        <f t="shared" si="278"/>
        <v>0</v>
      </c>
    </row>
    <row r="2567" spans="1:27" x14ac:dyDescent="0.35">
      <c r="A2567" s="81" t="s">
        <v>8114</v>
      </c>
      <c r="C2567" s="118">
        <v>43937</v>
      </c>
      <c r="D2567" s="318">
        <v>44005</v>
      </c>
      <c r="E2567" s="83">
        <v>43998</v>
      </c>
      <c r="F2567" s="88" t="s">
        <v>8172</v>
      </c>
      <c r="G2567" s="88" t="s">
        <v>152</v>
      </c>
      <c r="H2567" s="98" t="s">
        <v>220</v>
      </c>
      <c r="I2567" s="98" t="s">
        <v>1122</v>
      </c>
      <c r="J2567" s="75">
        <f t="shared" si="279"/>
        <v>0.3</v>
      </c>
      <c r="K2567" s="76" t="s">
        <v>568</v>
      </c>
      <c r="L2567" s="99" t="s">
        <v>8234</v>
      </c>
      <c r="N2567" s="78" t="s">
        <v>18</v>
      </c>
      <c r="Q2567" s="78" t="s">
        <v>2163</v>
      </c>
      <c r="R2567" s="75">
        <f t="shared" si="280"/>
        <v>1</v>
      </c>
      <c r="S2567" s="263" t="s">
        <v>1991</v>
      </c>
      <c r="T2567" s="263" t="s">
        <v>932</v>
      </c>
      <c r="Y2567" s="576">
        <v>0.39217592592592593</v>
      </c>
      <c r="Z2567" s="576">
        <v>0.39799768518518519</v>
      </c>
      <c r="AA2567" s="576">
        <f t="shared" ref="AA2567:AA2607" si="281">Z2567-Y2567</f>
        <v>5.8217592592592626E-3</v>
      </c>
    </row>
    <row r="2568" spans="1:27" x14ac:dyDescent="0.35">
      <c r="A2568" s="81" t="s">
        <v>8118</v>
      </c>
      <c r="C2568" s="118">
        <v>43950</v>
      </c>
      <c r="D2568" s="318">
        <v>44005</v>
      </c>
      <c r="E2568" s="83">
        <v>43998</v>
      </c>
      <c r="F2568" s="88" t="s">
        <v>8172</v>
      </c>
      <c r="G2568" s="88" t="s">
        <v>152</v>
      </c>
      <c r="H2568" s="98" t="s">
        <v>220</v>
      </c>
      <c r="I2568" s="98" t="s">
        <v>1122</v>
      </c>
      <c r="J2568" s="75">
        <f t="shared" si="279"/>
        <v>0.3</v>
      </c>
      <c r="K2568" s="76" t="s">
        <v>568</v>
      </c>
      <c r="L2568" s="99" t="s">
        <v>8374</v>
      </c>
      <c r="N2568" s="78" t="s">
        <v>18</v>
      </c>
      <c r="Q2568" s="78" t="s">
        <v>2130</v>
      </c>
      <c r="R2568" s="75">
        <f t="shared" si="280"/>
        <v>1</v>
      </c>
      <c r="S2568" s="263" t="s">
        <v>1991</v>
      </c>
      <c r="T2568" s="263" t="s">
        <v>934</v>
      </c>
      <c r="U2568" s="304" t="s">
        <v>5592</v>
      </c>
      <c r="V2568" s="304" t="s">
        <v>8375</v>
      </c>
      <c r="Y2568" s="576">
        <v>0.90546296296296302</v>
      </c>
      <c r="Z2568" s="576">
        <v>0.91812499999999997</v>
      </c>
      <c r="AA2568" s="576">
        <f t="shared" si="281"/>
        <v>1.2662037037036944E-2</v>
      </c>
    </row>
    <row r="2569" spans="1:27" x14ac:dyDescent="0.35">
      <c r="A2569" s="98" t="s">
        <v>8119</v>
      </c>
      <c r="C2569" s="118">
        <v>43956</v>
      </c>
      <c r="D2569" s="318">
        <v>44005</v>
      </c>
      <c r="E2569" s="83">
        <v>43998</v>
      </c>
      <c r="F2569" s="88" t="s">
        <v>8172</v>
      </c>
      <c r="G2569" s="88" t="s">
        <v>152</v>
      </c>
      <c r="H2569" s="98" t="s">
        <v>220</v>
      </c>
      <c r="I2569" s="98" t="s">
        <v>1122</v>
      </c>
      <c r="J2569" s="75">
        <f t="shared" si="279"/>
        <v>0.3</v>
      </c>
      <c r="K2569" s="76" t="s">
        <v>568</v>
      </c>
      <c r="L2569" s="99" t="s">
        <v>8234</v>
      </c>
      <c r="N2569" s="78" t="s">
        <v>18</v>
      </c>
      <c r="Q2569" s="78" t="s">
        <v>2163</v>
      </c>
      <c r="R2569" s="75">
        <f t="shared" si="280"/>
        <v>1</v>
      </c>
      <c r="S2569" s="263" t="s">
        <v>1991</v>
      </c>
      <c r="T2569" s="263" t="s">
        <v>933</v>
      </c>
      <c r="Y2569" s="576">
        <v>0.3982175925925926</v>
      </c>
      <c r="Z2569" s="576">
        <v>0.40203703703703703</v>
      </c>
      <c r="AA2569" s="576">
        <f t="shared" si="281"/>
        <v>3.8194444444444309E-3</v>
      </c>
    </row>
    <row r="2570" spans="1:27" x14ac:dyDescent="0.35">
      <c r="A2570" s="81" t="s">
        <v>8120</v>
      </c>
      <c r="C2570" s="118">
        <v>43956</v>
      </c>
      <c r="D2570" s="318">
        <v>44005</v>
      </c>
      <c r="E2570" s="83">
        <v>43998</v>
      </c>
      <c r="F2570" s="88" t="s">
        <v>8172</v>
      </c>
      <c r="G2570" s="88" t="s">
        <v>152</v>
      </c>
      <c r="H2570" s="98" t="s">
        <v>220</v>
      </c>
      <c r="I2570" s="98" t="s">
        <v>1122</v>
      </c>
      <c r="J2570" s="75">
        <f t="shared" si="279"/>
        <v>0.3</v>
      </c>
      <c r="K2570" s="76" t="s">
        <v>568</v>
      </c>
      <c r="L2570" s="99" t="s">
        <v>8234</v>
      </c>
      <c r="N2570" s="78" t="s">
        <v>18</v>
      </c>
      <c r="Q2570" s="78" t="s">
        <v>2163</v>
      </c>
      <c r="R2570" s="75">
        <f t="shared" si="280"/>
        <v>1</v>
      </c>
      <c r="S2570" s="263" t="s">
        <v>1991</v>
      </c>
      <c r="T2570" s="263" t="s">
        <v>934</v>
      </c>
      <c r="Y2570" s="576">
        <v>0.40221064814814816</v>
      </c>
      <c r="Z2570" s="576">
        <v>0.40612268518518518</v>
      </c>
      <c r="AA2570" s="576">
        <f t="shared" si="281"/>
        <v>3.9120370370370194E-3</v>
      </c>
    </row>
    <row r="2571" spans="1:27" x14ac:dyDescent="0.35">
      <c r="A2571" s="81" t="s">
        <v>8121</v>
      </c>
      <c r="C2571" s="118">
        <v>43956</v>
      </c>
      <c r="D2571" s="318">
        <v>44005</v>
      </c>
      <c r="E2571" s="83">
        <v>43998</v>
      </c>
      <c r="F2571" s="88" t="s">
        <v>8172</v>
      </c>
      <c r="G2571" s="88" t="s">
        <v>152</v>
      </c>
      <c r="H2571" s="98" t="s">
        <v>220</v>
      </c>
      <c r="I2571" s="98" t="s">
        <v>3553</v>
      </c>
      <c r="J2571" s="75">
        <f t="shared" si="279"/>
        <v>0.3</v>
      </c>
      <c r="K2571" s="76" t="s">
        <v>568</v>
      </c>
      <c r="L2571" s="99" t="s">
        <v>7528</v>
      </c>
      <c r="N2571" s="78" t="s">
        <v>19</v>
      </c>
      <c r="Q2571" s="78" t="s">
        <v>2163</v>
      </c>
      <c r="R2571" s="75">
        <f t="shared" si="280"/>
        <v>1</v>
      </c>
      <c r="S2571" s="263" t="s">
        <v>1991</v>
      </c>
      <c r="T2571" s="263" t="s">
        <v>932</v>
      </c>
      <c r="Y2571" s="576">
        <v>0.41011574074074075</v>
      </c>
      <c r="Z2571" s="576">
        <v>0.43723379629629627</v>
      </c>
      <c r="AA2571" s="576">
        <f t="shared" si="281"/>
        <v>2.711805555555552E-2</v>
      </c>
    </row>
    <row r="2572" spans="1:27" x14ac:dyDescent="0.35">
      <c r="A2572" s="81" t="s">
        <v>8123</v>
      </c>
      <c r="C2572" s="118">
        <v>43956</v>
      </c>
      <c r="D2572" s="318">
        <v>44005</v>
      </c>
      <c r="E2572" s="83">
        <v>43998</v>
      </c>
      <c r="F2572" s="88" t="s">
        <v>8172</v>
      </c>
      <c r="G2572" s="88" t="s">
        <v>152</v>
      </c>
      <c r="H2572" s="98" t="s">
        <v>220</v>
      </c>
      <c r="I2572" s="98" t="s">
        <v>1122</v>
      </c>
      <c r="J2572" s="75">
        <f t="shared" si="279"/>
        <v>0.3</v>
      </c>
      <c r="K2572" s="76" t="s">
        <v>568</v>
      </c>
      <c r="L2572" s="99" t="s">
        <v>8234</v>
      </c>
      <c r="N2572" s="78" t="s">
        <v>18</v>
      </c>
      <c r="Q2572" s="78" t="s">
        <v>2163</v>
      </c>
      <c r="R2572" s="75">
        <f t="shared" si="280"/>
        <v>1</v>
      </c>
      <c r="S2572" s="263" t="s">
        <v>1991</v>
      </c>
      <c r="T2572" s="263" t="s">
        <v>933</v>
      </c>
      <c r="Y2572" s="576">
        <v>0.40651620370370373</v>
      </c>
      <c r="Z2572" s="576">
        <v>0.40989583333333335</v>
      </c>
      <c r="AA2572" s="576">
        <f t="shared" si="281"/>
        <v>3.3796296296296213E-3</v>
      </c>
    </row>
    <row r="2573" spans="1:27" x14ac:dyDescent="0.35">
      <c r="A2573" s="81" t="s">
        <v>8252</v>
      </c>
      <c r="C2573" s="118">
        <v>43959</v>
      </c>
      <c r="D2573" s="318">
        <v>44007</v>
      </c>
      <c r="E2573" s="83">
        <v>44000</v>
      </c>
      <c r="F2573" s="88" t="s">
        <v>2232</v>
      </c>
      <c r="G2573" s="88" t="s">
        <v>152</v>
      </c>
      <c r="H2573" s="98" t="s">
        <v>220</v>
      </c>
      <c r="I2573" s="98" t="s">
        <v>656</v>
      </c>
      <c r="J2573" s="75">
        <f t="shared" si="279"/>
        <v>0.3</v>
      </c>
      <c r="K2573" s="76" t="s">
        <v>568</v>
      </c>
      <c r="L2573" s="99" t="s">
        <v>7515</v>
      </c>
      <c r="N2573" s="78" t="s">
        <v>17</v>
      </c>
      <c r="Q2573" s="78" t="s">
        <v>2130</v>
      </c>
      <c r="R2573" s="75">
        <f t="shared" si="280"/>
        <v>1</v>
      </c>
      <c r="S2573" s="263" t="s">
        <v>1991</v>
      </c>
      <c r="T2573" s="263" t="s">
        <v>932</v>
      </c>
      <c r="Y2573" s="576">
        <v>0.84644675925925927</v>
      </c>
      <c r="Z2573" s="576">
        <v>0.85751157407407408</v>
      </c>
      <c r="AA2573" s="576">
        <f t="shared" si="281"/>
        <v>1.1064814814814805E-2</v>
      </c>
    </row>
    <row r="2574" spans="1:27" x14ac:dyDescent="0.35">
      <c r="A2574" s="81" t="s">
        <v>8253</v>
      </c>
      <c r="C2574" s="118">
        <v>43963</v>
      </c>
      <c r="D2574" s="318">
        <v>44008</v>
      </c>
      <c r="E2574" s="83">
        <v>44001</v>
      </c>
      <c r="F2574" s="88" t="s">
        <v>8311</v>
      </c>
      <c r="G2574" s="88" t="s">
        <v>162</v>
      </c>
      <c r="H2574" s="98" t="s">
        <v>220</v>
      </c>
      <c r="I2574" s="98" t="s">
        <v>656</v>
      </c>
      <c r="J2574" s="75">
        <f t="shared" si="279"/>
        <v>0.3</v>
      </c>
      <c r="K2574" s="76" t="s">
        <v>568</v>
      </c>
      <c r="L2574" s="99" t="s">
        <v>8409</v>
      </c>
      <c r="N2574" s="78" t="s">
        <v>17</v>
      </c>
      <c r="Q2574" s="78" t="s">
        <v>2097</v>
      </c>
      <c r="R2574" s="75">
        <f t="shared" si="280"/>
        <v>1</v>
      </c>
      <c r="S2574" s="263" t="s">
        <v>1991</v>
      </c>
      <c r="T2574" s="263" t="s">
        <v>933</v>
      </c>
      <c r="U2574" s="304" t="s">
        <v>5592</v>
      </c>
      <c r="V2574" s="304" t="s">
        <v>7167</v>
      </c>
      <c r="Y2574" s="576">
        <v>0.51096064814814812</v>
      </c>
      <c r="Z2574" s="576">
        <v>0.52396990740740745</v>
      </c>
      <c r="AA2574" s="576">
        <f t="shared" si="281"/>
        <v>1.3009259259259331E-2</v>
      </c>
    </row>
    <row r="2575" spans="1:27" x14ac:dyDescent="0.35">
      <c r="A2575" s="81" t="s">
        <v>8254</v>
      </c>
      <c r="C2575" s="118">
        <v>43963</v>
      </c>
      <c r="D2575" s="318">
        <v>44008</v>
      </c>
      <c r="E2575" s="83">
        <v>44004</v>
      </c>
      <c r="F2575" s="88" t="s">
        <v>8312</v>
      </c>
      <c r="G2575" s="88" t="s">
        <v>158</v>
      </c>
      <c r="H2575" s="98" t="s">
        <v>220</v>
      </c>
      <c r="I2575" s="98" t="s">
        <v>656</v>
      </c>
      <c r="J2575" s="75">
        <f t="shared" si="279"/>
        <v>0.3</v>
      </c>
      <c r="K2575" s="76" t="s">
        <v>568</v>
      </c>
      <c r="L2575" s="99" t="s">
        <v>8409</v>
      </c>
      <c r="N2575" s="78" t="s">
        <v>18</v>
      </c>
      <c r="Q2575" s="78" t="s">
        <v>2130</v>
      </c>
      <c r="R2575" s="75">
        <f t="shared" si="280"/>
        <v>1</v>
      </c>
      <c r="S2575" s="263" t="s">
        <v>1991</v>
      </c>
      <c r="T2575" s="263" t="s">
        <v>933</v>
      </c>
      <c r="U2575" s="304" t="s">
        <v>5592</v>
      </c>
      <c r="V2575" s="304" t="s">
        <v>8422</v>
      </c>
      <c r="Y2575" s="576">
        <v>0.45274305555555555</v>
      </c>
      <c r="Z2575" s="576">
        <v>0.46583333333333332</v>
      </c>
      <c r="AA2575" s="576">
        <f t="shared" si="281"/>
        <v>1.309027777777777E-2</v>
      </c>
    </row>
    <row r="2576" spans="1:27" x14ac:dyDescent="0.35">
      <c r="A2576" s="81" t="s">
        <v>7391</v>
      </c>
      <c r="C2576" s="118">
        <v>43964</v>
      </c>
      <c r="D2576" s="118">
        <v>44018</v>
      </c>
      <c r="F2576" s="88" t="s">
        <v>7511</v>
      </c>
      <c r="G2576" s="88" t="s">
        <v>1393</v>
      </c>
      <c r="H2576" s="98" t="s">
        <v>220</v>
      </c>
      <c r="J2576" s="75">
        <f t="shared" si="279"/>
        <v>0</v>
      </c>
      <c r="K2576" s="76"/>
      <c r="Q2576" s="78" t="s">
        <v>2163</v>
      </c>
      <c r="R2576" s="75">
        <f t="shared" si="280"/>
        <v>0.3</v>
      </c>
      <c r="S2576" s="263" t="s">
        <v>1988</v>
      </c>
      <c r="T2576" s="263"/>
      <c r="AA2576" s="576">
        <f t="shared" si="281"/>
        <v>0</v>
      </c>
    </row>
    <row r="2577" spans="1:27" x14ac:dyDescent="0.35">
      <c r="A2577" s="81" t="s">
        <v>8255</v>
      </c>
      <c r="C2577" s="118">
        <v>43964</v>
      </c>
      <c r="D2577" s="318">
        <v>44008</v>
      </c>
      <c r="E2577" s="83">
        <v>44001</v>
      </c>
      <c r="F2577" s="88" t="s">
        <v>8172</v>
      </c>
      <c r="G2577" s="88" t="s">
        <v>152</v>
      </c>
      <c r="H2577" s="98" t="s">
        <v>220</v>
      </c>
      <c r="I2577" s="98" t="s">
        <v>1122</v>
      </c>
      <c r="J2577" s="75">
        <f t="shared" si="279"/>
        <v>0.3</v>
      </c>
      <c r="K2577" s="76" t="s">
        <v>568</v>
      </c>
      <c r="L2577" s="99" t="s">
        <v>8234</v>
      </c>
      <c r="N2577" s="78" t="s">
        <v>18</v>
      </c>
      <c r="Q2577" s="78" t="s">
        <v>2097</v>
      </c>
      <c r="R2577" s="75">
        <f t="shared" si="280"/>
        <v>1</v>
      </c>
      <c r="S2577" s="263" t="s">
        <v>1991</v>
      </c>
      <c r="T2577" s="263" t="s">
        <v>932</v>
      </c>
      <c r="U2577" s="304" t="s">
        <v>5592</v>
      </c>
      <c r="V2577" s="304" t="s">
        <v>8413</v>
      </c>
      <c r="Y2577" s="576">
        <v>0.65430555555555558</v>
      </c>
      <c r="Z2577" s="576">
        <v>0.66418981481481476</v>
      </c>
      <c r="AA2577" s="576">
        <f t="shared" si="281"/>
        <v>9.884259259259176E-3</v>
      </c>
    </row>
    <row r="2578" spans="1:27" x14ac:dyDescent="0.35">
      <c r="A2578" s="81" t="s">
        <v>8125</v>
      </c>
      <c r="C2578" s="118">
        <v>43966</v>
      </c>
      <c r="D2578" s="318">
        <v>44005</v>
      </c>
      <c r="E2578" s="83">
        <v>44000</v>
      </c>
      <c r="F2578" s="88" t="s">
        <v>8174</v>
      </c>
      <c r="G2578" s="88" t="s">
        <v>195</v>
      </c>
      <c r="H2578" s="98" t="s">
        <v>220</v>
      </c>
      <c r="I2578" s="98" t="s">
        <v>730</v>
      </c>
      <c r="J2578" s="75">
        <f t="shared" si="279"/>
        <v>0.3</v>
      </c>
      <c r="K2578" s="76" t="s">
        <v>568</v>
      </c>
      <c r="L2578" s="99" t="s">
        <v>8387</v>
      </c>
      <c r="N2578" s="78" t="s">
        <v>18</v>
      </c>
      <c r="Q2578" s="78" t="s">
        <v>2163</v>
      </c>
      <c r="R2578" s="75">
        <f t="shared" si="280"/>
        <v>1</v>
      </c>
      <c r="S2578" s="263" t="s">
        <v>1991</v>
      </c>
      <c r="T2578" s="263" t="s">
        <v>934</v>
      </c>
      <c r="Y2578" s="576">
        <v>0.6572337962962963</v>
      </c>
      <c r="Z2578" s="576">
        <v>0.68457175925925917</v>
      </c>
      <c r="AA2578" s="576">
        <f t="shared" si="281"/>
        <v>2.733796296296287E-2</v>
      </c>
    </row>
    <row r="2579" spans="1:27" x14ac:dyDescent="0.35">
      <c r="A2579" s="81" t="s">
        <v>7612</v>
      </c>
      <c r="C2579" s="118">
        <v>43969</v>
      </c>
      <c r="D2579" s="318">
        <v>44007</v>
      </c>
      <c r="E2579" s="83">
        <v>43999</v>
      </c>
      <c r="F2579" s="88" t="s">
        <v>7701</v>
      </c>
      <c r="G2579" s="88" t="s">
        <v>2766</v>
      </c>
      <c r="H2579" s="98" t="s">
        <v>220</v>
      </c>
      <c r="I2579" s="98" t="s">
        <v>722</v>
      </c>
      <c r="J2579" s="75">
        <f t="shared" si="279"/>
        <v>0.3</v>
      </c>
      <c r="K2579" s="76" t="s">
        <v>568</v>
      </c>
      <c r="L2579" s="99" t="s">
        <v>7513</v>
      </c>
      <c r="N2579" s="78" t="s">
        <v>18</v>
      </c>
      <c r="Q2579" s="78" t="s">
        <v>2163</v>
      </c>
      <c r="R2579" s="75">
        <f t="shared" si="280"/>
        <v>1</v>
      </c>
      <c r="S2579" s="263" t="s">
        <v>1991</v>
      </c>
      <c r="T2579" s="263" t="s">
        <v>933</v>
      </c>
      <c r="Y2579" s="576">
        <v>0.57937499999999997</v>
      </c>
      <c r="Z2579" s="576">
        <v>0.58407407407407408</v>
      </c>
      <c r="AA2579" s="576">
        <f t="shared" si="281"/>
        <v>4.6990740740741055E-3</v>
      </c>
    </row>
    <row r="2580" spans="1:27" x14ac:dyDescent="0.35">
      <c r="A2580" s="81" t="s">
        <v>7616</v>
      </c>
      <c r="C2580" s="118">
        <v>43969</v>
      </c>
      <c r="D2580" s="318">
        <v>44007</v>
      </c>
      <c r="E2580" s="83">
        <v>43999</v>
      </c>
      <c r="F2580" s="88" t="s">
        <v>7705</v>
      </c>
      <c r="G2580" s="88" t="s">
        <v>193</v>
      </c>
      <c r="H2580" s="98" t="s">
        <v>220</v>
      </c>
      <c r="I2580" s="98" t="s">
        <v>649</v>
      </c>
      <c r="J2580" s="75">
        <f t="shared" si="279"/>
        <v>0.3</v>
      </c>
      <c r="K2580" s="76" t="s">
        <v>568</v>
      </c>
      <c r="L2580" s="99" t="s">
        <v>7521</v>
      </c>
      <c r="N2580" s="78" t="s">
        <v>18</v>
      </c>
      <c r="Q2580" s="78" t="s">
        <v>2097</v>
      </c>
      <c r="R2580" s="75">
        <f t="shared" si="280"/>
        <v>1</v>
      </c>
      <c r="S2580" s="263" t="s">
        <v>1991</v>
      </c>
      <c r="T2580" s="263" t="s">
        <v>933</v>
      </c>
      <c r="Y2580" s="576">
        <v>0.6023263888888889</v>
      </c>
      <c r="Z2580" s="576">
        <v>0.60685185185185186</v>
      </c>
      <c r="AA2580" s="576">
        <f t="shared" si="281"/>
        <v>4.5254629629629672E-3</v>
      </c>
    </row>
    <row r="2581" spans="1:27" x14ac:dyDescent="0.35">
      <c r="A2581" s="81" t="s">
        <v>7617</v>
      </c>
      <c r="C2581" s="118">
        <v>43969</v>
      </c>
      <c r="D2581" s="318">
        <v>44007</v>
      </c>
      <c r="E2581" s="83">
        <v>44000</v>
      </c>
      <c r="F2581" s="88" t="s">
        <v>7706</v>
      </c>
      <c r="G2581" s="88" t="s">
        <v>162</v>
      </c>
      <c r="H2581" s="98" t="s">
        <v>220</v>
      </c>
      <c r="I2581" s="98" t="s">
        <v>722</v>
      </c>
      <c r="J2581" s="75">
        <f t="shared" si="279"/>
        <v>0.3</v>
      </c>
      <c r="K2581" s="76" t="s">
        <v>568</v>
      </c>
      <c r="L2581" s="99" t="s">
        <v>8403</v>
      </c>
      <c r="N2581" s="78" t="s">
        <v>17</v>
      </c>
      <c r="Q2581" s="78" t="s">
        <v>2130</v>
      </c>
      <c r="R2581" s="75">
        <f t="shared" si="280"/>
        <v>1</v>
      </c>
      <c r="S2581" s="263" t="s">
        <v>1991</v>
      </c>
      <c r="T2581" s="263" t="s">
        <v>932</v>
      </c>
      <c r="Y2581" s="576">
        <v>0.90232638888888894</v>
      </c>
      <c r="Z2581" s="576">
        <v>0.90952546296296299</v>
      </c>
      <c r="AA2581" s="576">
        <f t="shared" si="281"/>
        <v>7.1990740740740522E-3</v>
      </c>
    </row>
    <row r="2582" spans="1:27" x14ac:dyDescent="0.35">
      <c r="A2582" s="81" t="s">
        <v>7618</v>
      </c>
      <c r="C2582" s="118">
        <v>43969</v>
      </c>
      <c r="D2582" s="318">
        <v>44007</v>
      </c>
      <c r="E2582" s="83">
        <v>43999</v>
      </c>
      <c r="F2582" s="88" t="s">
        <v>7707</v>
      </c>
      <c r="G2582" s="88" t="s">
        <v>149</v>
      </c>
      <c r="H2582" s="98" t="s">
        <v>220</v>
      </c>
      <c r="I2582" s="98" t="s">
        <v>4764</v>
      </c>
      <c r="J2582" s="75">
        <f t="shared" si="279"/>
        <v>0.3</v>
      </c>
      <c r="K2582" s="76" t="s">
        <v>568</v>
      </c>
      <c r="L2582" s="99" t="s">
        <v>8385</v>
      </c>
      <c r="N2582" s="78" t="s">
        <v>18</v>
      </c>
      <c r="Q2582" s="78" t="s">
        <v>2163</v>
      </c>
      <c r="R2582" s="75">
        <f t="shared" si="280"/>
        <v>1</v>
      </c>
      <c r="S2582" s="263" t="s">
        <v>1991</v>
      </c>
      <c r="T2582" s="263" t="s">
        <v>933</v>
      </c>
      <c r="Y2582" s="576">
        <v>0.66733796296296299</v>
      </c>
      <c r="Z2582" s="576">
        <v>0.70215277777777774</v>
      </c>
      <c r="AA2582" s="576">
        <f t="shared" si="281"/>
        <v>3.4814814814814743E-2</v>
      </c>
    </row>
    <row r="2583" spans="1:27" x14ac:dyDescent="0.35">
      <c r="A2583" s="81" t="s">
        <v>7619</v>
      </c>
      <c r="C2583" s="118">
        <v>43969</v>
      </c>
      <c r="D2583" s="318">
        <v>44007</v>
      </c>
      <c r="E2583" s="83">
        <v>43999</v>
      </c>
      <c r="F2583" s="88" t="s">
        <v>7708</v>
      </c>
      <c r="G2583" s="88" t="s">
        <v>162</v>
      </c>
      <c r="H2583" s="98" t="s">
        <v>220</v>
      </c>
      <c r="I2583" s="98" t="s">
        <v>722</v>
      </c>
      <c r="J2583" s="75">
        <f t="shared" ref="J2583:J2614" si="282">IF(OR(K2583="Документы готовы",K2583="Запрос в ФО",K2583="ЭЗ",K2583="РЕШ",K2583="РЕШ шаблон"),0.1,IF(OR(K2583="ЭЗ согласование",K2583="РЕШ согласование"),0.3,IF(OR(K2583="ЭЗ согласовано",K2583="РЕШ согласовано",K2583="РЕШ подписано"),0.6,IF(OR(K2583="ЭЗ ПР согласование",K2583="РЕШ УВ согласование"),0.9,IF(OR(K2583="ЭЗ ПР DONE",K2583="РЕШ УВ DONE"),1,0)))))</f>
        <v>0.3</v>
      </c>
      <c r="K2583" s="76" t="s">
        <v>568</v>
      </c>
      <c r="L2583" s="99" t="s">
        <v>7526</v>
      </c>
      <c r="N2583" s="78" t="s">
        <v>18</v>
      </c>
      <c r="Q2583" s="78" t="s">
        <v>2097</v>
      </c>
      <c r="R2583" s="75">
        <f t="shared" si="280"/>
        <v>1</v>
      </c>
      <c r="S2583" s="263" t="s">
        <v>1991</v>
      </c>
      <c r="T2583" s="263" t="s">
        <v>934</v>
      </c>
      <c r="Y2583" s="576">
        <v>0.50913194444444443</v>
      </c>
      <c r="Z2583" s="576">
        <v>0.51702546296296303</v>
      </c>
      <c r="AA2583" s="576">
        <f t="shared" si="281"/>
        <v>7.8935185185186052E-3</v>
      </c>
    </row>
    <row r="2584" spans="1:27" x14ac:dyDescent="0.35">
      <c r="A2584" s="81" t="s">
        <v>7621</v>
      </c>
      <c r="C2584" s="118">
        <v>43969</v>
      </c>
      <c r="D2584" s="318">
        <v>44007</v>
      </c>
      <c r="E2584" s="83">
        <v>44000</v>
      </c>
      <c r="F2584" s="88" t="s">
        <v>7710</v>
      </c>
      <c r="G2584" s="88" t="s">
        <v>152</v>
      </c>
      <c r="H2584" s="98" t="s">
        <v>220</v>
      </c>
      <c r="I2584" s="98" t="s">
        <v>722</v>
      </c>
      <c r="J2584" s="75">
        <f t="shared" si="282"/>
        <v>0.3</v>
      </c>
      <c r="K2584" s="76" t="s">
        <v>568</v>
      </c>
      <c r="L2584" s="99" t="s">
        <v>8402</v>
      </c>
      <c r="N2584" s="78" t="s">
        <v>17</v>
      </c>
      <c r="Q2584" s="78" t="s">
        <v>2130</v>
      </c>
      <c r="R2584" s="75">
        <f t="shared" ref="R2584:R2614" si="283">IF(S2584="В работе",0.3,IF(S2584="Отписано",0.6,IF(S2584="На доработку",0.9,IF(S2584="Согласовано",1,0))))</f>
        <v>1</v>
      </c>
      <c r="S2584" s="263" t="s">
        <v>1991</v>
      </c>
      <c r="T2584" s="263" t="s">
        <v>933</v>
      </c>
      <c r="Y2584" s="576">
        <v>0.89679398148148148</v>
      </c>
      <c r="Z2584" s="576">
        <v>0.9019907407407407</v>
      </c>
      <c r="AA2584" s="576">
        <f t="shared" si="281"/>
        <v>5.1967592592592204E-3</v>
      </c>
    </row>
    <row r="2585" spans="1:27" x14ac:dyDescent="0.35">
      <c r="A2585" s="81" t="s">
        <v>7622</v>
      </c>
      <c r="C2585" s="118">
        <v>43969</v>
      </c>
      <c r="D2585" s="318">
        <v>44007</v>
      </c>
      <c r="E2585" s="83">
        <v>43999</v>
      </c>
      <c r="F2585" s="88" t="s">
        <v>7711</v>
      </c>
      <c r="G2585" s="88" t="s">
        <v>154</v>
      </c>
      <c r="H2585" s="98" t="s">
        <v>220</v>
      </c>
      <c r="I2585" s="98" t="s">
        <v>8381</v>
      </c>
      <c r="J2585" s="75">
        <f t="shared" si="282"/>
        <v>0.3</v>
      </c>
      <c r="K2585" s="76" t="s">
        <v>568</v>
      </c>
      <c r="L2585" s="99" t="s">
        <v>8382</v>
      </c>
      <c r="N2585" s="78" t="s">
        <v>17</v>
      </c>
      <c r="Q2585" s="78" t="s">
        <v>2097</v>
      </c>
      <c r="R2585" s="75">
        <f t="shared" si="283"/>
        <v>1</v>
      </c>
      <c r="S2585" s="263" t="s">
        <v>1991</v>
      </c>
      <c r="T2585" s="263" t="s">
        <v>932</v>
      </c>
      <c r="Y2585" s="576">
        <v>0.51729166666666659</v>
      </c>
      <c r="Z2585" s="576">
        <v>0.52663194444444439</v>
      </c>
      <c r="AA2585" s="576">
        <f t="shared" si="281"/>
        <v>9.3402777777777946E-3</v>
      </c>
    </row>
    <row r="2586" spans="1:27" x14ac:dyDescent="0.35">
      <c r="A2586" s="81" t="s">
        <v>7624</v>
      </c>
      <c r="C2586" s="118">
        <v>43969</v>
      </c>
      <c r="D2586" s="318">
        <v>44007</v>
      </c>
      <c r="E2586" s="83">
        <v>43999</v>
      </c>
      <c r="F2586" s="88" t="s">
        <v>7713</v>
      </c>
      <c r="G2586" s="88" t="s">
        <v>160</v>
      </c>
      <c r="H2586" s="98" t="s">
        <v>220</v>
      </c>
      <c r="I2586" s="98" t="s">
        <v>649</v>
      </c>
      <c r="J2586" s="75">
        <f t="shared" si="282"/>
        <v>0.3</v>
      </c>
      <c r="K2586" s="76" t="s">
        <v>568</v>
      </c>
      <c r="L2586" s="99" t="s">
        <v>7563</v>
      </c>
      <c r="N2586" s="78" t="s">
        <v>18</v>
      </c>
      <c r="Q2586" s="78" t="s">
        <v>2447</v>
      </c>
      <c r="R2586" s="75">
        <f t="shared" si="283"/>
        <v>1</v>
      </c>
      <c r="S2586" s="263" t="s">
        <v>1991</v>
      </c>
      <c r="T2586" s="263" t="s">
        <v>934</v>
      </c>
      <c r="Y2586" s="576">
        <v>0.43559027777777781</v>
      </c>
      <c r="Z2586" s="576">
        <v>0.44483796296296302</v>
      </c>
      <c r="AA2586" s="576">
        <f t="shared" si="281"/>
        <v>9.247685185185206E-3</v>
      </c>
    </row>
    <row r="2587" spans="1:27" x14ac:dyDescent="0.35">
      <c r="A2587" s="81" t="s">
        <v>7625</v>
      </c>
      <c r="C2587" s="118">
        <v>43969</v>
      </c>
      <c r="D2587" s="318">
        <v>44007</v>
      </c>
      <c r="E2587" s="83">
        <v>44000</v>
      </c>
      <c r="F2587" s="88" t="s">
        <v>7714</v>
      </c>
      <c r="G2587" s="88" t="s">
        <v>160</v>
      </c>
      <c r="H2587" s="98" t="s">
        <v>220</v>
      </c>
      <c r="I2587" s="98" t="s">
        <v>8367</v>
      </c>
      <c r="J2587" s="75">
        <f t="shared" si="282"/>
        <v>0.3</v>
      </c>
      <c r="K2587" s="76" t="s">
        <v>568</v>
      </c>
      <c r="L2587" s="99" t="s">
        <v>8025</v>
      </c>
      <c r="N2587" s="78" t="s">
        <v>19</v>
      </c>
      <c r="Q2587" s="78" t="s">
        <v>2130</v>
      </c>
      <c r="R2587" s="75">
        <f t="shared" si="283"/>
        <v>1</v>
      </c>
      <c r="S2587" s="263" t="s">
        <v>1991</v>
      </c>
      <c r="T2587" s="263" t="s">
        <v>932</v>
      </c>
      <c r="U2587" s="304" t="s">
        <v>5592</v>
      </c>
      <c r="V2587" s="304" t="s">
        <v>8401</v>
      </c>
      <c r="Y2587" s="576">
        <v>0.87697916666666664</v>
      </c>
      <c r="Z2587" s="576">
        <v>0.89097222222222217</v>
      </c>
      <c r="AA2587" s="576">
        <f t="shared" si="281"/>
        <v>1.3993055555555522E-2</v>
      </c>
    </row>
    <row r="2588" spans="1:27" x14ac:dyDescent="0.35">
      <c r="A2588" s="81" t="s">
        <v>7626</v>
      </c>
      <c r="C2588" s="118">
        <v>43969</v>
      </c>
      <c r="D2588" s="318">
        <v>44007</v>
      </c>
      <c r="E2588" s="83">
        <v>43999</v>
      </c>
      <c r="F2588" s="88" t="s">
        <v>7715</v>
      </c>
      <c r="G2588" s="88" t="s">
        <v>162</v>
      </c>
      <c r="H2588" s="98" t="s">
        <v>220</v>
      </c>
      <c r="I2588" s="98" t="s">
        <v>722</v>
      </c>
      <c r="J2588" s="75">
        <f t="shared" si="282"/>
        <v>0.3</v>
      </c>
      <c r="K2588" s="76" t="s">
        <v>568</v>
      </c>
      <c r="L2588" s="99" t="s">
        <v>7526</v>
      </c>
      <c r="N2588" s="78" t="s">
        <v>17</v>
      </c>
      <c r="Q2588" s="78" t="s">
        <v>2056</v>
      </c>
      <c r="R2588" s="75">
        <f t="shared" si="283"/>
        <v>1</v>
      </c>
      <c r="S2588" s="263" t="s">
        <v>1991</v>
      </c>
      <c r="T2588" s="263" t="s">
        <v>932</v>
      </c>
      <c r="Y2588" s="576">
        <v>0.44521990740740741</v>
      </c>
      <c r="Z2588" s="576">
        <v>0.4495601851851852</v>
      </c>
      <c r="AA2588" s="576">
        <f t="shared" si="281"/>
        <v>4.3402777777777901E-3</v>
      </c>
    </row>
    <row r="2589" spans="1:27" x14ac:dyDescent="0.35">
      <c r="A2589" s="81" t="s">
        <v>7627</v>
      </c>
      <c r="C2589" s="118">
        <v>43969</v>
      </c>
      <c r="D2589" s="318">
        <v>44007</v>
      </c>
      <c r="E2589" s="83">
        <v>43999</v>
      </c>
      <c r="F2589" s="88" t="s">
        <v>7716</v>
      </c>
      <c r="G2589" s="88" t="s">
        <v>149</v>
      </c>
      <c r="H2589" s="98" t="s">
        <v>220</v>
      </c>
      <c r="I2589" s="98" t="s">
        <v>649</v>
      </c>
      <c r="J2589" s="75">
        <f t="shared" si="282"/>
        <v>0.3</v>
      </c>
      <c r="K2589" s="76" t="s">
        <v>568</v>
      </c>
      <c r="L2589" s="99" t="s">
        <v>7521</v>
      </c>
      <c r="N2589" s="78" t="s">
        <v>18</v>
      </c>
      <c r="Q2589" s="78" t="s">
        <v>2163</v>
      </c>
      <c r="R2589" s="75">
        <f t="shared" si="283"/>
        <v>1</v>
      </c>
      <c r="S2589" s="263" t="s">
        <v>1991</v>
      </c>
      <c r="T2589" s="263" t="s">
        <v>934</v>
      </c>
      <c r="Y2589" s="576">
        <v>0.65631944444444446</v>
      </c>
      <c r="Z2589" s="576">
        <v>0.66054398148148141</v>
      </c>
      <c r="AA2589" s="576">
        <f t="shared" si="281"/>
        <v>4.2245370370369573E-3</v>
      </c>
    </row>
    <row r="2590" spans="1:27" x14ac:dyDescent="0.35">
      <c r="A2590" s="81" t="s">
        <v>7630</v>
      </c>
      <c r="C2590" s="118">
        <v>43969</v>
      </c>
      <c r="D2590" s="318">
        <v>44007</v>
      </c>
      <c r="E2590" s="83">
        <v>43999</v>
      </c>
      <c r="F2590" s="88" t="s">
        <v>7719</v>
      </c>
      <c r="G2590" s="88" t="s">
        <v>1692</v>
      </c>
      <c r="H2590" s="98" t="s">
        <v>220</v>
      </c>
      <c r="I2590" s="98" t="s">
        <v>649</v>
      </c>
      <c r="J2590" s="75">
        <f t="shared" si="282"/>
        <v>0.3</v>
      </c>
      <c r="K2590" s="76" t="s">
        <v>568</v>
      </c>
      <c r="L2590" s="99" t="s">
        <v>7563</v>
      </c>
      <c r="N2590" s="78" t="s">
        <v>18</v>
      </c>
      <c r="Q2590" s="78" t="s">
        <v>2447</v>
      </c>
      <c r="R2590" s="75">
        <f t="shared" si="283"/>
        <v>1</v>
      </c>
      <c r="S2590" s="263" t="s">
        <v>1991</v>
      </c>
      <c r="T2590" s="263" t="s">
        <v>933</v>
      </c>
      <c r="Y2590" s="576">
        <v>0.62869212962962961</v>
      </c>
      <c r="Z2590" s="576">
        <v>0.63609953703703703</v>
      </c>
      <c r="AA2590" s="576">
        <f t="shared" si="281"/>
        <v>7.4074074074074181E-3</v>
      </c>
    </row>
    <row r="2591" spans="1:27" x14ac:dyDescent="0.35">
      <c r="A2591" s="81" t="s">
        <v>7632</v>
      </c>
      <c r="C2591" s="118">
        <v>43969</v>
      </c>
      <c r="D2591" s="318">
        <v>44007</v>
      </c>
      <c r="E2591" s="83">
        <v>43998</v>
      </c>
      <c r="F2591" s="88" t="s">
        <v>7721</v>
      </c>
      <c r="G2591" s="88" t="s">
        <v>179</v>
      </c>
      <c r="H2591" s="98" t="s">
        <v>220</v>
      </c>
      <c r="I2591" s="98" t="s">
        <v>722</v>
      </c>
      <c r="J2591" s="75">
        <f t="shared" si="282"/>
        <v>0.3</v>
      </c>
      <c r="K2591" s="76" t="s">
        <v>568</v>
      </c>
      <c r="L2591" s="99" t="s">
        <v>7791</v>
      </c>
      <c r="N2591" s="78" t="s">
        <v>18</v>
      </c>
      <c r="Q2591" s="78" t="s">
        <v>2447</v>
      </c>
      <c r="R2591" s="75">
        <f t="shared" si="283"/>
        <v>1</v>
      </c>
      <c r="S2591" s="263" t="s">
        <v>1991</v>
      </c>
      <c r="T2591" s="263" t="s">
        <v>933</v>
      </c>
      <c r="Y2591" s="576">
        <v>0.61381944444444447</v>
      </c>
      <c r="Z2591" s="576">
        <v>0.62041666666666673</v>
      </c>
      <c r="AA2591" s="576">
        <f t="shared" si="281"/>
        <v>6.5972222222222543E-3</v>
      </c>
    </row>
    <row r="2592" spans="1:27" x14ac:dyDescent="0.35">
      <c r="A2592" s="81" t="s">
        <v>7634</v>
      </c>
      <c r="C2592" s="118">
        <v>43969</v>
      </c>
      <c r="D2592" s="318">
        <v>44007</v>
      </c>
      <c r="E2592" s="83">
        <v>44000</v>
      </c>
      <c r="F2592" s="88" t="s">
        <v>7723</v>
      </c>
      <c r="G2592" s="88" t="s">
        <v>154</v>
      </c>
      <c r="H2592" s="98" t="s">
        <v>220</v>
      </c>
      <c r="I2592" s="98" t="s">
        <v>649</v>
      </c>
      <c r="J2592" s="75">
        <f t="shared" si="282"/>
        <v>0.3</v>
      </c>
      <c r="K2592" s="76" t="s">
        <v>568</v>
      </c>
      <c r="L2592" s="99" t="s">
        <v>7563</v>
      </c>
      <c r="N2592" s="78" t="s">
        <v>18</v>
      </c>
      <c r="Q2592" s="78" t="s">
        <v>2130</v>
      </c>
      <c r="R2592" s="75">
        <f t="shared" si="283"/>
        <v>1</v>
      </c>
      <c r="S2592" s="263" t="s">
        <v>1991</v>
      </c>
      <c r="T2592" s="263" t="s">
        <v>934</v>
      </c>
      <c r="Y2592" s="576">
        <v>0.89167824074074076</v>
      </c>
      <c r="Z2592" s="576">
        <v>0.8966087962962962</v>
      </c>
      <c r="AA2592" s="576">
        <f t="shared" si="281"/>
        <v>4.9305555555554381E-3</v>
      </c>
    </row>
    <row r="2593" spans="1:27" x14ac:dyDescent="0.35">
      <c r="A2593" s="81" t="s">
        <v>7635</v>
      </c>
      <c r="C2593" s="118">
        <v>43970</v>
      </c>
      <c r="D2593" s="318">
        <v>44007</v>
      </c>
      <c r="E2593" s="83">
        <v>43999</v>
      </c>
      <c r="F2593" s="88" t="s">
        <v>7724</v>
      </c>
      <c r="G2593" s="88" t="s">
        <v>162</v>
      </c>
      <c r="H2593" s="98" t="s">
        <v>220</v>
      </c>
      <c r="I2593" s="98" t="s">
        <v>722</v>
      </c>
      <c r="J2593" s="75">
        <f t="shared" si="282"/>
        <v>0.3</v>
      </c>
      <c r="K2593" s="76" t="s">
        <v>568</v>
      </c>
      <c r="L2593" s="99" t="s">
        <v>8377</v>
      </c>
      <c r="N2593" s="78" t="s">
        <v>18</v>
      </c>
      <c r="Q2593" s="78" t="s">
        <v>2056</v>
      </c>
      <c r="R2593" s="75">
        <f t="shared" si="283"/>
        <v>1</v>
      </c>
      <c r="S2593" s="263" t="s">
        <v>1991</v>
      </c>
      <c r="T2593" s="263" t="s">
        <v>934</v>
      </c>
      <c r="Y2593" s="576">
        <v>0.44987268518518514</v>
      </c>
      <c r="Z2593" s="576">
        <v>0.45872685185185186</v>
      </c>
      <c r="AA2593" s="576">
        <f t="shared" si="281"/>
        <v>8.8541666666667185E-3</v>
      </c>
    </row>
    <row r="2594" spans="1:27" x14ac:dyDescent="0.35">
      <c r="A2594" s="81" t="s">
        <v>7637</v>
      </c>
      <c r="C2594" s="118">
        <v>43970</v>
      </c>
      <c r="D2594" s="318">
        <v>44007</v>
      </c>
      <c r="E2594" s="83">
        <v>44000</v>
      </c>
      <c r="F2594" s="88" t="s">
        <v>7726</v>
      </c>
      <c r="G2594" s="88" t="s">
        <v>154</v>
      </c>
      <c r="H2594" s="98" t="s">
        <v>220</v>
      </c>
      <c r="I2594" s="98" t="s">
        <v>722</v>
      </c>
      <c r="J2594" s="75">
        <f t="shared" si="282"/>
        <v>0.3</v>
      </c>
      <c r="K2594" s="76" t="s">
        <v>568</v>
      </c>
      <c r="L2594" s="99" t="s">
        <v>8027</v>
      </c>
      <c r="N2594" s="78" t="s">
        <v>17</v>
      </c>
      <c r="Q2594" s="78" t="s">
        <v>2163</v>
      </c>
      <c r="R2594" s="75">
        <f t="shared" si="283"/>
        <v>1</v>
      </c>
      <c r="S2594" s="263" t="s">
        <v>1991</v>
      </c>
      <c r="T2594" s="263" t="s">
        <v>932</v>
      </c>
      <c r="U2594" s="304" t="s">
        <v>5592</v>
      </c>
      <c r="V2594" s="304" t="s">
        <v>8391</v>
      </c>
      <c r="Y2594" s="576">
        <v>0.7540972222222222</v>
      </c>
      <c r="Z2594" s="576">
        <v>0.76240740740740742</v>
      </c>
      <c r="AA2594" s="576">
        <f t="shared" si="281"/>
        <v>8.310185185185226E-3</v>
      </c>
    </row>
    <row r="2595" spans="1:27" x14ac:dyDescent="0.35">
      <c r="A2595" s="81" t="s">
        <v>7639</v>
      </c>
      <c r="C2595" s="118">
        <v>43970</v>
      </c>
      <c r="D2595" s="318">
        <v>44007</v>
      </c>
      <c r="E2595" s="83">
        <v>43998</v>
      </c>
      <c r="F2595" s="88" t="s">
        <v>7728</v>
      </c>
      <c r="G2595" s="88" t="s">
        <v>186</v>
      </c>
      <c r="H2595" s="98" t="s">
        <v>220</v>
      </c>
      <c r="I2595" s="98" t="s">
        <v>730</v>
      </c>
      <c r="J2595" s="75">
        <f t="shared" si="282"/>
        <v>0.3</v>
      </c>
      <c r="K2595" s="76" t="s">
        <v>568</v>
      </c>
      <c r="L2595" s="99" t="s">
        <v>8372</v>
      </c>
      <c r="N2595" s="78" t="s">
        <v>18</v>
      </c>
      <c r="Q2595" s="78" t="s">
        <v>2056</v>
      </c>
      <c r="R2595" s="75">
        <f t="shared" si="283"/>
        <v>1</v>
      </c>
      <c r="S2595" s="263" t="s">
        <v>1991</v>
      </c>
      <c r="T2595" s="263" t="s">
        <v>933</v>
      </c>
      <c r="Y2595" s="576">
        <v>0.62519675925925922</v>
      </c>
      <c r="Z2595" s="576">
        <v>0.63276620370370373</v>
      </c>
      <c r="AA2595" s="576">
        <f t="shared" si="281"/>
        <v>7.5694444444445175E-3</v>
      </c>
    </row>
    <row r="2596" spans="1:27" x14ac:dyDescent="0.35">
      <c r="A2596" s="81" t="s">
        <v>7642</v>
      </c>
      <c r="C2596" s="118">
        <v>43970</v>
      </c>
      <c r="D2596" s="318">
        <v>44008</v>
      </c>
      <c r="E2596" s="83">
        <v>44000</v>
      </c>
      <c r="F2596" s="88" t="s">
        <v>7731</v>
      </c>
      <c r="G2596" s="88" t="s">
        <v>149</v>
      </c>
      <c r="H2596" s="98" t="s">
        <v>220</v>
      </c>
      <c r="I2596" s="98" t="s">
        <v>611</v>
      </c>
      <c r="J2596" s="75">
        <f t="shared" si="282"/>
        <v>0.3</v>
      </c>
      <c r="K2596" s="76" t="s">
        <v>568</v>
      </c>
      <c r="L2596" s="99" t="s">
        <v>8396</v>
      </c>
      <c r="N2596" s="78" t="s">
        <v>18</v>
      </c>
      <c r="Q2596" s="78" t="s">
        <v>2163</v>
      </c>
      <c r="R2596" s="75">
        <f t="shared" si="283"/>
        <v>1</v>
      </c>
      <c r="S2596" s="263" t="s">
        <v>1991</v>
      </c>
      <c r="T2596" s="263" t="s">
        <v>933</v>
      </c>
      <c r="Y2596" s="576">
        <v>0.79829861111111111</v>
      </c>
      <c r="Z2596" s="576">
        <v>0.80417824074074085</v>
      </c>
      <c r="AA2596" s="576">
        <f t="shared" si="281"/>
        <v>5.8796296296297346E-3</v>
      </c>
    </row>
    <row r="2597" spans="1:27" x14ac:dyDescent="0.35">
      <c r="A2597" s="81" t="s">
        <v>7643</v>
      </c>
      <c r="C2597" s="118">
        <v>43970</v>
      </c>
      <c r="D2597" s="318">
        <v>44007</v>
      </c>
      <c r="E2597" s="83">
        <v>43999</v>
      </c>
      <c r="F2597" s="88" t="s">
        <v>7732</v>
      </c>
      <c r="G2597" s="88" t="s">
        <v>158</v>
      </c>
      <c r="H2597" s="98" t="s">
        <v>220</v>
      </c>
      <c r="I2597" s="98" t="s">
        <v>649</v>
      </c>
      <c r="J2597" s="75">
        <f t="shared" si="282"/>
        <v>0.3</v>
      </c>
      <c r="K2597" s="76" t="s">
        <v>568</v>
      </c>
      <c r="L2597" s="99" t="s">
        <v>7563</v>
      </c>
      <c r="N2597" s="78" t="s">
        <v>18</v>
      </c>
      <c r="Q2597" s="78" t="s">
        <v>2097</v>
      </c>
      <c r="R2597" s="75">
        <f t="shared" si="283"/>
        <v>1</v>
      </c>
      <c r="S2597" s="263" t="s">
        <v>1991</v>
      </c>
      <c r="T2597" s="263" t="s">
        <v>934</v>
      </c>
      <c r="Y2597" s="576">
        <v>0.52700231481481474</v>
      </c>
      <c r="Z2597" s="576">
        <v>0.53478009259259263</v>
      </c>
      <c r="AA2597" s="576">
        <f t="shared" si="281"/>
        <v>7.7777777777778834E-3</v>
      </c>
    </row>
    <row r="2598" spans="1:27" x14ac:dyDescent="0.35">
      <c r="A2598" s="81" t="s">
        <v>7645</v>
      </c>
      <c r="C2598" s="118">
        <v>43970</v>
      </c>
      <c r="D2598" s="318">
        <v>44007</v>
      </c>
      <c r="E2598" s="83">
        <v>43999</v>
      </c>
      <c r="F2598" s="88" t="s">
        <v>7734</v>
      </c>
      <c r="G2598" s="88" t="s">
        <v>162</v>
      </c>
      <c r="H2598" s="98" t="s">
        <v>220</v>
      </c>
      <c r="I2598" s="98" t="s">
        <v>649</v>
      </c>
      <c r="J2598" s="75">
        <f t="shared" si="282"/>
        <v>0.3</v>
      </c>
      <c r="K2598" s="76" t="s">
        <v>568</v>
      </c>
      <c r="L2598" s="99" t="s">
        <v>7521</v>
      </c>
      <c r="N2598" s="78" t="s">
        <v>18</v>
      </c>
      <c r="Q2598" s="78" t="s">
        <v>2447</v>
      </c>
      <c r="R2598" s="75">
        <f t="shared" si="283"/>
        <v>1</v>
      </c>
      <c r="S2598" s="263" t="s">
        <v>1991</v>
      </c>
      <c r="T2598" s="263" t="s">
        <v>933</v>
      </c>
      <c r="Y2598" s="576">
        <v>0.62351851851851847</v>
      </c>
      <c r="Z2598" s="576">
        <v>0.62804398148148144</v>
      </c>
      <c r="AA2598" s="576">
        <f t="shared" si="281"/>
        <v>4.5254629629629672E-3</v>
      </c>
    </row>
    <row r="2599" spans="1:27" x14ac:dyDescent="0.35">
      <c r="A2599" s="81" t="s">
        <v>7646</v>
      </c>
      <c r="C2599" s="118">
        <v>43970</v>
      </c>
      <c r="D2599" s="318">
        <v>44008</v>
      </c>
      <c r="E2599" s="83">
        <v>44000</v>
      </c>
      <c r="F2599" s="88" t="s">
        <v>7735</v>
      </c>
      <c r="G2599" s="88" t="s">
        <v>149</v>
      </c>
      <c r="H2599" s="98" t="s">
        <v>220</v>
      </c>
      <c r="I2599" s="98" t="s">
        <v>611</v>
      </c>
      <c r="J2599" s="75">
        <f t="shared" si="282"/>
        <v>0.3</v>
      </c>
      <c r="K2599" s="76" t="s">
        <v>568</v>
      </c>
      <c r="L2599" s="99" t="s">
        <v>8397</v>
      </c>
      <c r="N2599" s="78" t="s">
        <v>18</v>
      </c>
      <c r="Q2599" s="78" t="s">
        <v>2163</v>
      </c>
      <c r="R2599" s="75">
        <f t="shared" si="283"/>
        <v>1</v>
      </c>
      <c r="S2599" s="263" t="s">
        <v>1991</v>
      </c>
      <c r="T2599" s="263" t="s">
        <v>934</v>
      </c>
      <c r="U2599" s="304" t="s">
        <v>5592</v>
      </c>
      <c r="V2599" s="304" t="s">
        <v>8398</v>
      </c>
      <c r="Y2599" s="576">
        <v>0.80436342592592591</v>
      </c>
      <c r="Z2599" s="576">
        <v>0.81306712962962957</v>
      </c>
      <c r="AA2599" s="576">
        <f t="shared" si="281"/>
        <v>8.703703703703658E-3</v>
      </c>
    </row>
    <row r="2600" spans="1:27" x14ac:dyDescent="0.35">
      <c r="A2600" s="81" t="s">
        <v>7648</v>
      </c>
      <c r="C2600" s="118">
        <v>43970</v>
      </c>
      <c r="D2600" s="318">
        <v>44008</v>
      </c>
      <c r="E2600" s="83">
        <v>43999</v>
      </c>
      <c r="F2600" s="88" t="s">
        <v>7737</v>
      </c>
      <c r="G2600" s="88" t="s">
        <v>152</v>
      </c>
      <c r="H2600" s="98" t="s">
        <v>220</v>
      </c>
      <c r="I2600" s="98" t="s">
        <v>649</v>
      </c>
      <c r="J2600" s="75">
        <f t="shared" si="282"/>
        <v>0.3</v>
      </c>
      <c r="K2600" s="76" t="s">
        <v>568</v>
      </c>
      <c r="L2600" s="99" t="s">
        <v>7565</v>
      </c>
      <c r="N2600" s="78" t="s">
        <v>18</v>
      </c>
      <c r="Q2600" s="78" t="s">
        <v>2447</v>
      </c>
      <c r="R2600" s="75">
        <f t="shared" si="283"/>
        <v>1</v>
      </c>
      <c r="S2600" s="263" t="s">
        <v>1991</v>
      </c>
      <c r="T2600" s="263" t="s">
        <v>932</v>
      </c>
      <c r="Y2600" s="576">
        <v>0.63641203703703708</v>
      </c>
      <c r="Z2600" s="576">
        <v>0.64074074074074072</v>
      </c>
      <c r="AA2600" s="576">
        <f t="shared" si="281"/>
        <v>4.3287037037036402E-3</v>
      </c>
    </row>
    <row r="2601" spans="1:27" x14ac:dyDescent="0.35">
      <c r="A2601" s="81" t="s">
        <v>7649</v>
      </c>
      <c r="C2601" s="118">
        <v>43970</v>
      </c>
      <c r="D2601" s="318">
        <v>44008</v>
      </c>
      <c r="E2601" s="83">
        <v>44000</v>
      </c>
      <c r="F2601" s="88" t="s">
        <v>7738</v>
      </c>
      <c r="G2601" s="88" t="s">
        <v>149</v>
      </c>
      <c r="H2601" s="98" t="s">
        <v>220</v>
      </c>
      <c r="I2601" s="98" t="s">
        <v>649</v>
      </c>
      <c r="J2601" s="75">
        <f t="shared" si="282"/>
        <v>0.3</v>
      </c>
      <c r="K2601" s="76" t="s">
        <v>568</v>
      </c>
      <c r="L2601" s="99" t="s">
        <v>7565</v>
      </c>
      <c r="N2601" s="78" t="s">
        <v>18</v>
      </c>
      <c r="Q2601" s="78" t="s">
        <v>2097</v>
      </c>
      <c r="R2601" s="75">
        <f t="shared" si="283"/>
        <v>1</v>
      </c>
      <c r="S2601" s="263" t="s">
        <v>1991</v>
      </c>
      <c r="T2601" s="263" t="s">
        <v>932</v>
      </c>
      <c r="Y2601" s="576">
        <v>0.91001157407407407</v>
      </c>
      <c r="Z2601" s="576">
        <v>0.91519675925925925</v>
      </c>
      <c r="AA2601" s="576">
        <f t="shared" si="281"/>
        <v>5.1851851851851816E-3</v>
      </c>
    </row>
    <row r="2602" spans="1:27" x14ac:dyDescent="0.35">
      <c r="A2602" s="81" t="s">
        <v>7650</v>
      </c>
      <c r="C2602" s="118">
        <v>43971</v>
      </c>
      <c r="D2602" s="318">
        <v>44008</v>
      </c>
      <c r="E2602" s="83">
        <v>44000</v>
      </c>
      <c r="F2602" s="88" t="s">
        <v>7739</v>
      </c>
      <c r="G2602" s="88" t="s">
        <v>417</v>
      </c>
      <c r="H2602" s="98" t="s">
        <v>220</v>
      </c>
      <c r="I2602" s="98" t="s">
        <v>722</v>
      </c>
      <c r="J2602" s="75">
        <f t="shared" si="282"/>
        <v>0.3</v>
      </c>
      <c r="K2602" s="76" t="s">
        <v>568</v>
      </c>
      <c r="L2602" s="99" t="s">
        <v>7526</v>
      </c>
      <c r="N2602" s="78" t="s">
        <v>17</v>
      </c>
      <c r="Q2602" s="78" t="s">
        <v>2056</v>
      </c>
      <c r="R2602" s="75">
        <f t="shared" si="283"/>
        <v>1</v>
      </c>
      <c r="S2602" s="263" t="s">
        <v>1991</v>
      </c>
      <c r="T2602" s="263" t="s">
        <v>933</v>
      </c>
      <c r="Y2602" s="576">
        <v>0.7023032407407408</v>
      </c>
      <c r="Z2602" s="576">
        <v>0.70811342592592597</v>
      </c>
      <c r="AA2602" s="576">
        <f t="shared" si="281"/>
        <v>5.8101851851851682E-3</v>
      </c>
    </row>
    <row r="2603" spans="1:27" x14ac:dyDescent="0.35">
      <c r="A2603" s="81" t="s">
        <v>7651</v>
      </c>
      <c r="C2603" s="118">
        <v>43971</v>
      </c>
      <c r="D2603" s="318">
        <v>44008</v>
      </c>
      <c r="E2603" s="83">
        <v>44000</v>
      </c>
      <c r="F2603" s="88" t="s">
        <v>7740</v>
      </c>
      <c r="G2603" s="88" t="s">
        <v>6928</v>
      </c>
      <c r="H2603" s="98" t="s">
        <v>220</v>
      </c>
      <c r="I2603" s="98" t="s">
        <v>730</v>
      </c>
      <c r="J2603" s="75">
        <f t="shared" si="282"/>
        <v>0.3</v>
      </c>
      <c r="K2603" s="76" t="s">
        <v>568</v>
      </c>
      <c r="L2603" s="99" t="s">
        <v>7813</v>
      </c>
      <c r="N2603" s="78" t="s">
        <v>17</v>
      </c>
      <c r="Q2603" s="78" t="s">
        <v>2056</v>
      </c>
      <c r="R2603" s="75">
        <f t="shared" si="283"/>
        <v>1</v>
      </c>
      <c r="S2603" s="263" t="s">
        <v>1991</v>
      </c>
      <c r="T2603" s="263" t="s">
        <v>934</v>
      </c>
      <c r="Y2603" s="576">
        <v>0.69708333333333339</v>
      </c>
      <c r="Z2603" s="576">
        <v>0.70199074074074075</v>
      </c>
      <c r="AA2603" s="576">
        <f t="shared" si="281"/>
        <v>4.9074074074073604E-3</v>
      </c>
    </row>
    <row r="2604" spans="1:27" x14ac:dyDescent="0.35">
      <c r="A2604" s="81" t="s">
        <v>8256</v>
      </c>
      <c r="C2604" s="118">
        <v>43971</v>
      </c>
      <c r="D2604" s="318">
        <v>44008</v>
      </c>
      <c r="E2604" s="83">
        <v>44000</v>
      </c>
      <c r="F2604" s="88" t="s">
        <v>8313</v>
      </c>
      <c r="G2604" s="88" t="s">
        <v>179</v>
      </c>
      <c r="H2604" s="98" t="s">
        <v>220</v>
      </c>
      <c r="I2604" s="98" t="s">
        <v>730</v>
      </c>
      <c r="J2604" s="75">
        <f t="shared" si="282"/>
        <v>0.3</v>
      </c>
      <c r="K2604" s="76" t="s">
        <v>568</v>
      </c>
      <c r="L2604" s="99" t="s">
        <v>8404</v>
      </c>
      <c r="N2604" s="78" t="s">
        <v>17</v>
      </c>
      <c r="Q2604" s="78" t="s">
        <v>2097</v>
      </c>
      <c r="R2604" s="75">
        <f t="shared" si="283"/>
        <v>1</v>
      </c>
      <c r="S2604" s="263" t="s">
        <v>1991</v>
      </c>
      <c r="T2604" s="263" t="s">
        <v>933</v>
      </c>
      <c r="U2604" s="304" t="s">
        <v>5592</v>
      </c>
      <c r="V2604" s="304" t="s">
        <v>8405</v>
      </c>
      <c r="Y2604" s="576">
        <v>0.91550925925925919</v>
      </c>
      <c r="Z2604" s="576">
        <v>0.92311342592592593</v>
      </c>
      <c r="AA2604" s="576">
        <f t="shared" si="281"/>
        <v>7.6041666666667451E-3</v>
      </c>
    </row>
    <row r="2605" spans="1:27" x14ac:dyDescent="0.35">
      <c r="A2605" s="81" t="s">
        <v>7655</v>
      </c>
      <c r="C2605" s="118">
        <v>43971</v>
      </c>
      <c r="D2605" s="318">
        <v>44011</v>
      </c>
      <c r="E2605" s="83">
        <v>44000</v>
      </c>
      <c r="F2605" s="88" t="s">
        <v>7744</v>
      </c>
      <c r="G2605" s="88" t="s">
        <v>177</v>
      </c>
      <c r="H2605" s="98" t="s">
        <v>220</v>
      </c>
      <c r="I2605" s="98" t="s">
        <v>722</v>
      </c>
      <c r="J2605" s="75">
        <f t="shared" si="282"/>
        <v>0.3</v>
      </c>
      <c r="K2605" s="76" t="s">
        <v>568</v>
      </c>
      <c r="L2605" s="99" t="s">
        <v>7791</v>
      </c>
      <c r="N2605" s="78" t="s">
        <v>18</v>
      </c>
      <c r="Q2605" s="78" t="s">
        <v>2447</v>
      </c>
      <c r="R2605" s="75">
        <f t="shared" si="283"/>
        <v>1</v>
      </c>
      <c r="S2605" s="263" t="s">
        <v>1991</v>
      </c>
      <c r="T2605" s="263" t="s">
        <v>934</v>
      </c>
      <c r="Y2605" s="576">
        <v>0.4982638888888889</v>
      </c>
      <c r="Z2605" s="576">
        <v>0.50565972222222222</v>
      </c>
      <c r="AA2605" s="576">
        <f t="shared" si="281"/>
        <v>7.3958333333333237E-3</v>
      </c>
    </row>
    <row r="2606" spans="1:27" x14ac:dyDescent="0.35">
      <c r="A2606" s="81" t="s">
        <v>7656</v>
      </c>
      <c r="C2606" s="118">
        <v>43971</v>
      </c>
      <c r="D2606" s="318">
        <v>44011</v>
      </c>
      <c r="E2606" s="83">
        <v>43999</v>
      </c>
      <c r="F2606" s="88" t="s">
        <v>7745</v>
      </c>
      <c r="G2606" s="88" t="s">
        <v>154</v>
      </c>
      <c r="H2606" s="98" t="s">
        <v>220</v>
      </c>
      <c r="I2606" s="98" t="s">
        <v>730</v>
      </c>
      <c r="J2606" s="75">
        <f t="shared" si="282"/>
        <v>0.3</v>
      </c>
      <c r="K2606" s="76" t="s">
        <v>568</v>
      </c>
      <c r="L2606" s="99" t="s">
        <v>7777</v>
      </c>
      <c r="N2606" s="78" t="s">
        <v>17</v>
      </c>
      <c r="Q2606" s="78" t="s">
        <v>2447</v>
      </c>
      <c r="R2606" s="75">
        <f t="shared" si="283"/>
        <v>1</v>
      </c>
      <c r="S2606" s="263" t="s">
        <v>1991</v>
      </c>
      <c r="T2606" s="263" t="s">
        <v>932</v>
      </c>
      <c r="Y2606" s="576">
        <v>0.64118055555555553</v>
      </c>
      <c r="Z2606" s="576">
        <v>0.64884259259259258</v>
      </c>
      <c r="AA2606" s="576">
        <f t="shared" si="281"/>
        <v>7.6620370370370505E-3</v>
      </c>
    </row>
    <row r="2607" spans="1:27" x14ac:dyDescent="0.35">
      <c r="A2607" s="81" t="s">
        <v>7657</v>
      </c>
      <c r="C2607" s="118">
        <v>43972</v>
      </c>
      <c r="D2607" s="318">
        <v>44011</v>
      </c>
      <c r="E2607" s="83">
        <v>44001</v>
      </c>
      <c r="F2607" s="88" t="s">
        <v>7746</v>
      </c>
      <c r="G2607" s="88" t="s">
        <v>160</v>
      </c>
      <c r="H2607" s="98" t="s">
        <v>220</v>
      </c>
      <c r="I2607" s="98" t="s">
        <v>763</v>
      </c>
      <c r="J2607" s="75">
        <f t="shared" si="282"/>
        <v>0.3</v>
      </c>
      <c r="K2607" s="76" t="s">
        <v>568</v>
      </c>
      <c r="L2607" s="99" t="s">
        <v>8410</v>
      </c>
      <c r="N2607" s="78" t="s">
        <v>18</v>
      </c>
      <c r="Q2607" s="78" t="s">
        <v>2056</v>
      </c>
      <c r="R2607" s="75">
        <f t="shared" si="283"/>
        <v>1</v>
      </c>
      <c r="S2607" s="263" t="s">
        <v>1991</v>
      </c>
      <c r="T2607" s="263" t="s">
        <v>934</v>
      </c>
      <c r="U2607" s="304" t="s">
        <v>5592</v>
      </c>
      <c r="V2607" s="304" t="s">
        <v>8411</v>
      </c>
      <c r="Y2607" s="576">
        <v>0.53383101851851855</v>
      </c>
      <c r="Z2607" s="576">
        <v>0.53991898148148143</v>
      </c>
      <c r="AA2607" s="576">
        <f t="shared" si="281"/>
        <v>6.0879629629628784E-3</v>
      </c>
    </row>
    <row r="2608" spans="1:27" x14ac:dyDescent="0.35">
      <c r="A2608" s="81" t="s">
        <v>7659</v>
      </c>
      <c r="C2608" s="118">
        <v>43972</v>
      </c>
      <c r="D2608" s="318">
        <v>44011</v>
      </c>
      <c r="E2608" s="83">
        <v>44000</v>
      </c>
      <c r="F2608" s="88" t="s">
        <v>7748</v>
      </c>
      <c r="G2608" s="88" t="s">
        <v>741</v>
      </c>
      <c r="H2608" s="98" t="s">
        <v>220</v>
      </c>
      <c r="I2608" s="98" t="s">
        <v>722</v>
      </c>
      <c r="J2608" s="75">
        <f t="shared" si="282"/>
        <v>0.3</v>
      </c>
      <c r="K2608" s="76" t="s">
        <v>568</v>
      </c>
      <c r="L2608" s="99" t="s">
        <v>7527</v>
      </c>
      <c r="N2608" s="78" t="s">
        <v>18</v>
      </c>
      <c r="Q2608" s="78" t="s">
        <v>2056</v>
      </c>
      <c r="R2608" s="75">
        <f t="shared" si="283"/>
        <v>1</v>
      </c>
      <c r="S2608" s="263" t="s">
        <v>1991</v>
      </c>
      <c r="T2608" s="263" t="s">
        <v>932</v>
      </c>
      <c r="Y2608" s="576">
        <v>0.72706018518518523</v>
      </c>
      <c r="Z2608" s="576">
        <v>0.73170138888888892</v>
      </c>
      <c r="AA2608" s="576">
        <f t="shared" ref="AA2608:AA2619" si="284">Z2608-Y2608</f>
        <v>4.6412037037036891E-3</v>
      </c>
    </row>
    <row r="2609" spans="1:27" x14ac:dyDescent="0.35">
      <c r="A2609" s="81" t="s">
        <v>7661</v>
      </c>
      <c r="C2609" s="118">
        <v>43972</v>
      </c>
      <c r="D2609" s="318">
        <v>44011</v>
      </c>
      <c r="E2609" s="83">
        <v>44001</v>
      </c>
      <c r="F2609" s="88" t="s">
        <v>7750</v>
      </c>
      <c r="G2609" s="88" t="s">
        <v>158</v>
      </c>
      <c r="H2609" s="98" t="s">
        <v>220</v>
      </c>
      <c r="I2609" s="98" t="s">
        <v>722</v>
      </c>
      <c r="J2609" s="75">
        <f t="shared" si="282"/>
        <v>0.3</v>
      </c>
      <c r="K2609" s="76" t="s">
        <v>568</v>
      </c>
      <c r="L2609" s="99" t="s">
        <v>7527</v>
      </c>
      <c r="N2609" s="78" t="s">
        <v>18</v>
      </c>
      <c r="Q2609" s="78" t="s">
        <v>2097</v>
      </c>
      <c r="R2609" s="75">
        <f t="shared" si="283"/>
        <v>1</v>
      </c>
      <c r="S2609" s="263" t="s">
        <v>1991</v>
      </c>
      <c r="T2609" s="263" t="s">
        <v>933</v>
      </c>
      <c r="Y2609" s="576">
        <v>0.6645833333333333</v>
      </c>
      <c r="Z2609" s="576">
        <v>0.67100694444444453</v>
      </c>
      <c r="AA2609" s="576">
        <f t="shared" si="284"/>
        <v>6.4236111111112271E-3</v>
      </c>
    </row>
    <row r="2610" spans="1:27" x14ac:dyDescent="0.35">
      <c r="A2610" s="81" t="s">
        <v>7664</v>
      </c>
      <c r="C2610" s="118">
        <v>43972</v>
      </c>
      <c r="D2610" s="318">
        <v>44011</v>
      </c>
      <c r="E2610" s="83">
        <v>44004</v>
      </c>
      <c r="F2610" s="88" t="s">
        <v>7753</v>
      </c>
      <c r="G2610" s="88" t="s">
        <v>162</v>
      </c>
      <c r="H2610" s="98" t="s">
        <v>220</v>
      </c>
      <c r="I2610" s="98" t="s">
        <v>611</v>
      </c>
      <c r="J2610" s="75">
        <f t="shared" si="282"/>
        <v>0.3</v>
      </c>
      <c r="K2610" s="76" t="s">
        <v>568</v>
      </c>
      <c r="L2610" s="99" t="s">
        <v>8417</v>
      </c>
      <c r="N2610" s="78" t="s">
        <v>17</v>
      </c>
      <c r="Q2610" s="78" t="s">
        <v>2130</v>
      </c>
      <c r="R2610" s="75">
        <f t="shared" si="283"/>
        <v>1</v>
      </c>
      <c r="S2610" s="263" t="s">
        <v>1991</v>
      </c>
      <c r="T2610" s="263" t="s">
        <v>934</v>
      </c>
      <c r="U2610" s="304" t="s">
        <v>5592</v>
      </c>
      <c r="V2610" s="304" t="s">
        <v>8418</v>
      </c>
      <c r="Y2610" s="576">
        <v>0.39333333333333331</v>
      </c>
      <c r="Z2610" s="576">
        <v>0.40469907407407407</v>
      </c>
      <c r="AA2610" s="576">
        <f t="shared" si="284"/>
        <v>1.136574074074076E-2</v>
      </c>
    </row>
    <row r="2611" spans="1:27" x14ac:dyDescent="0.35">
      <c r="A2611" s="81" t="s">
        <v>7858</v>
      </c>
      <c r="C2611" s="118">
        <v>43973</v>
      </c>
      <c r="D2611" s="318">
        <v>44012</v>
      </c>
      <c r="E2611" s="83">
        <v>44004</v>
      </c>
      <c r="F2611" s="88" t="s">
        <v>7939</v>
      </c>
      <c r="G2611" s="88" t="s">
        <v>158</v>
      </c>
      <c r="H2611" s="98" t="s">
        <v>220</v>
      </c>
      <c r="I2611" s="98" t="s">
        <v>649</v>
      </c>
      <c r="J2611" s="75">
        <f t="shared" si="282"/>
        <v>0.3</v>
      </c>
      <c r="K2611" s="76" t="s">
        <v>568</v>
      </c>
      <c r="L2611" s="99" t="s">
        <v>7521</v>
      </c>
      <c r="N2611" s="78" t="s">
        <v>18</v>
      </c>
      <c r="Q2611" s="78" t="s">
        <v>2447</v>
      </c>
      <c r="R2611" s="75">
        <f t="shared" si="283"/>
        <v>1</v>
      </c>
      <c r="S2611" s="263" t="s">
        <v>1991</v>
      </c>
      <c r="T2611" s="263" t="s">
        <v>932</v>
      </c>
      <c r="Y2611" s="576">
        <v>0.6175694444444445</v>
      </c>
      <c r="Z2611" s="576">
        <v>0.63222222222222224</v>
      </c>
      <c r="AA2611" s="576">
        <f t="shared" si="284"/>
        <v>1.4652777777777737E-2</v>
      </c>
    </row>
    <row r="2612" spans="1:27" x14ac:dyDescent="0.35">
      <c r="A2612" s="81" t="s">
        <v>7859</v>
      </c>
      <c r="C2612" s="118">
        <v>43973</v>
      </c>
      <c r="D2612" s="118">
        <v>44014</v>
      </c>
      <c r="F2612" s="88" t="s">
        <v>7940</v>
      </c>
      <c r="G2612" s="88" t="s">
        <v>172</v>
      </c>
      <c r="H2612" s="98" t="s">
        <v>220</v>
      </c>
      <c r="J2612" s="75">
        <f t="shared" si="282"/>
        <v>0</v>
      </c>
      <c r="K2612" s="76"/>
      <c r="Q2612" s="78" t="s">
        <v>2097</v>
      </c>
      <c r="R2612" s="75">
        <f t="shared" si="283"/>
        <v>0.3</v>
      </c>
      <c r="S2612" s="263" t="s">
        <v>1988</v>
      </c>
      <c r="T2612" s="263"/>
      <c r="AA2612" s="576">
        <f t="shared" si="284"/>
        <v>0</v>
      </c>
    </row>
    <row r="2613" spans="1:27" x14ac:dyDescent="0.35">
      <c r="A2613" s="81" t="s">
        <v>7863</v>
      </c>
      <c r="C2613" s="118">
        <v>43973</v>
      </c>
      <c r="D2613" s="118">
        <v>44014</v>
      </c>
      <c r="F2613" s="88" t="s">
        <v>7944</v>
      </c>
      <c r="G2613" s="88" t="s">
        <v>154</v>
      </c>
      <c r="H2613" s="98" t="s">
        <v>220</v>
      </c>
      <c r="J2613" s="75">
        <f t="shared" si="282"/>
        <v>0</v>
      </c>
      <c r="K2613" s="76"/>
      <c r="Q2613" s="78" t="s">
        <v>2097</v>
      </c>
      <c r="R2613" s="75">
        <f t="shared" si="283"/>
        <v>0.3</v>
      </c>
      <c r="S2613" s="263" t="s">
        <v>1988</v>
      </c>
      <c r="T2613" s="263"/>
      <c r="AA2613" s="576">
        <f t="shared" si="284"/>
        <v>0</v>
      </c>
    </row>
    <row r="2614" spans="1:27" x14ac:dyDescent="0.35">
      <c r="A2614" s="81" t="s">
        <v>7866</v>
      </c>
      <c r="C2614" s="118">
        <v>43973</v>
      </c>
      <c r="D2614" s="118">
        <v>44014</v>
      </c>
      <c r="F2614" s="88" t="s">
        <v>7947</v>
      </c>
      <c r="G2614" s="88" t="s">
        <v>162</v>
      </c>
      <c r="H2614" s="98" t="s">
        <v>220</v>
      </c>
      <c r="J2614" s="75">
        <f t="shared" si="282"/>
        <v>0</v>
      </c>
      <c r="K2614" s="76"/>
      <c r="Q2614" s="78" t="s">
        <v>2097</v>
      </c>
      <c r="R2614" s="75">
        <f t="shared" si="283"/>
        <v>0.3</v>
      </c>
      <c r="S2614" s="263" t="s">
        <v>1988</v>
      </c>
      <c r="T2614" s="263"/>
      <c r="AA2614" s="576">
        <f t="shared" si="284"/>
        <v>0</v>
      </c>
    </row>
    <row r="2615" spans="1:27" x14ac:dyDescent="0.35">
      <c r="A2615" s="81" t="s">
        <v>7878</v>
      </c>
      <c r="C2615" s="118">
        <v>43976</v>
      </c>
      <c r="D2615" s="118">
        <v>44015</v>
      </c>
      <c r="F2615" s="88" t="s">
        <v>7959</v>
      </c>
      <c r="G2615" s="88" t="s">
        <v>154</v>
      </c>
      <c r="H2615" s="98" t="s">
        <v>220</v>
      </c>
      <c r="J2615" s="75">
        <f t="shared" ref="J2615:J2626" si="285">IF(OR(K2615="Документы готовы",K2615="Запрос в ФО",K2615="ЭЗ",K2615="РЕШ",K2615="РЕШ шаблон"),0.1,IF(OR(K2615="ЭЗ согласование",K2615="РЕШ согласование"),0.3,IF(OR(K2615="ЭЗ согласовано",K2615="РЕШ согласовано",K2615="РЕШ подписано"),0.6,IF(OR(K2615="ЭЗ ПР согласование",K2615="РЕШ УВ согласование"),0.9,IF(OR(K2615="ЭЗ ПР DONE",K2615="РЕШ УВ DONE"),1,0)))))</f>
        <v>0</v>
      </c>
      <c r="K2615" s="76"/>
      <c r="Q2615" s="78" t="s">
        <v>2130</v>
      </c>
      <c r="R2615" s="75">
        <f t="shared" ref="R2615:R2626" si="286">IF(S2615="В работе",0.3,IF(S2615="Отписано",0.6,IF(S2615="На доработку",0.9,IF(S2615="Согласовано",1,0))))</f>
        <v>0.3</v>
      </c>
      <c r="S2615" s="263" t="s">
        <v>1988</v>
      </c>
      <c r="T2615" s="263"/>
      <c r="AA2615" s="576">
        <f t="shared" si="284"/>
        <v>0</v>
      </c>
    </row>
    <row r="2616" spans="1:27" x14ac:dyDescent="0.35">
      <c r="A2616" s="81" t="s">
        <v>7880</v>
      </c>
      <c r="C2616" s="118">
        <v>43976</v>
      </c>
      <c r="D2616" s="118">
        <v>44015</v>
      </c>
      <c r="F2616" s="88" t="s">
        <v>7961</v>
      </c>
      <c r="G2616" s="88" t="s">
        <v>1692</v>
      </c>
      <c r="H2616" s="98" t="s">
        <v>220</v>
      </c>
      <c r="J2616" s="75">
        <f t="shared" si="285"/>
        <v>0</v>
      </c>
      <c r="K2616" s="76"/>
      <c r="Q2616" s="78" t="s">
        <v>2130</v>
      </c>
      <c r="R2616" s="75">
        <f t="shared" si="286"/>
        <v>0.3</v>
      </c>
      <c r="S2616" s="263" t="s">
        <v>1988</v>
      </c>
      <c r="T2616" s="263"/>
      <c r="AA2616" s="576">
        <f t="shared" si="284"/>
        <v>0</v>
      </c>
    </row>
    <row r="2617" spans="1:27" x14ac:dyDescent="0.35">
      <c r="A2617" s="81" t="s">
        <v>7891</v>
      </c>
      <c r="C2617" s="118">
        <v>43977</v>
      </c>
      <c r="D2617" s="118">
        <v>44015</v>
      </c>
      <c r="F2617" s="88" t="s">
        <v>7972</v>
      </c>
      <c r="G2617" s="88" t="s">
        <v>1390</v>
      </c>
      <c r="H2617" s="98" t="s">
        <v>220</v>
      </c>
      <c r="J2617" s="75">
        <f t="shared" si="285"/>
        <v>0</v>
      </c>
      <c r="K2617" s="76"/>
      <c r="Q2617" s="78" t="s">
        <v>2097</v>
      </c>
      <c r="R2617" s="75">
        <f t="shared" si="286"/>
        <v>0.3</v>
      </c>
      <c r="S2617" s="263" t="s">
        <v>1988</v>
      </c>
      <c r="T2617" s="263"/>
      <c r="AA2617" s="576">
        <f t="shared" si="284"/>
        <v>0</v>
      </c>
    </row>
    <row r="2618" spans="1:27" x14ac:dyDescent="0.35">
      <c r="A2618" s="81" t="s">
        <v>7902</v>
      </c>
      <c r="C2618" s="118">
        <v>43978</v>
      </c>
      <c r="D2618" s="118">
        <v>44018</v>
      </c>
      <c r="F2618" s="88" t="s">
        <v>7982</v>
      </c>
      <c r="G2618" s="88" t="s">
        <v>158</v>
      </c>
      <c r="H2618" s="98" t="s">
        <v>220</v>
      </c>
      <c r="J2618" s="75">
        <f t="shared" si="285"/>
        <v>0</v>
      </c>
      <c r="K2618" s="76"/>
      <c r="Q2618" s="78" t="s">
        <v>2163</v>
      </c>
      <c r="R2618" s="75">
        <f t="shared" si="286"/>
        <v>0.3</v>
      </c>
      <c r="S2618" s="263" t="s">
        <v>1988</v>
      </c>
      <c r="T2618" s="263"/>
      <c r="AA2618" s="576">
        <f t="shared" si="284"/>
        <v>0</v>
      </c>
    </row>
    <row r="2619" spans="1:27" x14ac:dyDescent="0.35">
      <c r="A2619" s="81" t="s">
        <v>7910</v>
      </c>
      <c r="C2619" s="118">
        <v>43978</v>
      </c>
      <c r="D2619" s="118">
        <v>44018</v>
      </c>
      <c r="F2619" s="88" t="s">
        <v>7990</v>
      </c>
      <c r="G2619" s="88" t="s">
        <v>181</v>
      </c>
      <c r="H2619" s="98" t="s">
        <v>220</v>
      </c>
      <c r="J2619" s="75">
        <f t="shared" si="285"/>
        <v>0</v>
      </c>
      <c r="K2619" s="76"/>
      <c r="Q2619" s="78" t="s">
        <v>2130</v>
      </c>
      <c r="R2619" s="75">
        <f t="shared" si="286"/>
        <v>0.3</v>
      </c>
      <c r="S2619" s="263" t="s">
        <v>1988</v>
      </c>
      <c r="T2619" s="263"/>
      <c r="AA2619" s="576">
        <f t="shared" si="284"/>
        <v>0</v>
      </c>
    </row>
    <row r="2620" spans="1:27" x14ac:dyDescent="0.35">
      <c r="A2620" s="81" t="s">
        <v>7921</v>
      </c>
      <c r="C2620" s="118">
        <v>43979</v>
      </c>
      <c r="D2620" s="318">
        <v>44001</v>
      </c>
      <c r="E2620" s="83">
        <v>44001</v>
      </c>
      <c r="F2620" s="88" t="s">
        <v>8001</v>
      </c>
      <c r="G2620" s="88" t="s">
        <v>160</v>
      </c>
      <c r="H2620" s="98" t="s">
        <v>220</v>
      </c>
      <c r="I2620" s="98" t="s">
        <v>656</v>
      </c>
      <c r="J2620" s="75">
        <f t="shared" si="285"/>
        <v>1</v>
      </c>
      <c r="K2620" s="76" t="s">
        <v>211</v>
      </c>
      <c r="L2620" s="99" t="s">
        <v>8407</v>
      </c>
      <c r="N2620" s="78" t="s">
        <v>17</v>
      </c>
      <c r="Q2620" s="78" t="s">
        <v>2056</v>
      </c>
      <c r="R2620" s="75">
        <f t="shared" si="286"/>
        <v>1</v>
      </c>
      <c r="S2620" s="263" t="s">
        <v>1991</v>
      </c>
      <c r="T2620" s="263" t="s">
        <v>933</v>
      </c>
      <c r="U2620" s="304" t="s">
        <v>5592</v>
      </c>
      <c r="V2620" s="304" t="s">
        <v>8408</v>
      </c>
      <c r="Y2620" s="576">
        <v>0.44314814814814812</v>
      </c>
      <c r="Z2620" s="576">
        <v>0.45678240740740739</v>
      </c>
      <c r="AA2620" s="576">
        <f t="shared" ref="AA2620:AA2639" si="287">Z2620-Y2620</f>
        <v>1.3634259259259263E-2</v>
      </c>
    </row>
    <row r="2621" spans="1:27" x14ac:dyDescent="0.35">
      <c r="A2621" s="81" t="s">
        <v>8144</v>
      </c>
      <c r="C2621" s="118">
        <v>43980</v>
      </c>
      <c r="D2621" s="318">
        <v>44021</v>
      </c>
      <c r="F2621" s="88" t="s">
        <v>8193</v>
      </c>
      <c r="G2621" s="88" t="s">
        <v>152</v>
      </c>
      <c r="H2621" s="98" t="s">
        <v>220</v>
      </c>
      <c r="I2621" s="98" t="s">
        <v>730</v>
      </c>
      <c r="J2621" s="75">
        <f t="shared" si="285"/>
        <v>0</v>
      </c>
      <c r="K2621" s="76"/>
      <c r="Q2621" s="78" t="s">
        <v>2130</v>
      </c>
      <c r="R2621" s="75">
        <f t="shared" si="286"/>
        <v>0.3</v>
      </c>
      <c r="S2621" s="263" t="s">
        <v>1988</v>
      </c>
      <c r="T2621" s="263"/>
      <c r="U2621" s="304" t="s">
        <v>5592</v>
      </c>
      <c r="V2621" s="304" t="s">
        <v>7166</v>
      </c>
      <c r="Y2621" s="576">
        <v>0.52200231481481485</v>
      </c>
      <c r="Z2621" s="576">
        <v>0.52854166666666669</v>
      </c>
      <c r="AA2621" s="576">
        <f t="shared" si="287"/>
        <v>6.5393518518518379E-3</v>
      </c>
    </row>
    <row r="2622" spans="1:27" x14ac:dyDescent="0.35">
      <c r="A2622" s="81" t="s">
        <v>8145</v>
      </c>
      <c r="C2622" s="118">
        <v>43980</v>
      </c>
      <c r="D2622" s="318">
        <v>44005</v>
      </c>
      <c r="E2622" s="83">
        <v>43998</v>
      </c>
      <c r="F2622" s="88" t="s">
        <v>8194</v>
      </c>
      <c r="G2622" s="88" t="s">
        <v>154</v>
      </c>
      <c r="H2622" s="98" t="s">
        <v>220</v>
      </c>
      <c r="I2622" s="98" t="s">
        <v>1293</v>
      </c>
      <c r="J2622" s="75">
        <f t="shared" si="285"/>
        <v>0.3</v>
      </c>
      <c r="K2622" s="76" t="s">
        <v>568</v>
      </c>
      <c r="L2622" s="99" t="s">
        <v>8369</v>
      </c>
      <c r="N2622" s="78" t="s">
        <v>19</v>
      </c>
      <c r="Q2622" s="78" t="s">
        <v>2163</v>
      </c>
      <c r="R2622" s="75">
        <f t="shared" si="286"/>
        <v>1</v>
      </c>
      <c r="S2622" s="263" t="s">
        <v>1991</v>
      </c>
      <c r="T2622" s="263" t="s">
        <v>932</v>
      </c>
      <c r="Y2622" s="576">
        <v>0.48502314814814818</v>
      </c>
      <c r="Z2622" s="576">
        <v>0.48984953703703704</v>
      </c>
      <c r="AA2622" s="576">
        <f t="shared" si="287"/>
        <v>4.8263888888888662E-3</v>
      </c>
    </row>
    <row r="2623" spans="1:27" x14ac:dyDescent="0.35">
      <c r="A2623" s="81" t="s">
        <v>8146</v>
      </c>
      <c r="C2623" s="118">
        <v>43980</v>
      </c>
      <c r="D2623" s="318">
        <v>44005</v>
      </c>
      <c r="E2623" s="83">
        <v>43997</v>
      </c>
      <c r="F2623" s="88" t="s">
        <v>8195</v>
      </c>
      <c r="G2623" s="88" t="s">
        <v>152</v>
      </c>
      <c r="H2623" s="98" t="s">
        <v>220</v>
      </c>
      <c r="I2623" s="98" t="s">
        <v>730</v>
      </c>
      <c r="J2623" s="75">
        <f t="shared" si="285"/>
        <v>0.3</v>
      </c>
      <c r="K2623" s="76" t="s">
        <v>568</v>
      </c>
      <c r="L2623" s="99" t="s">
        <v>8249</v>
      </c>
      <c r="N2623" s="78" t="s">
        <v>18</v>
      </c>
      <c r="Q2623" s="78" t="s">
        <v>2130</v>
      </c>
      <c r="R2623" s="75">
        <f t="shared" si="286"/>
        <v>1</v>
      </c>
      <c r="S2623" s="263" t="s">
        <v>1991</v>
      </c>
      <c r="T2623" s="263" t="s">
        <v>933</v>
      </c>
      <c r="X2623" s="304" t="s">
        <v>8373</v>
      </c>
      <c r="Y2623" s="576">
        <v>0.7810300925925926</v>
      </c>
      <c r="Z2623" s="576">
        <v>0.78753472222222232</v>
      </c>
      <c r="AA2623" s="576">
        <f t="shared" si="287"/>
        <v>6.5046296296297212E-3</v>
      </c>
    </row>
    <row r="2624" spans="1:27" x14ac:dyDescent="0.35">
      <c r="A2624" s="81" t="s">
        <v>8147</v>
      </c>
      <c r="C2624" s="118">
        <v>43980</v>
      </c>
      <c r="D2624" s="318">
        <v>44005</v>
      </c>
      <c r="E2624" s="83">
        <v>43998</v>
      </c>
      <c r="F2624" s="88" t="s">
        <v>8196</v>
      </c>
      <c r="G2624" s="88" t="s">
        <v>162</v>
      </c>
      <c r="H2624" s="98" t="s">
        <v>220</v>
      </c>
      <c r="I2624" s="98" t="s">
        <v>730</v>
      </c>
      <c r="J2624" s="75">
        <f t="shared" si="285"/>
        <v>0.3</v>
      </c>
      <c r="K2624" s="76" t="s">
        <v>568</v>
      </c>
      <c r="L2624" s="99" t="s">
        <v>7777</v>
      </c>
      <c r="N2624" s="78" t="s">
        <v>18</v>
      </c>
      <c r="Q2624" s="78" t="s">
        <v>2056</v>
      </c>
      <c r="R2624" s="75">
        <f t="shared" si="286"/>
        <v>1</v>
      </c>
      <c r="S2624" s="263" t="s">
        <v>1991</v>
      </c>
      <c r="T2624" s="263" t="s">
        <v>934</v>
      </c>
      <c r="Y2624" s="576">
        <v>0.37983796296296296</v>
      </c>
      <c r="Z2624" s="576">
        <v>0.39180555555555552</v>
      </c>
      <c r="AA2624" s="576">
        <f t="shared" si="287"/>
        <v>1.1967592592592557E-2</v>
      </c>
    </row>
    <row r="2625" spans="1:27" x14ac:dyDescent="0.35">
      <c r="A2625" s="81" t="s">
        <v>8149</v>
      </c>
      <c r="C2625" s="118">
        <v>43980</v>
      </c>
      <c r="D2625" s="318">
        <v>44005</v>
      </c>
      <c r="E2625" s="83">
        <v>43998</v>
      </c>
      <c r="F2625" s="88" t="s">
        <v>8198</v>
      </c>
      <c r="G2625" s="88" t="s">
        <v>154</v>
      </c>
      <c r="H2625" s="98" t="s">
        <v>220</v>
      </c>
      <c r="I2625" s="98" t="s">
        <v>656</v>
      </c>
      <c r="J2625" s="75">
        <f t="shared" si="285"/>
        <v>0.3</v>
      </c>
      <c r="K2625" s="76" t="s">
        <v>568</v>
      </c>
      <c r="L2625" s="99" t="s">
        <v>8376</v>
      </c>
      <c r="N2625" s="78" t="s">
        <v>17</v>
      </c>
      <c r="Q2625" s="78" t="s">
        <v>2163</v>
      </c>
      <c r="R2625" s="75">
        <f t="shared" si="286"/>
        <v>1</v>
      </c>
      <c r="S2625" s="263" t="s">
        <v>1991</v>
      </c>
      <c r="T2625" s="263" t="s">
        <v>933</v>
      </c>
      <c r="Y2625" s="576">
        <v>0.91850694444444436</v>
      </c>
      <c r="Z2625" s="576">
        <v>0.93393518518518526</v>
      </c>
      <c r="AA2625" s="576">
        <f t="shared" si="287"/>
        <v>1.5428240740740895E-2</v>
      </c>
    </row>
    <row r="2626" spans="1:27" x14ac:dyDescent="0.35">
      <c r="A2626" s="81" t="s">
        <v>8153</v>
      </c>
      <c r="C2626" s="118">
        <v>43980</v>
      </c>
      <c r="D2626" s="318">
        <v>44005</v>
      </c>
      <c r="E2626" s="83">
        <v>43998</v>
      </c>
      <c r="F2626" s="88" t="s">
        <v>8202</v>
      </c>
      <c r="G2626" s="88" t="s">
        <v>3588</v>
      </c>
      <c r="H2626" s="98" t="s">
        <v>220</v>
      </c>
      <c r="I2626" s="98" t="s">
        <v>656</v>
      </c>
      <c r="J2626" s="75">
        <f t="shared" si="285"/>
        <v>0.3</v>
      </c>
      <c r="K2626" s="76" t="s">
        <v>568</v>
      </c>
      <c r="L2626" s="99" t="s">
        <v>7537</v>
      </c>
      <c r="N2626" s="78" t="s">
        <v>17</v>
      </c>
      <c r="Q2626" s="78" t="s">
        <v>2163</v>
      </c>
      <c r="R2626" s="75">
        <f t="shared" si="286"/>
        <v>1</v>
      </c>
      <c r="S2626" s="263" t="s">
        <v>1991</v>
      </c>
      <c r="T2626" s="263" t="s">
        <v>932</v>
      </c>
      <c r="Y2626" s="576">
        <v>0.88704861111111111</v>
      </c>
      <c r="Z2626" s="576">
        <v>0.8968287037037036</v>
      </c>
      <c r="AA2626" s="576">
        <f t="shared" si="287"/>
        <v>9.7800925925924931E-3</v>
      </c>
    </row>
    <row r="2627" spans="1:27" x14ac:dyDescent="0.35">
      <c r="A2627" s="81" t="s">
        <v>8257</v>
      </c>
      <c r="C2627" s="118">
        <v>43983</v>
      </c>
      <c r="D2627" s="318">
        <v>44007</v>
      </c>
      <c r="E2627" s="83">
        <v>44000</v>
      </c>
      <c r="F2627" s="88" t="s">
        <v>8314</v>
      </c>
      <c r="G2627" s="88" t="s">
        <v>158</v>
      </c>
      <c r="H2627" s="98" t="s">
        <v>220</v>
      </c>
      <c r="I2627" s="98" t="s">
        <v>656</v>
      </c>
      <c r="J2627" s="75">
        <f t="shared" ref="J2627:J2652" si="288">IF(OR(K2627="Документы готовы",K2627="Запрос в ФО",K2627="ЭЗ",K2627="РЕШ",K2627="РЕШ шаблон"),0.1,IF(OR(K2627="ЭЗ согласование",K2627="РЕШ согласование"),0.3,IF(OR(K2627="ЭЗ согласовано",K2627="РЕШ согласовано",K2627="РЕШ подписано"),0.6,IF(OR(K2627="ЭЗ ПР согласование",K2627="РЕШ УВ согласование"),0.9,IF(OR(K2627="ЭЗ ПР DONE",K2627="РЕШ УВ DONE"),1,0)))))</f>
        <v>0.3</v>
      </c>
      <c r="K2627" s="76" t="s">
        <v>568</v>
      </c>
      <c r="L2627" s="99" t="s">
        <v>7520</v>
      </c>
      <c r="N2627" s="78" t="s">
        <v>18</v>
      </c>
      <c r="Q2627" s="78" t="s">
        <v>2130</v>
      </c>
      <c r="R2627" s="75">
        <f t="shared" ref="R2627:R2652" si="289">IF(S2627="В работе",0.3,IF(S2627="Отписано",0.6,IF(S2627="На доработку",0.9,IF(S2627="Согласовано",1,0))))</f>
        <v>1</v>
      </c>
      <c r="S2627" s="263" t="s">
        <v>1991</v>
      </c>
      <c r="T2627" s="263" t="s">
        <v>933</v>
      </c>
      <c r="U2627" s="304" t="s">
        <v>5592</v>
      </c>
      <c r="V2627" s="304" t="s">
        <v>8400</v>
      </c>
      <c r="Y2627" s="576">
        <v>0.86432870370370374</v>
      </c>
      <c r="Z2627" s="576">
        <v>0.87657407407407406</v>
      </c>
      <c r="AA2627" s="576">
        <f t="shared" si="287"/>
        <v>1.2245370370370323E-2</v>
      </c>
    </row>
    <row r="2628" spans="1:27" x14ac:dyDescent="0.35">
      <c r="A2628" s="81" t="s">
        <v>8258</v>
      </c>
      <c r="C2628" s="118">
        <v>43983</v>
      </c>
      <c r="D2628" s="318">
        <v>44007</v>
      </c>
      <c r="E2628" s="83">
        <v>44000</v>
      </c>
      <c r="F2628" s="88" t="s">
        <v>8315</v>
      </c>
      <c r="G2628" s="88" t="s">
        <v>162</v>
      </c>
      <c r="H2628" s="98" t="s">
        <v>220</v>
      </c>
      <c r="I2628" s="98" t="s">
        <v>656</v>
      </c>
      <c r="J2628" s="75">
        <f t="shared" si="288"/>
        <v>0.3</v>
      </c>
      <c r="K2628" s="76" t="s">
        <v>568</v>
      </c>
      <c r="L2628" s="99" t="s">
        <v>7515</v>
      </c>
      <c r="N2628" s="78" t="s">
        <v>17</v>
      </c>
      <c r="Q2628" s="78" t="s">
        <v>2056</v>
      </c>
      <c r="R2628" s="75">
        <f t="shared" si="289"/>
        <v>1</v>
      </c>
      <c r="S2628" s="263" t="s">
        <v>1991</v>
      </c>
      <c r="T2628" s="263" t="s">
        <v>934</v>
      </c>
      <c r="Y2628" s="576">
        <v>0.7166203703703703</v>
      </c>
      <c r="Z2628" s="576">
        <v>0.72578703703703706</v>
      </c>
      <c r="AA2628" s="576">
        <f t="shared" si="287"/>
        <v>9.1666666666667673E-3</v>
      </c>
    </row>
    <row r="2629" spans="1:27" x14ac:dyDescent="0.35">
      <c r="A2629" s="81" t="s">
        <v>8260</v>
      </c>
      <c r="C2629" s="118">
        <v>43983</v>
      </c>
      <c r="D2629" s="318">
        <v>44007</v>
      </c>
      <c r="E2629" s="83">
        <v>44004</v>
      </c>
      <c r="F2629" s="88" t="s">
        <v>8317</v>
      </c>
      <c r="G2629" s="88" t="s">
        <v>154</v>
      </c>
      <c r="H2629" s="81" t="s">
        <v>275</v>
      </c>
      <c r="I2629" s="98" t="s">
        <v>656</v>
      </c>
      <c r="J2629" s="75">
        <f t="shared" si="288"/>
        <v>0</v>
      </c>
      <c r="K2629" s="76"/>
      <c r="L2629" s="99" t="s">
        <v>7515</v>
      </c>
      <c r="N2629" s="78" t="s">
        <v>18</v>
      </c>
      <c r="Q2629" s="78" t="s">
        <v>2097</v>
      </c>
      <c r="R2629" s="75">
        <f t="shared" si="289"/>
        <v>0.9</v>
      </c>
      <c r="S2629" s="263" t="s">
        <v>1990</v>
      </c>
      <c r="T2629" s="263"/>
      <c r="U2629" s="304" t="s">
        <v>5592</v>
      </c>
      <c r="V2629" s="304" t="s">
        <v>8424</v>
      </c>
      <c r="Y2629" s="576">
        <v>0.49835648148148143</v>
      </c>
      <c r="Z2629" s="576">
        <v>0.52067129629629627</v>
      </c>
      <c r="AA2629" s="576">
        <f t="shared" si="287"/>
        <v>2.2314814814814843E-2</v>
      </c>
    </row>
    <row r="2630" spans="1:27" x14ac:dyDescent="0.35">
      <c r="A2630" s="98" t="s">
        <v>8261</v>
      </c>
      <c r="C2630" s="118">
        <v>43983</v>
      </c>
      <c r="D2630" s="318">
        <v>44007</v>
      </c>
      <c r="E2630" s="83">
        <v>44000</v>
      </c>
      <c r="F2630" s="88" t="s">
        <v>8318</v>
      </c>
      <c r="G2630" s="88" t="s">
        <v>152</v>
      </c>
      <c r="H2630" s="98" t="s">
        <v>220</v>
      </c>
      <c r="J2630" s="75">
        <f t="shared" si="288"/>
        <v>0.3</v>
      </c>
      <c r="K2630" s="76" t="s">
        <v>564</v>
      </c>
      <c r="Q2630" s="78" t="s">
        <v>2130</v>
      </c>
      <c r="R2630" s="75">
        <f t="shared" si="289"/>
        <v>1</v>
      </c>
      <c r="S2630" s="263" t="s">
        <v>1991</v>
      </c>
      <c r="T2630" s="263"/>
      <c r="U2630" s="304" t="s">
        <v>5592</v>
      </c>
      <c r="V2630" s="304" t="s">
        <v>8399</v>
      </c>
      <c r="Y2630" s="576">
        <v>0.85829861111111105</v>
      </c>
      <c r="Z2630" s="576">
        <v>0.86518518518518517</v>
      </c>
      <c r="AA2630" s="576">
        <f t="shared" si="287"/>
        <v>6.8865740740741144E-3</v>
      </c>
    </row>
    <row r="2631" spans="1:27" x14ac:dyDescent="0.35">
      <c r="A2631" s="81" t="s">
        <v>8160</v>
      </c>
      <c r="C2631" s="118">
        <v>43983</v>
      </c>
      <c r="D2631" s="318">
        <v>44005</v>
      </c>
      <c r="E2631" s="83">
        <v>43999</v>
      </c>
      <c r="F2631" s="88" t="s">
        <v>8209</v>
      </c>
      <c r="G2631" s="88" t="s">
        <v>158</v>
      </c>
      <c r="H2631" s="98" t="s">
        <v>220</v>
      </c>
      <c r="I2631" s="98" t="s">
        <v>656</v>
      </c>
      <c r="J2631" s="75">
        <f t="shared" si="288"/>
        <v>0.3</v>
      </c>
      <c r="K2631" s="76" t="s">
        <v>568</v>
      </c>
      <c r="L2631" s="99" t="s">
        <v>7544</v>
      </c>
      <c r="N2631" s="78" t="s">
        <v>18</v>
      </c>
      <c r="Q2631" s="78" t="s">
        <v>2163</v>
      </c>
      <c r="R2631" s="75">
        <f t="shared" si="289"/>
        <v>1</v>
      </c>
      <c r="S2631" s="263" t="s">
        <v>1991</v>
      </c>
      <c r="T2631" s="263" t="s">
        <v>932</v>
      </c>
      <c r="Y2631" s="576">
        <v>0.42663194444444441</v>
      </c>
      <c r="Z2631" s="576">
        <v>0.4339351851851852</v>
      </c>
      <c r="AA2631" s="576">
        <f t="shared" si="287"/>
        <v>7.3032407407407907E-3</v>
      </c>
    </row>
    <row r="2632" spans="1:27" x14ac:dyDescent="0.35">
      <c r="A2632" s="81" t="s">
        <v>8264</v>
      </c>
      <c r="C2632" s="118">
        <v>43983</v>
      </c>
      <c r="D2632" s="318">
        <v>44007</v>
      </c>
      <c r="E2632" s="83">
        <v>44000</v>
      </c>
      <c r="F2632" s="88" t="s">
        <v>8321</v>
      </c>
      <c r="G2632" s="88" t="s">
        <v>156</v>
      </c>
      <c r="H2632" s="98" t="s">
        <v>220</v>
      </c>
      <c r="I2632" s="98" t="s">
        <v>8392</v>
      </c>
      <c r="J2632" s="75">
        <f t="shared" si="288"/>
        <v>0.3</v>
      </c>
      <c r="K2632" s="76" t="s">
        <v>568</v>
      </c>
      <c r="L2632" s="99" t="s">
        <v>8393</v>
      </c>
      <c r="N2632" s="78" t="s">
        <v>18</v>
      </c>
      <c r="Q2632" s="78" t="s">
        <v>2163</v>
      </c>
      <c r="R2632" s="75">
        <f t="shared" si="289"/>
        <v>1</v>
      </c>
      <c r="S2632" s="263" t="s">
        <v>1991</v>
      </c>
      <c r="T2632" s="263" t="s">
        <v>933</v>
      </c>
      <c r="U2632" s="304" t="s">
        <v>5592</v>
      </c>
      <c r="V2632" s="304" t="s">
        <v>8394</v>
      </c>
      <c r="Y2632" s="576">
        <v>0.76269675925925917</v>
      </c>
      <c r="Z2632" s="576">
        <v>0.78909722222222223</v>
      </c>
      <c r="AA2632" s="576">
        <f t="shared" si="287"/>
        <v>2.6400462962963056E-2</v>
      </c>
    </row>
    <row r="2633" spans="1:27" x14ac:dyDescent="0.35">
      <c r="A2633" s="81" t="s">
        <v>8265</v>
      </c>
      <c r="C2633" s="118">
        <v>43983</v>
      </c>
      <c r="D2633" s="318">
        <v>44007</v>
      </c>
      <c r="E2633" s="83">
        <v>43999</v>
      </c>
      <c r="F2633" s="88" t="s">
        <v>8322</v>
      </c>
      <c r="G2633" s="88" t="s">
        <v>158</v>
      </c>
      <c r="H2633" s="98" t="s">
        <v>220</v>
      </c>
      <c r="I2633" s="98" t="s">
        <v>1213</v>
      </c>
      <c r="J2633" s="75">
        <f t="shared" si="288"/>
        <v>0.3</v>
      </c>
      <c r="K2633" s="76" t="s">
        <v>568</v>
      </c>
      <c r="L2633" s="99" t="s">
        <v>8384</v>
      </c>
      <c r="N2633" s="78" t="s">
        <v>18</v>
      </c>
      <c r="Q2633" s="78" t="s">
        <v>2056</v>
      </c>
      <c r="R2633" s="75">
        <f t="shared" si="289"/>
        <v>1</v>
      </c>
      <c r="S2633" s="263" t="s">
        <v>1991</v>
      </c>
      <c r="T2633" s="263" t="s">
        <v>934</v>
      </c>
      <c r="Y2633" s="576">
        <v>0.6610300925925926</v>
      </c>
      <c r="Z2633" s="576">
        <v>0.66681712962962969</v>
      </c>
      <c r="AA2633" s="576">
        <f t="shared" si="287"/>
        <v>5.7870370370370905E-3</v>
      </c>
    </row>
    <row r="2634" spans="1:27" x14ac:dyDescent="0.35">
      <c r="A2634" s="81" t="s">
        <v>8266</v>
      </c>
      <c r="C2634" s="118">
        <v>43983</v>
      </c>
      <c r="D2634" s="318">
        <v>44007</v>
      </c>
      <c r="E2634" s="83">
        <v>44000</v>
      </c>
      <c r="F2634" s="88" t="s">
        <v>8323</v>
      </c>
      <c r="G2634" s="88" t="s">
        <v>154</v>
      </c>
      <c r="H2634" s="98" t="s">
        <v>220</v>
      </c>
      <c r="I2634" s="98" t="s">
        <v>1213</v>
      </c>
      <c r="J2634" s="75">
        <f t="shared" si="288"/>
        <v>0.3</v>
      </c>
      <c r="K2634" s="76" t="s">
        <v>568</v>
      </c>
      <c r="L2634" s="99" t="s">
        <v>8386</v>
      </c>
      <c r="N2634" s="78" t="s">
        <v>18</v>
      </c>
      <c r="Q2634" s="78" t="s">
        <v>2163</v>
      </c>
      <c r="R2634" s="75">
        <f t="shared" si="289"/>
        <v>1</v>
      </c>
      <c r="S2634" s="263" t="s">
        <v>1991</v>
      </c>
      <c r="T2634" s="263" t="s">
        <v>934</v>
      </c>
      <c r="Y2634" s="576">
        <v>0.46059027777777778</v>
      </c>
      <c r="Z2634" s="576">
        <v>0.46437499999999998</v>
      </c>
      <c r="AA2634" s="576">
        <f t="shared" si="287"/>
        <v>3.7847222222222032E-3</v>
      </c>
    </row>
    <row r="2635" spans="1:27" x14ac:dyDescent="0.35">
      <c r="A2635" s="98" t="s">
        <v>8271</v>
      </c>
      <c r="C2635" s="118">
        <v>43983</v>
      </c>
      <c r="D2635" s="318">
        <v>44022</v>
      </c>
      <c r="E2635" s="83">
        <v>43999</v>
      </c>
      <c r="F2635" s="88" t="s">
        <v>8328</v>
      </c>
      <c r="G2635" s="88" t="s">
        <v>154</v>
      </c>
      <c r="H2635" s="98" t="s">
        <v>220</v>
      </c>
      <c r="J2635" s="75">
        <f t="shared" si="288"/>
        <v>0</v>
      </c>
      <c r="K2635" s="76"/>
      <c r="Q2635" s="78" t="s">
        <v>2097</v>
      </c>
      <c r="R2635" s="75">
        <f t="shared" si="289"/>
        <v>0.3</v>
      </c>
      <c r="S2635" s="263" t="s">
        <v>1988</v>
      </c>
      <c r="T2635" s="263"/>
      <c r="U2635" s="304" t="s">
        <v>5592</v>
      </c>
      <c r="V2635" s="304" t="s">
        <v>8380</v>
      </c>
      <c r="Y2635" s="576">
        <v>0.49081018518518515</v>
      </c>
      <c r="Z2635" s="576">
        <v>0.50871527777777781</v>
      </c>
      <c r="AA2635" s="576">
        <f t="shared" si="287"/>
        <v>1.7905092592592653E-2</v>
      </c>
    </row>
    <row r="2636" spans="1:27" x14ac:dyDescent="0.35">
      <c r="A2636" s="81" t="s">
        <v>8274</v>
      </c>
      <c r="C2636" s="118">
        <v>43984</v>
      </c>
      <c r="D2636" s="318">
        <v>44007</v>
      </c>
      <c r="E2636" s="83">
        <v>44000</v>
      </c>
      <c r="F2636" s="88" t="s">
        <v>8331</v>
      </c>
      <c r="G2636" s="88" t="s">
        <v>154</v>
      </c>
      <c r="H2636" s="98" t="s">
        <v>220</v>
      </c>
      <c r="I2636" s="98" t="s">
        <v>730</v>
      </c>
      <c r="J2636" s="75">
        <f t="shared" si="288"/>
        <v>0.3</v>
      </c>
      <c r="K2636" s="76" t="s">
        <v>568</v>
      </c>
      <c r="L2636" s="99" t="s">
        <v>8395</v>
      </c>
      <c r="N2636" s="78" t="s">
        <v>18</v>
      </c>
      <c r="Q2636" s="78" t="s">
        <v>2163</v>
      </c>
      <c r="R2636" s="75">
        <f t="shared" si="289"/>
        <v>1</v>
      </c>
      <c r="S2636" s="263" t="s">
        <v>1991</v>
      </c>
      <c r="T2636" s="263" t="s">
        <v>932</v>
      </c>
      <c r="Y2636" s="576">
        <v>0.78940972222222217</v>
      </c>
      <c r="Z2636" s="576">
        <v>0.79787037037037034</v>
      </c>
      <c r="AA2636" s="576">
        <f t="shared" si="287"/>
        <v>8.4606481481481755E-3</v>
      </c>
    </row>
    <row r="2637" spans="1:27" x14ac:dyDescent="0.35">
      <c r="A2637" s="81" t="s">
        <v>8279</v>
      </c>
      <c r="C2637" s="118">
        <v>43984</v>
      </c>
      <c r="D2637" s="318">
        <v>44007</v>
      </c>
      <c r="E2637" s="83">
        <v>44000</v>
      </c>
      <c r="F2637" s="88" t="s">
        <v>8336</v>
      </c>
      <c r="G2637" s="88" t="s">
        <v>154</v>
      </c>
      <c r="H2637" s="98" t="s">
        <v>220</v>
      </c>
      <c r="I2637" s="98" t="s">
        <v>4961</v>
      </c>
      <c r="J2637" s="75">
        <f t="shared" si="288"/>
        <v>0.3</v>
      </c>
      <c r="K2637" s="76" t="s">
        <v>568</v>
      </c>
      <c r="L2637" s="99" t="s">
        <v>8389</v>
      </c>
      <c r="N2637" s="78" t="s">
        <v>18</v>
      </c>
      <c r="Q2637" s="78" t="s">
        <v>2056</v>
      </c>
      <c r="R2637" s="75">
        <f t="shared" si="289"/>
        <v>1</v>
      </c>
      <c r="S2637" s="263" t="s">
        <v>1991</v>
      </c>
      <c r="T2637" s="263" t="s">
        <v>933</v>
      </c>
      <c r="Y2637" s="576">
        <v>0.68505787037037036</v>
      </c>
      <c r="Z2637" s="576">
        <v>0.69656250000000008</v>
      </c>
      <c r="AA2637" s="576">
        <f t="shared" si="287"/>
        <v>1.1504629629629726E-2</v>
      </c>
    </row>
    <row r="2638" spans="1:27" x14ac:dyDescent="0.35">
      <c r="A2638" s="81" t="s">
        <v>8281</v>
      </c>
      <c r="C2638" s="118">
        <v>43984</v>
      </c>
      <c r="D2638" s="318">
        <v>44007</v>
      </c>
      <c r="E2638" s="83">
        <v>43999</v>
      </c>
      <c r="F2638" s="88" t="s">
        <v>8338</v>
      </c>
      <c r="G2638" s="88" t="s">
        <v>1230</v>
      </c>
      <c r="H2638" s="98" t="s">
        <v>220</v>
      </c>
      <c r="I2638" s="98" t="s">
        <v>3557</v>
      </c>
      <c r="J2638" s="75">
        <f t="shared" si="288"/>
        <v>0.3</v>
      </c>
      <c r="K2638" s="76" t="s">
        <v>568</v>
      </c>
      <c r="L2638" s="99" t="s">
        <v>8383</v>
      </c>
      <c r="N2638" s="78" t="s">
        <v>18</v>
      </c>
      <c r="Q2638" s="78" t="s">
        <v>2097</v>
      </c>
      <c r="R2638" s="75">
        <f t="shared" si="289"/>
        <v>1</v>
      </c>
      <c r="S2638" s="263" t="s">
        <v>1991</v>
      </c>
      <c r="T2638" s="263" t="s">
        <v>933</v>
      </c>
      <c r="Y2638" s="576">
        <v>0.60745370370370366</v>
      </c>
      <c r="Z2638" s="576">
        <v>0.61226851851851849</v>
      </c>
      <c r="AA2638" s="576">
        <f t="shared" si="287"/>
        <v>4.8148148148148273E-3</v>
      </c>
    </row>
    <row r="2639" spans="1:27" x14ac:dyDescent="0.35">
      <c r="A2639" s="81" t="s">
        <v>8285</v>
      </c>
      <c r="C2639" s="118">
        <v>43984</v>
      </c>
      <c r="D2639" s="318">
        <v>44008</v>
      </c>
      <c r="E2639" s="83">
        <v>44004</v>
      </c>
      <c r="F2639" s="88" t="s">
        <v>8342</v>
      </c>
      <c r="G2639" s="88" t="s">
        <v>417</v>
      </c>
      <c r="H2639" s="98" t="s">
        <v>220</v>
      </c>
      <c r="I2639" s="98" t="s">
        <v>8037</v>
      </c>
      <c r="J2639" s="75">
        <f t="shared" si="288"/>
        <v>0.3</v>
      </c>
      <c r="K2639" s="76" t="s">
        <v>568</v>
      </c>
      <c r="L2639" s="99" t="s">
        <v>8425</v>
      </c>
      <c r="N2639" s="78" t="s">
        <v>18</v>
      </c>
      <c r="Q2639" s="78" t="s">
        <v>2163</v>
      </c>
      <c r="R2639" s="75">
        <f t="shared" si="289"/>
        <v>1</v>
      </c>
      <c r="S2639" s="263" t="s">
        <v>1991</v>
      </c>
      <c r="T2639" s="263" t="s">
        <v>933</v>
      </c>
      <c r="Y2639" s="576">
        <v>0.52104166666666674</v>
      </c>
      <c r="Z2639" s="576">
        <v>0.53180555555555553</v>
      </c>
      <c r="AA2639" s="576">
        <f t="shared" si="287"/>
        <v>1.0763888888888795E-2</v>
      </c>
    </row>
    <row r="2640" spans="1:27" x14ac:dyDescent="0.35">
      <c r="A2640" s="81" t="s">
        <v>8288</v>
      </c>
      <c r="C2640" s="118">
        <v>43984</v>
      </c>
      <c r="D2640" s="318">
        <v>44007</v>
      </c>
      <c r="E2640" s="83">
        <v>44000</v>
      </c>
      <c r="F2640" s="88" t="s">
        <v>8345</v>
      </c>
      <c r="G2640" s="88" t="s">
        <v>160</v>
      </c>
      <c r="H2640" s="98" t="s">
        <v>220</v>
      </c>
      <c r="I2640" s="98" t="s">
        <v>656</v>
      </c>
      <c r="J2640" s="75">
        <f t="shared" si="288"/>
        <v>0.3</v>
      </c>
      <c r="K2640" s="76" t="s">
        <v>568</v>
      </c>
      <c r="L2640" s="99" t="s">
        <v>8390</v>
      </c>
      <c r="N2640" s="78" t="s">
        <v>17</v>
      </c>
      <c r="Q2640" s="78" t="s">
        <v>2056</v>
      </c>
      <c r="R2640" s="75">
        <f t="shared" si="289"/>
        <v>1</v>
      </c>
      <c r="S2640" s="263" t="s">
        <v>1991</v>
      </c>
      <c r="T2640" s="263" t="s">
        <v>934</v>
      </c>
      <c r="Y2640" s="576">
        <v>0.70846064814814813</v>
      </c>
      <c r="Z2640" s="576">
        <v>0.71605324074074073</v>
      </c>
      <c r="AA2640" s="576">
        <f t="shared" ref="AA2640:AA2687" si="290">Z2640-Y2640</f>
        <v>7.5925925925925952E-3</v>
      </c>
    </row>
    <row r="2641" spans="1:27" x14ac:dyDescent="0.35">
      <c r="A2641" s="81" t="s">
        <v>8289</v>
      </c>
      <c r="C2641" s="118">
        <v>43984</v>
      </c>
      <c r="D2641" s="318">
        <v>44008</v>
      </c>
      <c r="E2641" s="83">
        <v>44004</v>
      </c>
      <c r="F2641" s="88" t="s">
        <v>8346</v>
      </c>
      <c r="G2641" s="88" t="s">
        <v>162</v>
      </c>
      <c r="H2641" s="98" t="s">
        <v>220</v>
      </c>
      <c r="I2641" s="98" t="s">
        <v>656</v>
      </c>
      <c r="J2641" s="75">
        <f t="shared" si="288"/>
        <v>0.3</v>
      </c>
      <c r="K2641" s="76" t="s">
        <v>568</v>
      </c>
      <c r="L2641" s="99" t="s">
        <v>8426</v>
      </c>
      <c r="N2641" s="78" t="s">
        <v>17</v>
      </c>
      <c r="Q2641" s="78" t="s">
        <v>2163</v>
      </c>
      <c r="R2641" s="75">
        <f t="shared" si="289"/>
        <v>1</v>
      </c>
      <c r="S2641" s="263" t="s">
        <v>1991</v>
      </c>
      <c r="T2641" s="263" t="s">
        <v>932</v>
      </c>
      <c r="Y2641" s="576">
        <v>0.57388888888888889</v>
      </c>
      <c r="Z2641" s="576">
        <v>0.58771990740740743</v>
      </c>
      <c r="AA2641" s="576">
        <f t="shared" si="290"/>
        <v>1.3831018518518534E-2</v>
      </c>
    </row>
    <row r="2642" spans="1:27" x14ac:dyDescent="0.35">
      <c r="A2642" s="98" t="s">
        <v>8290</v>
      </c>
      <c r="C2642" s="118">
        <v>43984</v>
      </c>
      <c r="D2642" s="318">
        <v>44007</v>
      </c>
      <c r="E2642" s="83">
        <v>43999</v>
      </c>
      <c r="F2642" s="88" t="s">
        <v>8347</v>
      </c>
      <c r="G2642" s="88" t="s">
        <v>154</v>
      </c>
      <c r="H2642" s="98" t="s">
        <v>220</v>
      </c>
      <c r="I2642" s="98" t="s">
        <v>656</v>
      </c>
      <c r="J2642" s="75">
        <f t="shared" si="288"/>
        <v>0.3</v>
      </c>
      <c r="K2642" s="76" t="s">
        <v>568</v>
      </c>
      <c r="L2642" s="99" t="s">
        <v>8378</v>
      </c>
      <c r="N2642" s="78" t="s">
        <v>17</v>
      </c>
      <c r="Q2642" s="78" t="s">
        <v>2447</v>
      </c>
      <c r="R2642" s="75">
        <f t="shared" si="289"/>
        <v>1</v>
      </c>
      <c r="S2642" s="263" t="s">
        <v>1991</v>
      </c>
      <c r="T2642" s="263" t="s">
        <v>932</v>
      </c>
      <c r="U2642" s="304" t="s">
        <v>5592</v>
      </c>
      <c r="V2642" s="304" t="s">
        <v>8379</v>
      </c>
      <c r="Y2642" s="576">
        <v>0.45902777777777781</v>
      </c>
      <c r="Z2642" s="576">
        <v>0.47140046296296295</v>
      </c>
      <c r="AA2642" s="576">
        <f t="shared" si="290"/>
        <v>1.2372685185185139E-2</v>
      </c>
    </row>
    <row r="2643" spans="1:27" x14ac:dyDescent="0.35">
      <c r="A2643" s="81" t="s">
        <v>8292</v>
      </c>
      <c r="C2643" s="118">
        <v>43985</v>
      </c>
      <c r="D2643" s="318">
        <v>44011</v>
      </c>
      <c r="E2643" s="83">
        <v>44001</v>
      </c>
      <c r="F2643" s="88" t="s">
        <v>7694</v>
      </c>
      <c r="G2643" s="88" t="s">
        <v>154</v>
      </c>
      <c r="H2643" s="81" t="s">
        <v>275</v>
      </c>
      <c r="I2643" s="98" t="s">
        <v>656</v>
      </c>
      <c r="J2643" s="75">
        <f t="shared" si="288"/>
        <v>0.3</v>
      </c>
      <c r="K2643" s="76" t="s">
        <v>568</v>
      </c>
      <c r="L2643" s="99" t="s">
        <v>7515</v>
      </c>
      <c r="N2643" s="78" t="s">
        <v>18</v>
      </c>
      <c r="Q2643" s="78" t="s">
        <v>2163</v>
      </c>
      <c r="R2643" s="75">
        <f t="shared" si="289"/>
        <v>1</v>
      </c>
      <c r="S2643" s="263" t="s">
        <v>1991</v>
      </c>
      <c r="T2643" s="263" t="s">
        <v>933</v>
      </c>
      <c r="Y2643" s="576">
        <v>0.68760416666666668</v>
      </c>
      <c r="Z2643" s="576">
        <v>0.69648148148148137</v>
      </c>
      <c r="AA2643" s="576">
        <f t="shared" si="290"/>
        <v>8.8773148148146852E-3</v>
      </c>
    </row>
    <row r="2644" spans="1:27" x14ac:dyDescent="0.35">
      <c r="A2644" s="81" t="s">
        <v>8294</v>
      </c>
      <c r="C2644" s="118">
        <v>43985</v>
      </c>
      <c r="D2644" s="118">
        <v>44026</v>
      </c>
      <c r="F2644" s="88" t="s">
        <v>8350</v>
      </c>
      <c r="G2644" s="88" t="s">
        <v>154</v>
      </c>
      <c r="H2644" s="98" t="s">
        <v>220</v>
      </c>
      <c r="J2644" s="75">
        <f t="shared" si="288"/>
        <v>0</v>
      </c>
      <c r="K2644" s="76"/>
      <c r="Q2644" s="78" t="s">
        <v>2447</v>
      </c>
      <c r="R2644" s="75">
        <f t="shared" si="289"/>
        <v>0.3</v>
      </c>
      <c r="S2644" s="263" t="s">
        <v>1988</v>
      </c>
      <c r="T2644" s="263"/>
      <c r="AA2644" s="576">
        <f t="shared" si="290"/>
        <v>0</v>
      </c>
    </row>
    <row r="2645" spans="1:27" x14ac:dyDescent="0.35">
      <c r="A2645" s="81" t="s">
        <v>8295</v>
      </c>
      <c r="C2645" s="118">
        <v>43985</v>
      </c>
      <c r="D2645" s="318">
        <v>44008</v>
      </c>
      <c r="E2645" s="83">
        <v>44004</v>
      </c>
      <c r="F2645" s="88" t="s">
        <v>8351</v>
      </c>
      <c r="G2645" s="88" t="s">
        <v>186</v>
      </c>
      <c r="H2645" s="98" t="s">
        <v>220</v>
      </c>
      <c r="I2645" s="98" t="s">
        <v>8427</v>
      </c>
      <c r="J2645" s="75">
        <f t="shared" si="288"/>
        <v>0.3</v>
      </c>
      <c r="K2645" s="76" t="s">
        <v>568</v>
      </c>
      <c r="L2645" s="99" t="s">
        <v>8428</v>
      </c>
      <c r="N2645" s="78" t="s">
        <v>19</v>
      </c>
      <c r="Q2645" s="78" t="s">
        <v>2130</v>
      </c>
      <c r="R2645" s="75">
        <f t="shared" si="289"/>
        <v>1</v>
      </c>
      <c r="S2645" s="263" t="s">
        <v>1991</v>
      </c>
      <c r="T2645" s="263" t="s">
        <v>933</v>
      </c>
      <c r="Y2645" s="576">
        <v>0.60787037037037039</v>
      </c>
      <c r="Z2645" s="576">
        <v>0.61464120370370368</v>
      </c>
      <c r="AA2645" s="576">
        <f t="shared" si="290"/>
        <v>6.7708333333332815E-3</v>
      </c>
    </row>
    <row r="2646" spans="1:27" x14ac:dyDescent="0.35">
      <c r="A2646" s="98" t="s">
        <v>8296</v>
      </c>
      <c r="C2646" s="118">
        <v>43985</v>
      </c>
      <c r="D2646" s="318">
        <v>44011</v>
      </c>
      <c r="E2646" s="83">
        <v>44001</v>
      </c>
      <c r="F2646" s="88" t="s">
        <v>8352</v>
      </c>
      <c r="G2646" s="88" t="s">
        <v>156</v>
      </c>
      <c r="H2646" s="98" t="s">
        <v>220</v>
      </c>
      <c r="I2646" s="98" t="s">
        <v>656</v>
      </c>
      <c r="J2646" s="75">
        <f t="shared" si="288"/>
        <v>0.3</v>
      </c>
      <c r="K2646" s="76" t="s">
        <v>568</v>
      </c>
      <c r="L2646" s="99" t="s">
        <v>7515</v>
      </c>
      <c r="N2646" s="78" t="s">
        <v>17</v>
      </c>
      <c r="Q2646" s="78" t="s">
        <v>2056</v>
      </c>
      <c r="R2646" s="75">
        <f t="shared" si="289"/>
        <v>1</v>
      </c>
      <c r="S2646" s="263" t="s">
        <v>1991</v>
      </c>
      <c r="T2646" s="263" t="s">
        <v>932</v>
      </c>
      <c r="Y2646" s="576">
        <v>0.64212962962962961</v>
      </c>
      <c r="Z2646" s="576">
        <v>0.65079861111111115</v>
      </c>
      <c r="AA2646" s="576">
        <f t="shared" si="290"/>
        <v>8.6689814814815414E-3</v>
      </c>
    </row>
    <row r="2647" spans="1:27" x14ac:dyDescent="0.35">
      <c r="A2647" s="81" t="s">
        <v>8297</v>
      </c>
      <c r="C2647" s="118">
        <v>43985</v>
      </c>
      <c r="D2647" s="318">
        <v>44008</v>
      </c>
      <c r="E2647" s="83">
        <v>44001</v>
      </c>
      <c r="F2647" s="88" t="s">
        <v>8353</v>
      </c>
      <c r="G2647" s="88" t="s">
        <v>156</v>
      </c>
      <c r="H2647" s="98" t="s">
        <v>220</v>
      </c>
      <c r="I2647" s="98" t="s">
        <v>1213</v>
      </c>
      <c r="J2647" s="75">
        <f t="shared" si="288"/>
        <v>0.3</v>
      </c>
      <c r="K2647" s="76" t="s">
        <v>568</v>
      </c>
      <c r="L2647" s="99" t="s">
        <v>8415</v>
      </c>
      <c r="N2647" s="78" t="s">
        <v>17</v>
      </c>
      <c r="Q2647" s="78" t="s">
        <v>2130</v>
      </c>
      <c r="R2647" s="75">
        <f t="shared" si="289"/>
        <v>1</v>
      </c>
      <c r="S2647" s="263" t="s">
        <v>1991</v>
      </c>
      <c r="T2647" s="263" t="s">
        <v>932</v>
      </c>
      <c r="U2647" s="304" t="s">
        <v>5592</v>
      </c>
      <c r="V2647" s="304" t="s">
        <v>8416</v>
      </c>
      <c r="Y2647" s="576">
        <v>0.86923611111111121</v>
      </c>
      <c r="Z2647" s="576">
        <v>0.89081018518518518</v>
      </c>
      <c r="AA2647" s="576">
        <f t="shared" si="290"/>
        <v>2.1574074074073968E-2</v>
      </c>
    </row>
    <row r="2648" spans="1:27" x14ac:dyDescent="0.35">
      <c r="A2648" s="81" t="s">
        <v>8299</v>
      </c>
      <c r="C2648" s="118">
        <v>43985</v>
      </c>
      <c r="D2648" s="318">
        <v>44011</v>
      </c>
      <c r="E2648" s="83">
        <v>44000</v>
      </c>
      <c r="F2648" s="88" t="s">
        <v>8355</v>
      </c>
      <c r="G2648" s="88" t="s">
        <v>158</v>
      </c>
      <c r="H2648" s="98" t="s">
        <v>220</v>
      </c>
      <c r="I2648" s="98" t="s">
        <v>656</v>
      </c>
      <c r="J2648" s="75">
        <f t="shared" si="288"/>
        <v>0.3</v>
      </c>
      <c r="K2648" s="76" t="s">
        <v>568</v>
      </c>
      <c r="L2648" s="99" t="s">
        <v>7515</v>
      </c>
      <c r="N2648" s="78" t="s">
        <v>18</v>
      </c>
      <c r="Q2648" s="78" t="s">
        <v>2447</v>
      </c>
      <c r="R2648" s="75">
        <f t="shared" si="289"/>
        <v>1</v>
      </c>
      <c r="S2648" s="263" t="s">
        <v>1991</v>
      </c>
      <c r="T2648" s="263" t="s">
        <v>933</v>
      </c>
      <c r="Y2648" s="576">
        <v>0.4646527777777778</v>
      </c>
      <c r="Z2648" s="576">
        <v>0.49071759259259262</v>
      </c>
      <c r="AA2648" s="576">
        <f t="shared" si="290"/>
        <v>2.6064814814814818E-2</v>
      </c>
    </row>
    <row r="2649" spans="1:27" x14ac:dyDescent="0.35">
      <c r="A2649" s="81" t="s">
        <v>8300</v>
      </c>
      <c r="C2649" s="118">
        <v>43985</v>
      </c>
      <c r="D2649" s="318">
        <v>44011</v>
      </c>
      <c r="E2649" s="83">
        <v>44001</v>
      </c>
      <c r="F2649" s="88" t="s">
        <v>8356</v>
      </c>
      <c r="G2649" s="88" t="s">
        <v>417</v>
      </c>
      <c r="H2649" s="98" t="s">
        <v>220</v>
      </c>
      <c r="I2649" s="98" t="s">
        <v>730</v>
      </c>
      <c r="J2649" s="75">
        <f t="shared" si="288"/>
        <v>0.3</v>
      </c>
      <c r="K2649" s="76" t="s">
        <v>568</v>
      </c>
      <c r="L2649" s="99" t="s">
        <v>7806</v>
      </c>
      <c r="N2649" s="78" t="s">
        <v>18</v>
      </c>
      <c r="Q2649" s="78" t="s">
        <v>2056</v>
      </c>
      <c r="R2649" s="75">
        <f t="shared" si="289"/>
        <v>1</v>
      </c>
      <c r="S2649" s="263" t="s">
        <v>1991</v>
      </c>
      <c r="T2649" s="263" t="s">
        <v>934</v>
      </c>
      <c r="Y2649" s="576">
        <v>0.52443287037037034</v>
      </c>
      <c r="Z2649" s="576">
        <v>0.53341435185185182</v>
      </c>
      <c r="AA2649" s="576">
        <f t="shared" si="290"/>
        <v>8.9814814814814792E-3</v>
      </c>
    </row>
    <row r="2650" spans="1:27" x14ac:dyDescent="0.35">
      <c r="A2650" s="81" t="s">
        <v>8303</v>
      </c>
      <c r="C2650" s="118">
        <v>43986</v>
      </c>
      <c r="D2650" s="318">
        <v>44011</v>
      </c>
      <c r="E2650" s="83">
        <v>44004</v>
      </c>
      <c r="F2650" s="88" t="s">
        <v>8359</v>
      </c>
      <c r="G2650" s="88" t="s">
        <v>186</v>
      </c>
      <c r="H2650" s="98" t="s">
        <v>220</v>
      </c>
      <c r="I2650" s="98" t="s">
        <v>730</v>
      </c>
      <c r="J2650" s="75">
        <f t="shared" si="288"/>
        <v>0.3</v>
      </c>
      <c r="K2650" s="76" t="s">
        <v>568</v>
      </c>
      <c r="L2650" s="99" t="s">
        <v>7777</v>
      </c>
      <c r="N2650" s="78" t="s">
        <v>18</v>
      </c>
      <c r="Q2650" s="78" t="s">
        <v>2447</v>
      </c>
      <c r="R2650" s="75">
        <f t="shared" si="289"/>
        <v>1</v>
      </c>
      <c r="S2650" s="263" t="s">
        <v>1991</v>
      </c>
      <c r="T2650" s="263" t="s">
        <v>932</v>
      </c>
      <c r="Y2650" s="576">
        <v>0.58891203703703698</v>
      </c>
      <c r="Z2650" s="576">
        <v>0.60070601851851857</v>
      </c>
      <c r="AA2650" s="576">
        <f t="shared" si="290"/>
        <v>1.1793981481481586E-2</v>
      </c>
    </row>
    <row r="2651" spans="1:27" x14ac:dyDescent="0.35">
      <c r="A2651" s="81" t="s">
        <v>8304</v>
      </c>
      <c r="C2651" s="118">
        <v>43985</v>
      </c>
      <c r="D2651" s="318">
        <v>44011</v>
      </c>
      <c r="E2651" s="83">
        <v>44004</v>
      </c>
      <c r="F2651" s="88" t="s">
        <v>8360</v>
      </c>
      <c r="G2651" s="88" t="s">
        <v>152</v>
      </c>
      <c r="H2651" s="98" t="s">
        <v>220</v>
      </c>
      <c r="I2651" s="98" t="s">
        <v>656</v>
      </c>
      <c r="J2651" s="75">
        <f t="shared" si="288"/>
        <v>0.3</v>
      </c>
      <c r="K2651" s="76" t="s">
        <v>568</v>
      </c>
      <c r="L2651" s="99" t="s">
        <v>7515</v>
      </c>
      <c r="N2651" s="78" t="s">
        <v>17</v>
      </c>
      <c r="Q2651" s="78" t="s">
        <v>2130</v>
      </c>
      <c r="R2651" s="75">
        <f t="shared" si="289"/>
        <v>1</v>
      </c>
      <c r="S2651" s="263" t="s">
        <v>1991</v>
      </c>
      <c r="T2651" s="263" t="s">
        <v>934</v>
      </c>
      <c r="U2651" s="304" t="s">
        <v>5592</v>
      </c>
      <c r="V2651" s="304" t="s">
        <v>8421</v>
      </c>
      <c r="Y2651" s="576">
        <v>0.43857638888888889</v>
      </c>
      <c r="Z2651" s="576">
        <v>0.45202546296296298</v>
      </c>
      <c r="AA2651" s="576">
        <f t="shared" si="290"/>
        <v>1.3449074074074086E-2</v>
      </c>
    </row>
    <row r="2652" spans="1:27" x14ac:dyDescent="0.35">
      <c r="A2652" s="81" t="s">
        <v>8305</v>
      </c>
      <c r="C2652" s="118">
        <v>43985</v>
      </c>
      <c r="D2652" s="318">
        <v>44011</v>
      </c>
      <c r="E2652" s="83">
        <v>44004</v>
      </c>
      <c r="F2652" s="88" t="s">
        <v>8361</v>
      </c>
      <c r="G2652" s="88" t="s">
        <v>156</v>
      </c>
      <c r="H2652" s="98" t="s">
        <v>220</v>
      </c>
      <c r="I2652" s="98" t="s">
        <v>981</v>
      </c>
      <c r="J2652" s="75">
        <f t="shared" si="288"/>
        <v>0.3</v>
      </c>
      <c r="K2652" s="76" t="s">
        <v>568</v>
      </c>
      <c r="L2652" s="99" t="s">
        <v>8419</v>
      </c>
      <c r="N2652" s="78" t="s">
        <v>17</v>
      </c>
      <c r="Q2652" s="78" t="s">
        <v>2130</v>
      </c>
      <c r="R2652" s="75">
        <f t="shared" si="289"/>
        <v>1</v>
      </c>
      <c r="S2652" s="263" t="s">
        <v>1991</v>
      </c>
      <c r="T2652" s="263" t="s">
        <v>932</v>
      </c>
      <c r="U2652" s="304" t="s">
        <v>5592</v>
      </c>
      <c r="V2652" s="304" t="s">
        <v>8420</v>
      </c>
      <c r="Y2652" s="576">
        <v>0.40576388888888887</v>
      </c>
      <c r="Z2652" s="576">
        <v>0.43822916666666667</v>
      </c>
      <c r="AA2652" s="576">
        <f t="shared" si="290"/>
        <v>3.2465277777777801E-2</v>
      </c>
    </row>
    <row r="2653" spans="1:27" x14ac:dyDescent="0.35">
      <c r="A2653" s="81" t="s">
        <v>8309</v>
      </c>
      <c r="C2653" s="118">
        <v>43986</v>
      </c>
      <c r="D2653" s="318">
        <v>44011</v>
      </c>
      <c r="E2653" s="83">
        <v>44001</v>
      </c>
      <c r="F2653" s="88" t="s">
        <v>8365</v>
      </c>
      <c r="G2653" s="88" t="s">
        <v>154</v>
      </c>
      <c r="H2653" s="98" t="s">
        <v>220</v>
      </c>
      <c r="I2653" s="98" t="s">
        <v>629</v>
      </c>
      <c r="J2653" s="75">
        <f t="shared" ref="J2653:J2654" si="291">IF(OR(K2653="Документы готовы",K2653="Запрос в ФО",K2653="ЭЗ",K2653="РЕШ",K2653="РЕШ шаблон"),0.1,IF(OR(K2653="ЭЗ согласование",K2653="РЕШ согласование"),0.3,IF(OR(K2653="ЭЗ согласовано",K2653="РЕШ согласовано",K2653="РЕШ подписано"),0.6,IF(OR(K2653="ЭЗ ПР согласование",K2653="РЕШ УВ согласование"),0.9,IF(OR(K2653="ЭЗ ПР DONE",K2653="РЕШ УВ DONE"),1,0)))))</f>
        <v>0.3</v>
      </c>
      <c r="K2653" s="76" t="s">
        <v>568</v>
      </c>
      <c r="L2653" s="99" t="s">
        <v>8414</v>
      </c>
      <c r="N2653" s="78" t="s">
        <v>19</v>
      </c>
      <c r="Q2653" s="78" t="s">
        <v>2097</v>
      </c>
      <c r="R2653" s="75">
        <f t="shared" ref="R2653:R2654" si="292">IF(S2653="В работе",0.3,IF(S2653="Отписано",0.6,IF(S2653="На доработку",0.9,IF(S2653="Согласовано",1,0))))</f>
        <v>1</v>
      </c>
      <c r="S2653" s="263" t="s">
        <v>1991</v>
      </c>
      <c r="T2653" s="263" t="s">
        <v>934</v>
      </c>
      <c r="Y2653" s="576">
        <v>0.67131944444444447</v>
      </c>
      <c r="Z2653" s="576">
        <v>0.68704861111111104</v>
      </c>
      <c r="AA2653" s="576">
        <f t="shared" si="290"/>
        <v>1.5729166666666572E-2</v>
      </c>
    </row>
    <row r="2654" spans="1:27" x14ac:dyDescent="0.35">
      <c r="A2654" s="81" t="s">
        <v>8107</v>
      </c>
      <c r="C2654" s="118">
        <v>43916</v>
      </c>
      <c r="D2654" s="118">
        <v>44020</v>
      </c>
      <c r="F2654" s="255" t="s">
        <v>2232</v>
      </c>
      <c r="G2654" s="88" t="s">
        <v>195</v>
      </c>
      <c r="H2654" s="98" t="s">
        <v>220</v>
      </c>
      <c r="J2654" s="75">
        <f t="shared" si="291"/>
        <v>0</v>
      </c>
      <c r="K2654" s="76"/>
      <c r="Q2654" s="78" t="s">
        <v>2056</v>
      </c>
      <c r="R2654" s="75">
        <f t="shared" si="292"/>
        <v>0.3</v>
      </c>
      <c r="S2654" s="263" t="s">
        <v>1988</v>
      </c>
      <c r="T2654" s="263"/>
      <c r="AA2654" s="576">
        <f t="shared" si="290"/>
        <v>0</v>
      </c>
    </row>
    <row r="2655" spans="1:27" x14ac:dyDescent="0.35">
      <c r="A2655" s="81" t="s">
        <v>8110</v>
      </c>
      <c r="C2655" s="118">
        <v>43928</v>
      </c>
      <c r="D2655" s="118">
        <v>44021</v>
      </c>
      <c r="F2655" s="88" t="s">
        <v>8171</v>
      </c>
      <c r="G2655" s="88" t="s">
        <v>149</v>
      </c>
      <c r="H2655" s="98" t="s">
        <v>220</v>
      </c>
      <c r="J2655" s="75">
        <f t="shared" ref="J2655:J2712" si="293">IF(OR(K2655="Документы готовы",K2655="Запрос в ФО",K2655="ЭЗ",K2655="РЕШ",K2655="РЕШ шаблон"),0.1,IF(OR(K2655="ЭЗ согласование",K2655="РЕШ согласование"),0.3,IF(OR(K2655="ЭЗ согласовано",K2655="РЕШ согласовано",K2655="РЕШ подписано"),0.6,IF(OR(K2655="ЭЗ ПР согласование",K2655="РЕШ УВ согласование"),0.9,IF(OR(K2655="ЭЗ ПР DONE",K2655="РЕШ УВ DONE"),1,0)))))</f>
        <v>0</v>
      </c>
      <c r="K2655" s="76"/>
      <c r="Q2655" s="78" t="s">
        <v>2097</v>
      </c>
      <c r="R2655" s="75">
        <f t="shared" ref="R2655:R2712" si="294">IF(S2655="В работе",0.3,IF(S2655="Отписано",0.6,IF(S2655="На доработку",0.9,IF(S2655="Согласовано",1,0))))</f>
        <v>0.3</v>
      </c>
      <c r="S2655" s="263" t="s">
        <v>1988</v>
      </c>
      <c r="T2655" s="263"/>
      <c r="AA2655" s="576">
        <f t="shared" si="290"/>
        <v>0</v>
      </c>
    </row>
    <row r="2656" spans="1:27" x14ac:dyDescent="0.35">
      <c r="A2656" s="81" t="s">
        <v>8115</v>
      </c>
      <c r="C2656" s="118">
        <v>43938</v>
      </c>
      <c r="D2656" s="118">
        <v>44021</v>
      </c>
      <c r="F2656" s="88" t="s">
        <v>6642</v>
      </c>
      <c r="G2656" s="88" t="s">
        <v>154</v>
      </c>
      <c r="H2656" s="98" t="s">
        <v>220</v>
      </c>
      <c r="J2656" s="75">
        <f t="shared" si="293"/>
        <v>0</v>
      </c>
      <c r="K2656" s="76"/>
      <c r="Q2656" s="78" t="s">
        <v>2056</v>
      </c>
      <c r="R2656" s="75">
        <f t="shared" si="294"/>
        <v>0.3</v>
      </c>
      <c r="S2656" s="263" t="s">
        <v>1988</v>
      </c>
      <c r="T2656" s="263"/>
      <c r="AA2656" s="576">
        <f t="shared" si="290"/>
        <v>0</v>
      </c>
    </row>
    <row r="2657" spans="1:27" x14ac:dyDescent="0.35">
      <c r="A2657" s="81" t="s">
        <v>8117</v>
      </c>
      <c r="C2657" s="118">
        <v>43945</v>
      </c>
      <c r="D2657" s="118">
        <v>44021</v>
      </c>
      <c r="F2657" s="88" t="s">
        <v>6642</v>
      </c>
      <c r="G2657" s="88" t="s">
        <v>154</v>
      </c>
      <c r="H2657" s="98" t="s">
        <v>220</v>
      </c>
      <c r="J2657" s="75">
        <f t="shared" si="293"/>
        <v>0</v>
      </c>
      <c r="K2657" s="76"/>
      <c r="Q2657" s="78" t="s">
        <v>2056</v>
      </c>
      <c r="R2657" s="75">
        <f t="shared" si="294"/>
        <v>0.3</v>
      </c>
      <c r="S2657" s="263" t="s">
        <v>1988</v>
      </c>
      <c r="T2657" s="263"/>
      <c r="AA2657" s="576">
        <f t="shared" si="290"/>
        <v>0</v>
      </c>
    </row>
    <row r="2658" spans="1:27" x14ac:dyDescent="0.35">
      <c r="A2658" s="81" t="s">
        <v>7033</v>
      </c>
      <c r="C2658" s="118">
        <v>43949</v>
      </c>
      <c r="D2658" s="118">
        <v>44014</v>
      </c>
      <c r="F2658" s="88" t="s">
        <v>7096</v>
      </c>
      <c r="G2658" s="88" t="s">
        <v>1393</v>
      </c>
      <c r="H2658" s="98" t="s">
        <v>220</v>
      </c>
      <c r="J2658" s="75">
        <f t="shared" si="293"/>
        <v>0</v>
      </c>
      <c r="K2658" s="76"/>
      <c r="Q2658" s="78" t="s">
        <v>2097</v>
      </c>
      <c r="R2658" s="75">
        <f t="shared" si="294"/>
        <v>0.3</v>
      </c>
      <c r="S2658" s="263" t="s">
        <v>1988</v>
      </c>
      <c r="T2658" s="263"/>
      <c r="AA2658" s="576">
        <f t="shared" si="290"/>
        <v>0</v>
      </c>
    </row>
    <row r="2659" spans="1:27" x14ac:dyDescent="0.35">
      <c r="A2659" s="81" t="s">
        <v>7038</v>
      </c>
      <c r="C2659" s="118">
        <v>43949</v>
      </c>
      <c r="D2659" s="118">
        <v>44014</v>
      </c>
      <c r="F2659" s="88" t="s">
        <v>7101</v>
      </c>
      <c r="G2659" s="88" t="s">
        <v>4882</v>
      </c>
      <c r="H2659" s="98" t="s">
        <v>220</v>
      </c>
      <c r="J2659" s="75">
        <f t="shared" si="293"/>
        <v>0</v>
      </c>
      <c r="K2659" s="76"/>
      <c r="Q2659" s="78" t="s">
        <v>2097</v>
      </c>
      <c r="R2659" s="75">
        <f t="shared" si="294"/>
        <v>0.3</v>
      </c>
      <c r="S2659" s="263" t="s">
        <v>1988</v>
      </c>
      <c r="T2659" s="263"/>
      <c r="AA2659" s="576">
        <f t="shared" si="290"/>
        <v>0</v>
      </c>
    </row>
    <row r="2660" spans="1:27" x14ac:dyDescent="0.35">
      <c r="A2660" s="81" t="s">
        <v>7318</v>
      </c>
      <c r="C2660" s="118">
        <v>43956</v>
      </c>
      <c r="D2660" s="118">
        <v>44014</v>
      </c>
      <c r="F2660" s="88" t="s">
        <v>7439</v>
      </c>
      <c r="G2660" s="88" t="s">
        <v>162</v>
      </c>
      <c r="H2660" s="81" t="s">
        <v>275</v>
      </c>
      <c r="J2660" s="75">
        <f t="shared" si="293"/>
        <v>0</v>
      </c>
      <c r="K2660" s="76"/>
      <c r="Q2660" s="78" t="s">
        <v>2447</v>
      </c>
      <c r="R2660" s="75">
        <f t="shared" si="294"/>
        <v>0.3</v>
      </c>
      <c r="S2660" s="263" t="s">
        <v>1988</v>
      </c>
      <c r="T2660" s="263"/>
      <c r="AA2660" s="576">
        <f t="shared" si="290"/>
        <v>0</v>
      </c>
    </row>
    <row r="2661" spans="1:27" x14ac:dyDescent="0.35">
      <c r="A2661" s="81" t="s">
        <v>7849</v>
      </c>
      <c r="C2661" s="118">
        <v>43964</v>
      </c>
      <c r="D2661" s="118">
        <v>44019</v>
      </c>
      <c r="F2661" s="88" t="s">
        <v>7930</v>
      </c>
      <c r="G2661" s="88" t="s">
        <v>156</v>
      </c>
      <c r="H2661" s="98" t="s">
        <v>220</v>
      </c>
      <c r="J2661" s="75">
        <f t="shared" si="293"/>
        <v>0</v>
      </c>
      <c r="K2661" s="76"/>
      <c r="Q2661" s="78" t="s">
        <v>2097</v>
      </c>
      <c r="R2661" s="75">
        <f t="shared" si="294"/>
        <v>0.3</v>
      </c>
      <c r="S2661" s="263" t="s">
        <v>1988</v>
      </c>
      <c r="T2661" s="263"/>
      <c r="AA2661" s="576">
        <f t="shared" si="290"/>
        <v>0</v>
      </c>
    </row>
    <row r="2662" spans="1:27" x14ac:dyDescent="0.35">
      <c r="A2662" s="81" t="s">
        <v>8429</v>
      </c>
      <c r="C2662" s="118">
        <v>43970</v>
      </c>
      <c r="D2662" s="118">
        <v>44018</v>
      </c>
      <c r="F2662" s="88" t="s">
        <v>8172</v>
      </c>
      <c r="G2662" s="88" t="s">
        <v>152</v>
      </c>
      <c r="H2662" s="98" t="s">
        <v>220</v>
      </c>
      <c r="J2662" s="75">
        <f t="shared" si="293"/>
        <v>0</v>
      </c>
      <c r="K2662" s="76"/>
      <c r="Q2662" s="78" t="s">
        <v>2097</v>
      </c>
      <c r="R2662" s="75">
        <f t="shared" si="294"/>
        <v>0.3</v>
      </c>
      <c r="S2662" s="263" t="s">
        <v>1988</v>
      </c>
      <c r="T2662" s="263"/>
      <c r="AA2662" s="576">
        <f t="shared" si="290"/>
        <v>0</v>
      </c>
    </row>
    <row r="2663" spans="1:27" x14ac:dyDescent="0.35">
      <c r="A2663" s="81" t="s">
        <v>7852</v>
      </c>
      <c r="C2663" s="118">
        <v>43972</v>
      </c>
      <c r="D2663" s="318">
        <v>44012</v>
      </c>
      <c r="E2663" s="83">
        <v>44004</v>
      </c>
      <c r="F2663" s="88" t="s">
        <v>7933</v>
      </c>
      <c r="G2663" s="88" t="s">
        <v>156</v>
      </c>
      <c r="H2663" s="98" t="s">
        <v>220</v>
      </c>
      <c r="I2663" s="98" t="s">
        <v>649</v>
      </c>
      <c r="J2663" s="75">
        <f t="shared" si="293"/>
        <v>0.3</v>
      </c>
      <c r="K2663" s="76" t="s">
        <v>568</v>
      </c>
      <c r="L2663" s="99" t="s">
        <v>8569</v>
      </c>
      <c r="N2663" s="78" t="s">
        <v>18</v>
      </c>
      <c r="Q2663" s="78" t="s">
        <v>2163</v>
      </c>
      <c r="R2663" s="75">
        <f t="shared" si="294"/>
        <v>1</v>
      </c>
      <c r="S2663" s="263" t="s">
        <v>1991</v>
      </c>
      <c r="T2663" s="263" t="s">
        <v>934</v>
      </c>
      <c r="Y2663" s="576">
        <v>0.67126157407407405</v>
      </c>
      <c r="Z2663" s="576">
        <v>0.68313657407407413</v>
      </c>
      <c r="AA2663" s="576">
        <f t="shared" si="290"/>
        <v>1.187500000000008E-2</v>
      </c>
    </row>
    <row r="2664" spans="1:27" x14ac:dyDescent="0.35">
      <c r="A2664" s="81" t="s">
        <v>8430</v>
      </c>
      <c r="C2664" s="118">
        <v>43972</v>
      </c>
      <c r="D2664" s="318">
        <v>44012</v>
      </c>
      <c r="E2664" s="83">
        <v>44004</v>
      </c>
      <c r="F2664" s="88" t="s">
        <v>8499</v>
      </c>
      <c r="G2664" s="88" t="s">
        <v>162</v>
      </c>
      <c r="H2664" s="98" t="s">
        <v>220</v>
      </c>
      <c r="I2664" s="98" t="s">
        <v>722</v>
      </c>
      <c r="J2664" s="75">
        <f t="shared" si="293"/>
        <v>0.3</v>
      </c>
      <c r="K2664" s="76" t="s">
        <v>568</v>
      </c>
      <c r="L2664" s="99" t="s">
        <v>8568</v>
      </c>
      <c r="N2664" s="78" t="s">
        <v>17</v>
      </c>
      <c r="Q2664" s="78" t="s">
        <v>2447</v>
      </c>
      <c r="R2664" s="75">
        <f t="shared" si="294"/>
        <v>1</v>
      </c>
      <c r="S2664" s="263" t="s">
        <v>1991</v>
      </c>
      <c r="T2664" s="263" t="s">
        <v>933</v>
      </c>
      <c r="Y2664" s="576">
        <v>0.66289351851851852</v>
      </c>
      <c r="Z2664" s="576">
        <v>0.67097222222222219</v>
      </c>
      <c r="AA2664" s="576">
        <f t="shared" si="290"/>
        <v>8.0787037037036713E-3</v>
      </c>
    </row>
    <row r="2665" spans="1:27" x14ac:dyDescent="0.35">
      <c r="A2665" s="81" t="s">
        <v>8431</v>
      </c>
      <c r="C2665" s="118">
        <v>43972</v>
      </c>
      <c r="D2665" s="318">
        <v>44012</v>
      </c>
      <c r="E2665" s="83">
        <v>44004</v>
      </c>
      <c r="F2665" s="88" t="s">
        <v>8500</v>
      </c>
      <c r="G2665" s="88" t="s">
        <v>162</v>
      </c>
      <c r="H2665" s="98" t="s">
        <v>220</v>
      </c>
      <c r="I2665" s="98" t="s">
        <v>722</v>
      </c>
      <c r="J2665" s="75">
        <f t="shared" si="293"/>
        <v>0.3</v>
      </c>
      <c r="K2665" s="76" t="s">
        <v>568</v>
      </c>
      <c r="L2665" s="99" t="s">
        <v>8008</v>
      </c>
      <c r="N2665" s="78" t="s">
        <v>17</v>
      </c>
      <c r="Q2665" s="78" t="s">
        <v>2163</v>
      </c>
      <c r="R2665" s="75">
        <f t="shared" si="294"/>
        <v>1</v>
      </c>
      <c r="S2665" s="263" t="s">
        <v>1991</v>
      </c>
      <c r="T2665" s="263" t="s">
        <v>932</v>
      </c>
      <c r="Y2665" s="576">
        <v>0.68353009259259256</v>
      </c>
      <c r="Z2665" s="576">
        <v>0.69027777777777777</v>
      </c>
      <c r="AA2665" s="576">
        <f t="shared" si="290"/>
        <v>6.7476851851852038E-3</v>
      </c>
    </row>
    <row r="2666" spans="1:27" x14ac:dyDescent="0.35">
      <c r="A2666" s="81" t="s">
        <v>7662</v>
      </c>
      <c r="C2666" s="118">
        <v>43972</v>
      </c>
      <c r="D2666" s="118">
        <v>44011</v>
      </c>
      <c r="F2666" s="88" t="s">
        <v>7751</v>
      </c>
      <c r="G2666" s="88" t="s">
        <v>6928</v>
      </c>
      <c r="H2666" s="98" t="s">
        <v>220</v>
      </c>
      <c r="J2666" s="75">
        <f t="shared" si="293"/>
        <v>0</v>
      </c>
      <c r="K2666" s="76"/>
      <c r="Q2666" s="78" t="s">
        <v>2163</v>
      </c>
      <c r="R2666" s="75">
        <f t="shared" si="294"/>
        <v>0.3</v>
      </c>
      <c r="S2666" s="263" t="s">
        <v>1988</v>
      </c>
      <c r="T2666" s="263"/>
      <c r="AA2666" s="576">
        <f t="shared" si="290"/>
        <v>0</v>
      </c>
    </row>
    <row r="2667" spans="1:27" x14ac:dyDescent="0.35">
      <c r="A2667" s="81" t="s">
        <v>8432</v>
      </c>
      <c r="C2667" s="118">
        <v>43972</v>
      </c>
      <c r="D2667" s="318">
        <v>44012</v>
      </c>
      <c r="E2667" s="83">
        <v>44005</v>
      </c>
      <c r="F2667" s="88" t="s">
        <v>8501</v>
      </c>
      <c r="G2667" s="88" t="s">
        <v>152</v>
      </c>
      <c r="H2667" s="98" t="s">
        <v>220</v>
      </c>
      <c r="I2667" s="98" t="s">
        <v>722</v>
      </c>
      <c r="J2667" s="75">
        <f t="shared" si="293"/>
        <v>0.3</v>
      </c>
      <c r="K2667" s="76" t="s">
        <v>568</v>
      </c>
      <c r="L2667" s="99" t="s">
        <v>8570</v>
      </c>
      <c r="N2667" s="78" t="s">
        <v>17</v>
      </c>
      <c r="Q2667" s="78" t="s">
        <v>2130</v>
      </c>
      <c r="R2667" s="75">
        <f t="shared" si="294"/>
        <v>1</v>
      </c>
      <c r="S2667" s="263" t="s">
        <v>1991</v>
      </c>
      <c r="T2667" s="263" t="s">
        <v>932</v>
      </c>
      <c r="U2667" s="304" t="s">
        <v>5592</v>
      </c>
      <c r="V2667" s="304" t="s">
        <v>8571</v>
      </c>
      <c r="Y2667" s="576">
        <v>0.47288194444444448</v>
      </c>
      <c r="Z2667" s="576">
        <v>0.47987268518518517</v>
      </c>
      <c r="AA2667" s="576">
        <f t="shared" si="290"/>
        <v>6.9907407407406863E-3</v>
      </c>
    </row>
    <row r="2668" spans="1:27" x14ac:dyDescent="0.35">
      <c r="A2668" s="81" t="s">
        <v>7856</v>
      </c>
      <c r="C2668" s="118">
        <v>43972</v>
      </c>
      <c r="D2668" s="318">
        <v>44012</v>
      </c>
      <c r="E2668" s="83">
        <v>44005</v>
      </c>
      <c r="F2668" s="88" t="s">
        <v>7937</v>
      </c>
      <c r="G2668" s="88" t="s">
        <v>170</v>
      </c>
      <c r="H2668" s="98" t="s">
        <v>220</v>
      </c>
      <c r="I2668" s="98" t="s">
        <v>649</v>
      </c>
      <c r="J2668" s="75">
        <f t="shared" si="293"/>
        <v>0.3</v>
      </c>
      <c r="K2668" s="76" t="s">
        <v>568</v>
      </c>
      <c r="L2668" s="99" t="s">
        <v>8572</v>
      </c>
      <c r="N2668" s="78" t="s">
        <v>18</v>
      </c>
      <c r="Q2668" s="78" t="s">
        <v>2130</v>
      </c>
      <c r="R2668" s="75">
        <f t="shared" si="294"/>
        <v>1</v>
      </c>
      <c r="S2668" s="263" t="s">
        <v>1991</v>
      </c>
      <c r="T2668" s="263" t="s">
        <v>934</v>
      </c>
      <c r="U2668" s="304" t="s">
        <v>5592</v>
      </c>
      <c r="V2668" s="304" t="s">
        <v>8573</v>
      </c>
      <c r="Y2668" s="576">
        <v>0.50413194444444442</v>
      </c>
      <c r="Z2668" s="576">
        <v>0.52635416666666668</v>
      </c>
      <c r="AA2668" s="576">
        <f t="shared" si="290"/>
        <v>2.2222222222222254E-2</v>
      </c>
    </row>
    <row r="2669" spans="1:27" x14ac:dyDescent="0.35">
      <c r="A2669" s="81" t="s">
        <v>8031</v>
      </c>
      <c r="C2669" s="118">
        <v>43973</v>
      </c>
      <c r="D2669" s="318">
        <v>44014</v>
      </c>
      <c r="E2669" s="83">
        <v>44004</v>
      </c>
      <c r="F2669" s="88" t="s">
        <v>8035</v>
      </c>
      <c r="G2669" s="88" t="s">
        <v>156</v>
      </c>
      <c r="H2669" s="98" t="s">
        <v>220</v>
      </c>
      <c r="I2669" s="98" t="s">
        <v>652</v>
      </c>
      <c r="J2669" s="75">
        <f t="shared" si="293"/>
        <v>0.3</v>
      </c>
      <c r="K2669" s="76" t="s">
        <v>568</v>
      </c>
      <c r="L2669" s="99" t="s">
        <v>7572</v>
      </c>
      <c r="N2669" s="78" t="s">
        <v>18</v>
      </c>
      <c r="Q2669" s="78" t="s">
        <v>2447</v>
      </c>
      <c r="R2669" s="75">
        <f t="shared" si="294"/>
        <v>1</v>
      </c>
      <c r="S2669" s="263" t="s">
        <v>1991</v>
      </c>
      <c r="T2669" s="263" t="s">
        <v>932</v>
      </c>
      <c r="Y2669" s="576">
        <v>0.69094907407407413</v>
      </c>
      <c r="Z2669" s="576">
        <v>0.69828703703703709</v>
      </c>
      <c r="AA2669" s="576">
        <f t="shared" si="290"/>
        <v>7.3379629629629628E-3</v>
      </c>
    </row>
    <row r="2670" spans="1:27" x14ac:dyDescent="0.35">
      <c r="A2670" s="81" t="s">
        <v>7861</v>
      </c>
      <c r="C2670" s="118">
        <v>43973</v>
      </c>
      <c r="D2670" s="318">
        <v>44012</v>
      </c>
      <c r="E2670" s="83">
        <v>44005</v>
      </c>
      <c r="F2670" s="88" t="s">
        <v>7942</v>
      </c>
      <c r="G2670" s="88" t="s">
        <v>168</v>
      </c>
      <c r="H2670" s="98" t="s">
        <v>220</v>
      </c>
      <c r="I2670" s="98" t="s">
        <v>649</v>
      </c>
      <c r="J2670" s="75">
        <f t="shared" si="293"/>
        <v>0.3</v>
      </c>
      <c r="K2670" s="76" t="s">
        <v>568</v>
      </c>
      <c r="L2670" s="99" t="s">
        <v>7565</v>
      </c>
      <c r="N2670" s="78" t="s">
        <v>17</v>
      </c>
      <c r="Q2670" s="78" t="s">
        <v>2097</v>
      </c>
      <c r="R2670" s="75">
        <f t="shared" si="294"/>
        <v>1</v>
      </c>
      <c r="S2670" s="263" t="s">
        <v>1991</v>
      </c>
      <c r="T2670" s="263" t="s">
        <v>932</v>
      </c>
      <c r="Y2670" s="576">
        <v>0.52666666666666673</v>
      </c>
      <c r="Z2670" s="576">
        <v>0.53180555555555553</v>
      </c>
      <c r="AA2670" s="576">
        <f t="shared" si="290"/>
        <v>5.138888888888804E-3</v>
      </c>
    </row>
    <row r="2671" spans="1:27" x14ac:dyDescent="0.35">
      <c r="A2671" s="81" t="s">
        <v>7865</v>
      </c>
      <c r="C2671" s="118">
        <v>43973</v>
      </c>
      <c r="D2671" s="118">
        <v>44014</v>
      </c>
      <c r="F2671" s="88" t="s">
        <v>7946</v>
      </c>
      <c r="G2671" s="88" t="s">
        <v>162</v>
      </c>
      <c r="H2671" s="98" t="s">
        <v>220</v>
      </c>
      <c r="J2671" s="75">
        <f t="shared" si="293"/>
        <v>0</v>
      </c>
      <c r="K2671" s="76"/>
      <c r="Q2671" s="78" t="s">
        <v>2097</v>
      </c>
      <c r="R2671" s="75">
        <f t="shared" si="294"/>
        <v>0.3</v>
      </c>
      <c r="S2671" s="263" t="s">
        <v>1988</v>
      </c>
      <c r="T2671" s="263"/>
      <c r="AA2671" s="576">
        <f t="shared" si="290"/>
        <v>0</v>
      </c>
    </row>
    <row r="2672" spans="1:27" x14ac:dyDescent="0.35">
      <c r="A2672" s="81" t="s">
        <v>7867</v>
      </c>
      <c r="C2672" s="118">
        <v>43976</v>
      </c>
      <c r="D2672" s="318">
        <v>44014</v>
      </c>
      <c r="E2672" s="83">
        <v>44005</v>
      </c>
      <c r="F2672" s="88" t="s">
        <v>7948</v>
      </c>
      <c r="G2672" s="88" t="s">
        <v>170</v>
      </c>
      <c r="H2672" s="98" t="s">
        <v>220</v>
      </c>
      <c r="I2672" s="98" t="s">
        <v>722</v>
      </c>
      <c r="J2672" s="75">
        <f t="shared" si="293"/>
        <v>0.3</v>
      </c>
      <c r="K2672" s="76" t="s">
        <v>568</v>
      </c>
      <c r="L2672" s="99" t="s">
        <v>7526</v>
      </c>
      <c r="N2672" s="78" t="s">
        <v>17</v>
      </c>
      <c r="Q2672" s="78" t="s">
        <v>2163</v>
      </c>
      <c r="R2672" s="75">
        <f t="shared" si="294"/>
        <v>1</v>
      </c>
      <c r="S2672" s="263" t="s">
        <v>1991</v>
      </c>
      <c r="T2672" s="263" t="s">
        <v>932</v>
      </c>
      <c r="Y2672" s="576">
        <v>0.65709490740740739</v>
      </c>
      <c r="Z2672" s="576">
        <v>0.67847222222222225</v>
      </c>
      <c r="AA2672" s="576">
        <f t="shared" si="290"/>
        <v>2.1377314814814863E-2</v>
      </c>
    </row>
    <row r="2673" spans="1:27" x14ac:dyDescent="0.35">
      <c r="A2673" s="81" t="s">
        <v>7869</v>
      </c>
      <c r="C2673" s="118">
        <v>43976</v>
      </c>
      <c r="D2673" s="118">
        <v>44015</v>
      </c>
      <c r="F2673" s="88" t="s">
        <v>7950</v>
      </c>
      <c r="G2673" s="88" t="s">
        <v>191</v>
      </c>
      <c r="H2673" s="98" t="s">
        <v>220</v>
      </c>
      <c r="J2673" s="75">
        <f t="shared" si="293"/>
        <v>0</v>
      </c>
      <c r="K2673" s="76"/>
      <c r="Q2673" s="78" t="s">
        <v>2130</v>
      </c>
      <c r="R2673" s="75">
        <f t="shared" si="294"/>
        <v>0.3</v>
      </c>
      <c r="S2673" s="263" t="s">
        <v>1988</v>
      </c>
      <c r="T2673" s="263"/>
      <c r="AA2673" s="576">
        <f t="shared" si="290"/>
        <v>0</v>
      </c>
    </row>
    <row r="2674" spans="1:27" x14ac:dyDescent="0.35">
      <c r="A2674" s="81" t="s">
        <v>7870</v>
      </c>
      <c r="C2674" s="118">
        <v>43976</v>
      </c>
      <c r="D2674" s="118">
        <v>44014</v>
      </c>
      <c r="F2674" s="88" t="s">
        <v>7951</v>
      </c>
      <c r="G2674" s="88" t="s">
        <v>152</v>
      </c>
      <c r="H2674" s="98" t="s">
        <v>220</v>
      </c>
      <c r="J2674" s="75">
        <f t="shared" si="293"/>
        <v>0</v>
      </c>
      <c r="K2674" s="76"/>
      <c r="Q2674" s="78" t="s">
        <v>2163</v>
      </c>
      <c r="R2674" s="75">
        <f t="shared" si="294"/>
        <v>0.3</v>
      </c>
      <c r="S2674" s="263" t="s">
        <v>1988</v>
      </c>
      <c r="T2674" s="263"/>
      <c r="AA2674" s="576">
        <f t="shared" si="290"/>
        <v>0</v>
      </c>
    </row>
    <row r="2675" spans="1:27" x14ac:dyDescent="0.35">
      <c r="A2675" s="81" t="s">
        <v>7871</v>
      </c>
      <c r="C2675" s="118">
        <v>43976</v>
      </c>
      <c r="D2675" s="318">
        <v>44014</v>
      </c>
      <c r="F2675" s="88" t="s">
        <v>7952</v>
      </c>
      <c r="G2675" s="88" t="s">
        <v>195</v>
      </c>
      <c r="H2675" s="98" t="s">
        <v>220</v>
      </c>
      <c r="J2675" s="75">
        <f t="shared" si="293"/>
        <v>0</v>
      </c>
      <c r="K2675" s="76"/>
      <c r="Q2675" s="78" t="s">
        <v>2130</v>
      </c>
      <c r="R2675" s="75">
        <f t="shared" si="294"/>
        <v>0.3</v>
      </c>
      <c r="S2675" s="263" t="s">
        <v>1988</v>
      </c>
      <c r="T2675" s="263"/>
      <c r="AA2675" s="576">
        <f t="shared" si="290"/>
        <v>0</v>
      </c>
    </row>
    <row r="2676" spans="1:27" x14ac:dyDescent="0.35">
      <c r="A2676" s="81" t="s">
        <v>7872</v>
      </c>
      <c r="C2676" s="118">
        <v>43976</v>
      </c>
      <c r="D2676" s="318">
        <v>44014</v>
      </c>
      <c r="E2676" s="83">
        <v>44004</v>
      </c>
      <c r="F2676" s="88" t="s">
        <v>7953</v>
      </c>
      <c r="G2676" s="88" t="s">
        <v>179</v>
      </c>
      <c r="H2676" s="98" t="s">
        <v>220</v>
      </c>
      <c r="I2676" s="98" t="s">
        <v>722</v>
      </c>
      <c r="J2676" s="75">
        <f t="shared" si="293"/>
        <v>0.3</v>
      </c>
      <c r="K2676" s="76" t="s">
        <v>568</v>
      </c>
      <c r="L2676" s="99" t="s">
        <v>7804</v>
      </c>
      <c r="N2676" s="78" t="s">
        <v>17</v>
      </c>
      <c r="Q2676" s="78" t="s">
        <v>2447</v>
      </c>
      <c r="R2676" s="75">
        <f t="shared" si="294"/>
        <v>1</v>
      </c>
      <c r="S2676" s="263" t="s">
        <v>1991</v>
      </c>
      <c r="T2676" s="263" t="s">
        <v>933</v>
      </c>
      <c r="Y2676" s="576">
        <v>0.69862268518518522</v>
      </c>
      <c r="Z2676" s="576">
        <v>0.71881944444444434</v>
      </c>
      <c r="AA2676" s="576">
        <f t="shared" si="290"/>
        <v>2.0196759259259123E-2</v>
      </c>
    </row>
    <row r="2677" spans="1:27" x14ac:dyDescent="0.35">
      <c r="A2677" s="81" t="s">
        <v>7873</v>
      </c>
      <c r="C2677" s="118">
        <v>43976</v>
      </c>
      <c r="D2677" s="318">
        <v>44014</v>
      </c>
      <c r="E2677" s="83">
        <v>44005</v>
      </c>
      <c r="F2677" s="88" t="s">
        <v>7954</v>
      </c>
      <c r="G2677" s="88" t="s">
        <v>149</v>
      </c>
      <c r="H2677" s="98" t="s">
        <v>220</v>
      </c>
      <c r="I2677" s="98" t="s">
        <v>649</v>
      </c>
      <c r="J2677" s="75">
        <f t="shared" si="293"/>
        <v>0.3</v>
      </c>
      <c r="K2677" s="76" t="s">
        <v>568</v>
      </c>
      <c r="L2677" s="99" t="s">
        <v>7565</v>
      </c>
      <c r="N2677" s="78" t="s">
        <v>18</v>
      </c>
      <c r="Q2677" s="78" t="s">
        <v>2163</v>
      </c>
      <c r="R2677" s="75">
        <f t="shared" si="294"/>
        <v>1</v>
      </c>
      <c r="S2677" s="263" t="s">
        <v>1991</v>
      </c>
      <c r="T2677" s="263" t="s">
        <v>934</v>
      </c>
      <c r="Y2677" s="576">
        <v>0.69490740740740742</v>
      </c>
      <c r="Z2677" s="576">
        <v>0.69819444444444445</v>
      </c>
      <c r="AA2677" s="576">
        <f t="shared" si="290"/>
        <v>3.2870370370370328E-3</v>
      </c>
    </row>
    <row r="2678" spans="1:27" x14ac:dyDescent="0.35">
      <c r="A2678" s="81" t="s">
        <v>8433</v>
      </c>
      <c r="C2678" s="118">
        <v>43976</v>
      </c>
      <c r="D2678" s="118">
        <v>44015</v>
      </c>
      <c r="F2678" s="88" t="s">
        <v>8502</v>
      </c>
      <c r="G2678" s="88" t="s">
        <v>152</v>
      </c>
      <c r="H2678" s="98" t="s">
        <v>220</v>
      </c>
      <c r="J2678" s="75">
        <f t="shared" si="293"/>
        <v>0</v>
      </c>
      <c r="K2678" s="76"/>
      <c r="Q2678" s="78" t="s">
        <v>2447</v>
      </c>
      <c r="R2678" s="75">
        <f t="shared" si="294"/>
        <v>0.3</v>
      </c>
      <c r="S2678" s="263" t="s">
        <v>1988</v>
      </c>
      <c r="T2678" s="263"/>
      <c r="AA2678" s="576">
        <f t="shared" si="290"/>
        <v>0</v>
      </c>
    </row>
    <row r="2679" spans="1:27" x14ac:dyDescent="0.35">
      <c r="A2679" s="81" t="s">
        <v>7879</v>
      </c>
      <c r="C2679" s="118">
        <v>43976</v>
      </c>
      <c r="D2679" s="118">
        <v>44014</v>
      </c>
      <c r="F2679" s="88" t="s">
        <v>7960</v>
      </c>
      <c r="G2679" s="88" t="s">
        <v>154</v>
      </c>
      <c r="H2679" s="98" t="s">
        <v>220</v>
      </c>
      <c r="J2679" s="75">
        <f t="shared" si="293"/>
        <v>0</v>
      </c>
      <c r="K2679" s="76"/>
      <c r="Q2679" s="78" t="s">
        <v>2447</v>
      </c>
      <c r="R2679" s="75">
        <f t="shared" si="294"/>
        <v>0.3</v>
      </c>
      <c r="S2679" s="263" t="s">
        <v>1988</v>
      </c>
      <c r="T2679" s="263"/>
      <c r="AA2679" s="576">
        <f t="shared" si="290"/>
        <v>0</v>
      </c>
    </row>
    <row r="2680" spans="1:27" x14ac:dyDescent="0.35">
      <c r="A2680" s="81" t="s">
        <v>7881</v>
      </c>
      <c r="C2680" s="118">
        <v>43976</v>
      </c>
      <c r="D2680" s="118">
        <v>44014</v>
      </c>
      <c r="F2680" s="88" t="s">
        <v>7962</v>
      </c>
      <c r="G2680" s="88" t="s">
        <v>154</v>
      </c>
      <c r="H2680" s="98" t="s">
        <v>220</v>
      </c>
      <c r="J2680" s="75">
        <f t="shared" si="293"/>
        <v>0</v>
      </c>
      <c r="K2680" s="76"/>
      <c r="Q2680" s="78" t="s">
        <v>2130</v>
      </c>
      <c r="R2680" s="75">
        <f t="shared" si="294"/>
        <v>0.3</v>
      </c>
      <c r="S2680" s="263" t="s">
        <v>1988</v>
      </c>
      <c r="T2680" s="263"/>
      <c r="AA2680" s="576">
        <f t="shared" si="290"/>
        <v>0</v>
      </c>
    </row>
    <row r="2681" spans="1:27" x14ac:dyDescent="0.35">
      <c r="A2681" s="81" t="s">
        <v>7882</v>
      </c>
      <c r="C2681" s="118">
        <v>43976</v>
      </c>
      <c r="D2681" s="118">
        <v>44014</v>
      </c>
      <c r="F2681" s="88" t="s">
        <v>7963</v>
      </c>
      <c r="G2681" s="88" t="s">
        <v>158</v>
      </c>
      <c r="H2681" s="98" t="s">
        <v>220</v>
      </c>
      <c r="J2681" s="75">
        <f t="shared" si="293"/>
        <v>0</v>
      </c>
      <c r="K2681" s="76"/>
      <c r="Q2681" s="78" t="s">
        <v>2130</v>
      </c>
      <c r="R2681" s="75">
        <f t="shared" si="294"/>
        <v>0.3</v>
      </c>
      <c r="S2681" s="263" t="s">
        <v>1988</v>
      </c>
      <c r="T2681" s="263"/>
      <c r="AA2681" s="576">
        <f t="shared" si="290"/>
        <v>0</v>
      </c>
    </row>
    <row r="2682" spans="1:27" x14ac:dyDescent="0.35">
      <c r="A2682" s="81" t="s">
        <v>7883</v>
      </c>
      <c r="C2682" s="118">
        <v>43976</v>
      </c>
      <c r="D2682" s="118">
        <v>44015</v>
      </c>
      <c r="F2682" s="88" t="s">
        <v>7964</v>
      </c>
      <c r="G2682" s="88" t="s">
        <v>162</v>
      </c>
      <c r="H2682" s="98" t="s">
        <v>220</v>
      </c>
      <c r="J2682" s="75">
        <f t="shared" si="293"/>
        <v>0</v>
      </c>
      <c r="K2682" s="76"/>
      <c r="Q2682" s="78" t="s">
        <v>2097</v>
      </c>
      <c r="R2682" s="75">
        <f t="shared" si="294"/>
        <v>0.3</v>
      </c>
      <c r="S2682" s="263" t="s">
        <v>1988</v>
      </c>
      <c r="T2682" s="263"/>
      <c r="AA2682" s="576">
        <f t="shared" si="290"/>
        <v>0</v>
      </c>
    </row>
    <row r="2683" spans="1:27" x14ac:dyDescent="0.35">
      <c r="A2683" s="81" t="s">
        <v>7884</v>
      </c>
      <c r="C2683" s="118">
        <v>43976</v>
      </c>
      <c r="D2683" s="118">
        <v>44015</v>
      </c>
      <c r="F2683" s="88" t="s">
        <v>7965</v>
      </c>
      <c r="G2683" s="88" t="s">
        <v>162</v>
      </c>
      <c r="H2683" s="98" t="s">
        <v>220</v>
      </c>
      <c r="J2683" s="75">
        <f t="shared" si="293"/>
        <v>0</v>
      </c>
      <c r="K2683" s="76"/>
      <c r="Q2683" s="78" t="s">
        <v>2163</v>
      </c>
      <c r="R2683" s="75">
        <f t="shared" si="294"/>
        <v>0.3</v>
      </c>
      <c r="S2683" s="263" t="s">
        <v>1988</v>
      </c>
      <c r="T2683" s="263"/>
      <c r="AA2683" s="576">
        <f t="shared" si="290"/>
        <v>0</v>
      </c>
    </row>
    <row r="2684" spans="1:27" x14ac:dyDescent="0.35">
      <c r="A2684" s="81" t="s">
        <v>7886</v>
      </c>
      <c r="C2684" s="118">
        <v>43976</v>
      </c>
      <c r="D2684" s="118">
        <v>44014</v>
      </c>
      <c r="F2684" s="88" t="s">
        <v>7967</v>
      </c>
      <c r="G2684" s="88" t="s">
        <v>162</v>
      </c>
      <c r="H2684" s="98" t="s">
        <v>220</v>
      </c>
      <c r="J2684" s="75">
        <f t="shared" si="293"/>
        <v>0</v>
      </c>
      <c r="K2684" s="76"/>
      <c r="Q2684" s="78" t="s">
        <v>2130</v>
      </c>
      <c r="R2684" s="75">
        <f t="shared" si="294"/>
        <v>0.3</v>
      </c>
      <c r="S2684" s="263" t="s">
        <v>1988</v>
      </c>
      <c r="T2684" s="263"/>
      <c r="AA2684" s="576">
        <f t="shared" si="290"/>
        <v>0</v>
      </c>
    </row>
    <row r="2685" spans="1:27" x14ac:dyDescent="0.35">
      <c r="A2685" s="81" t="s">
        <v>7887</v>
      </c>
      <c r="C2685" s="118">
        <v>43976</v>
      </c>
      <c r="D2685" s="118">
        <v>44014</v>
      </c>
      <c r="F2685" s="88" t="s">
        <v>7968</v>
      </c>
      <c r="G2685" s="88" t="s">
        <v>168</v>
      </c>
      <c r="H2685" s="98" t="s">
        <v>220</v>
      </c>
      <c r="J2685" s="75">
        <f t="shared" si="293"/>
        <v>0</v>
      </c>
      <c r="K2685" s="76"/>
      <c r="Q2685" s="78" t="s">
        <v>2163</v>
      </c>
      <c r="R2685" s="75">
        <f t="shared" si="294"/>
        <v>0.3</v>
      </c>
      <c r="S2685" s="263" t="s">
        <v>1988</v>
      </c>
      <c r="T2685" s="263"/>
      <c r="AA2685" s="576">
        <f t="shared" si="290"/>
        <v>0</v>
      </c>
    </row>
    <row r="2686" spans="1:27" x14ac:dyDescent="0.35">
      <c r="A2686" s="81" t="s">
        <v>8434</v>
      </c>
      <c r="C2686" s="118">
        <v>43977</v>
      </c>
      <c r="D2686" s="118">
        <v>44015</v>
      </c>
      <c r="F2686" s="88" t="s">
        <v>8503</v>
      </c>
      <c r="G2686" s="88" t="s">
        <v>168</v>
      </c>
      <c r="H2686" s="98" t="s">
        <v>220</v>
      </c>
      <c r="J2686" s="75">
        <f t="shared" si="293"/>
        <v>0</v>
      </c>
      <c r="K2686" s="76"/>
      <c r="Q2686" s="78" t="s">
        <v>2447</v>
      </c>
      <c r="R2686" s="75">
        <f t="shared" si="294"/>
        <v>0.3</v>
      </c>
      <c r="S2686" s="263" t="s">
        <v>1988</v>
      </c>
      <c r="T2686" s="263"/>
      <c r="AA2686" s="576">
        <f t="shared" si="290"/>
        <v>0</v>
      </c>
    </row>
    <row r="2687" spans="1:27" x14ac:dyDescent="0.35">
      <c r="A2687" s="81" t="s">
        <v>7892</v>
      </c>
      <c r="C2687" s="118">
        <v>43977</v>
      </c>
      <c r="D2687" s="118">
        <v>44015</v>
      </c>
      <c r="F2687" s="88" t="s">
        <v>7973</v>
      </c>
      <c r="G2687" s="88" t="s">
        <v>152</v>
      </c>
      <c r="H2687" s="98" t="s">
        <v>220</v>
      </c>
      <c r="J2687" s="75">
        <f t="shared" si="293"/>
        <v>0</v>
      </c>
      <c r="K2687" s="76"/>
      <c r="Q2687" s="78" t="s">
        <v>2447</v>
      </c>
      <c r="R2687" s="75">
        <f t="shared" si="294"/>
        <v>0.3</v>
      </c>
      <c r="S2687" s="263" t="s">
        <v>1988</v>
      </c>
      <c r="T2687" s="263"/>
      <c r="AA2687" s="576">
        <f t="shared" si="290"/>
        <v>0</v>
      </c>
    </row>
    <row r="2688" spans="1:27" x14ac:dyDescent="0.35">
      <c r="A2688" s="81" t="s">
        <v>7894</v>
      </c>
      <c r="C2688" s="118">
        <v>43977</v>
      </c>
      <c r="D2688" s="118">
        <v>44015</v>
      </c>
      <c r="F2688" s="88" t="s">
        <v>7975</v>
      </c>
      <c r="G2688" s="88" t="s">
        <v>186</v>
      </c>
      <c r="H2688" s="98" t="s">
        <v>220</v>
      </c>
      <c r="J2688" s="75">
        <f t="shared" si="293"/>
        <v>0</v>
      </c>
      <c r="K2688" s="76"/>
      <c r="Q2688" s="78" t="s">
        <v>2163</v>
      </c>
      <c r="R2688" s="75">
        <f t="shared" si="294"/>
        <v>0.3</v>
      </c>
      <c r="S2688" s="263" t="s">
        <v>1988</v>
      </c>
      <c r="T2688" s="263"/>
      <c r="AA2688" s="576">
        <f t="shared" ref="AA2688:AA2747" si="295">Z2688-Y2688</f>
        <v>0</v>
      </c>
    </row>
    <row r="2689" spans="1:27" x14ac:dyDescent="0.35">
      <c r="A2689" s="81" t="s">
        <v>7896</v>
      </c>
      <c r="C2689" s="118">
        <v>43977</v>
      </c>
      <c r="D2689" s="118">
        <v>44015</v>
      </c>
      <c r="F2689" s="88" t="s">
        <v>7977</v>
      </c>
      <c r="G2689" s="88" t="s">
        <v>154</v>
      </c>
      <c r="H2689" s="98" t="s">
        <v>220</v>
      </c>
      <c r="J2689" s="75">
        <f t="shared" si="293"/>
        <v>0</v>
      </c>
      <c r="K2689" s="76"/>
      <c r="Q2689" s="78" t="s">
        <v>2130</v>
      </c>
      <c r="R2689" s="75">
        <f t="shared" si="294"/>
        <v>0.3</v>
      </c>
      <c r="S2689" s="263" t="s">
        <v>1988</v>
      </c>
      <c r="T2689" s="263"/>
      <c r="AA2689" s="576">
        <f t="shared" si="295"/>
        <v>0</v>
      </c>
    </row>
    <row r="2690" spans="1:27" x14ac:dyDescent="0.35">
      <c r="A2690" s="81" t="s">
        <v>7898</v>
      </c>
      <c r="C2690" s="118">
        <v>43977</v>
      </c>
      <c r="D2690" s="118">
        <v>44015</v>
      </c>
      <c r="F2690" s="88" t="s">
        <v>7979</v>
      </c>
      <c r="G2690" s="88" t="s">
        <v>154</v>
      </c>
      <c r="H2690" s="98" t="s">
        <v>220</v>
      </c>
      <c r="J2690" s="75">
        <f t="shared" si="293"/>
        <v>0</v>
      </c>
      <c r="K2690" s="76"/>
      <c r="Q2690" s="78" t="s">
        <v>2097</v>
      </c>
      <c r="R2690" s="75">
        <f t="shared" si="294"/>
        <v>0.3</v>
      </c>
      <c r="S2690" s="263" t="s">
        <v>1988</v>
      </c>
      <c r="T2690" s="263"/>
      <c r="AA2690" s="576">
        <f t="shared" si="295"/>
        <v>0</v>
      </c>
    </row>
    <row r="2691" spans="1:27" x14ac:dyDescent="0.35">
      <c r="A2691" s="81" t="s">
        <v>7899</v>
      </c>
      <c r="C2691" s="118">
        <v>43977</v>
      </c>
      <c r="D2691" s="118">
        <v>44032</v>
      </c>
      <c r="F2691" s="88" t="s">
        <v>3500</v>
      </c>
      <c r="G2691" s="88" t="s">
        <v>160</v>
      </c>
      <c r="H2691" s="98" t="s">
        <v>220</v>
      </c>
      <c r="J2691" s="75">
        <f t="shared" si="293"/>
        <v>0</v>
      </c>
      <c r="K2691" s="76"/>
      <c r="Q2691" s="78" t="s">
        <v>2056</v>
      </c>
      <c r="R2691" s="75">
        <f t="shared" si="294"/>
        <v>0.3</v>
      </c>
      <c r="S2691" s="263" t="s">
        <v>1988</v>
      </c>
      <c r="T2691" s="263"/>
      <c r="AA2691" s="576">
        <f t="shared" si="295"/>
        <v>0</v>
      </c>
    </row>
    <row r="2692" spans="1:27" x14ac:dyDescent="0.35">
      <c r="A2692" s="81" t="s">
        <v>7900</v>
      </c>
      <c r="C2692" s="118">
        <v>43977</v>
      </c>
      <c r="D2692" s="118">
        <v>44018</v>
      </c>
      <c r="F2692" s="88" t="s">
        <v>7980</v>
      </c>
      <c r="G2692" s="88" t="s">
        <v>152</v>
      </c>
      <c r="H2692" s="98" t="s">
        <v>220</v>
      </c>
      <c r="J2692" s="75">
        <f t="shared" si="293"/>
        <v>0</v>
      </c>
      <c r="K2692" s="76"/>
      <c r="Q2692" s="78" t="s">
        <v>2130</v>
      </c>
      <c r="R2692" s="75">
        <f t="shared" si="294"/>
        <v>0.3</v>
      </c>
      <c r="S2692" s="263" t="s">
        <v>1988</v>
      </c>
      <c r="T2692" s="263"/>
      <c r="AA2692" s="576">
        <f t="shared" si="295"/>
        <v>0</v>
      </c>
    </row>
    <row r="2693" spans="1:27" x14ac:dyDescent="0.35">
      <c r="A2693" s="81" t="s">
        <v>7903</v>
      </c>
      <c r="C2693" s="118">
        <v>43978</v>
      </c>
      <c r="D2693" s="118">
        <v>44018</v>
      </c>
      <c r="F2693" s="88" t="s">
        <v>7983</v>
      </c>
      <c r="G2693" s="88" t="s">
        <v>152</v>
      </c>
      <c r="H2693" s="98" t="s">
        <v>220</v>
      </c>
      <c r="J2693" s="75">
        <f t="shared" si="293"/>
        <v>0</v>
      </c>
      <c r="K2693" s="76"/>
      <c r="Q2693" s="78" t="s">
        <v>2130</v>
      </c>
      <c r="R2693" s="75">
        <f t="shared" si="294"/>
        <v>0.3</v>
      </c>
      <c r="S2693" s="263" t="s">
        <v>1988</v>
      </c>
      <c r="T2693" s="263"/>
      <c r="AA2693" s="576">
        <f t="shared" si="295"/>
        <v>0</v>
      </c>
    </row>
    <row r="2694" spans="1:27" x14ac:dyDescent="0.35">
      <c r="A2694" s="81" t="s">
        <v>7904</v>
      </c>
      <c r="C2694" s="118">
        <v>43978</v>
      </c>
      <c r="D2694" s="118">
        <v>44032</v>
      </c>
      <c r="F2694" s="88" t="s">
        <v>7984</v>
      </c>
      <c r="G2694" s="88" t="s">
        <v>7204</v>
      </c>
      <c r="H2694" s="98" t="s">
        <v>220</v>
      </c>
      <c r="J2694" s="75">
        <f t="shared" si="293"/>
        <v>0</v>
      </c>
      <c r="K2694" s="76"/>
      <c r="Q2694" s="78" t="s">
        <v>2056</v>
      </c>
      <c r="R2694" s="75">
        <f t="shared" si="294"/>
        <v>0.3</v>
      </c>
      <c r="S2694" s="263" t="s">
        <v>1988</v>
      </c>
      <c r="T2694" s="263"/>
      <c r="AA2694" s="576">
        <f t="shared" si="295"/>
        <v>0</v>
      </c>
    </row>
    <row r="2695" spans="1:27" x14ac:dyDescent="0.35">
      <c r="A2695" s="81" t="s">
        <v>7905</v>
      </c>
      <c r="C2695" s="118">
        <v>43978</v>
      </c>
      <c r="D2695" s="118">
        <v>44018</v>
      </c>
      <c r="F2695" s="88" t="s">
        <v>7985</v>
      </c>
      <c r="G2695" s="88" t="s">
        <v>156</v>
      </c>
      <c r="H2695" s="98" t="s">
        <v>220</v>
      </c>
      <c r="J2695" s="75">
        <f t="shared" si="293"/>
        <v>0</v>
      </c>
      <c r="K2695" s="76"/>
      <c r="Q2695" s="78" t="s">
        <v>2163</v>
      </c>
      <c r="R2695" s="75">
        <f t="shared" si="294"/>
        <v>0.3</v>
      </c>
      <c r="S2695" s="263" t="s">
        <v>1988</v>
      </c>
      <c r="T2695" s="263"/>
      <c r="AA2695" s="576">
        <f t="shared" si="295"/>
        <v>0</v>
      </c>
    </row>
    <row r="2696" spans="1:27" x14ac:dyDescent="0.35">
      <c r="A2696" s="81" t="s">
        <v>7906</v>
      </c>
      <c r="C2696" s="118">
        <v>43978</v>
      </c>
      <c r="D2696" s="118">
        <v>44018</v>
      </c>
      <c r="F2696" s="88" t="s">
        <v>7986</v>
      </c>
      <c r="G2696" s="88" t="s">
        <v>152</v>
      </c>
      <c r="H2696" s="98" t="s">
        <v>220</v>
      </c>
      <c r="J2696" s="75">
        <f t="shared" si="293"/>
        <v>0</v>
      </c>
      <c r="K2696" s="76"/>
      <c r="Q2696" s="78" t="s">
        <v>2097</v>
      </c>
      <c r="R2696" s="75">
        <f t="shared" si="294"/>
        <v>0.3</v>
      </c>
      <c r="S2696" s="263" t="s">
        <v>1988</v>
      </c>
      <c r="T2696" s="263"/>
      <c r="AA2696" s="576">
        <f t="shared" si="295"/>
        <v>0</v>
      </c>
    </row>
    <row r="2697" spans="1:27" x14ac:dyDescent="0.35">
      <c r="A2697" s="81" t="s">
        <v>7907</v>
      </c>
      <c r="C2697" s="118">
        <v>43978</v>
      </c>
      <c r="D2697" s="118">
        <v>44018</v>
      </c>
      <c r="F2697" s="88" t="s">
        <v>7987</v>
      </c>
      <c r="G2697" s="88" t="s">
        <v>741</v>
      </c>
      <c r="H2697" s="98" t="s">
        <v>220</v>
      </c>
      <c r="J2697" s="75">
        <f t="shared" si="293"/>
        <v>0</v>
      </c>
      <c r="K2697" s="76"/>
      <c r="Q2697" s="78" t="s">
        <v>2163</v>
      </c>
      <c r="R2697" s="75">
        <f t="shared" si="294"/>
        <v>0.3</v>
      </c>
      <c r="S2697" s="263" t="s">
        <v>1988</v>
      </c>
      <c r="T2697" s="263"/>
      <c r="AA2697" s="576">
        <f t="shared" si="295"/>
        <v>0</v>
      </c>
    </row>
    <row r="2698" spans="1:27" x14ac:dyDescent="0.35">
      <c r="A2698" s="81" t="s">
        <v>7912</v>
      </c>
      <c r="C2698" s="118">
        <v>43978</v>
      </c>
      <c r="D2698" s="118">
        <v>44018</v>
      </c>
      <c r="F2698" s="88" t="s">
        <v>7991</v>
      </c>
      <c r="G2698" s="88" t="s">
        <v>162</v>
      </c>
      <c r="H2698" s="98" t="s">
        <v>220</v>
      </c>
      <c r="J2698" s="75">
        <f t="shared" si="293"/>
        <v>0</v>
      </c>
      <c r="K2698" s="76"/>
      <c r="Q2698" s="78" t="s">
        <v>2447</v>
      </c>
      <c r="R2698" s="75">
        <f t="shared" si="294"/>
        <v>0.3</v>
      </c>
      <c r="S2698" s="263" t="s">
        <v>1988</v>
      </c>
      <c r="T2698" s="263"/>
      <c r="AA2698" s="576">
        <f t="shared" si="295"/>
        <v>0</v>
      </c>
    </row>
    <row r="2699" spans="1:27" x14ac:dyDescent="0.35">
      <c r="A2699" s="81" t="s">
        <v>7913</v>
      </c>
      <c r="C2699" s="118">
        <v>43979</v>
      </c>
      <c r="D2699" s="118">
        <v>44019</v>
      </c>
      <c r="F2699" s="88" t="s">
        <v>7992</v>
      </c>
      <c r="G2699" s="88" t="s">
        <v>7993</v>
      </c>
      <c r="H2699" s="98" t="s">
        <v>220</v>
      </c>
      <c r="J2699" s="75">
        <f t="shared" si="293"/>
        <v>0</v>
      </c>
      <c r="K2699" s="76"/>
      <c r="Q2699" s="78" t="s">
        <v>2097</v>
      </c>
      <c r="R2699" s="75">
        <f t="shared" si="294"/>
        <v>0.3</v>
      </c>
      <c r="S2699" s="263" t="s">
        <v>1988</v>
      </c>
      <c r="T2699" s="263"/>
      <c r="AA2699" s="576">
        <f t="shared" si="295"/>
        <v>0</v>
      </c>
    </row>
    <row r="2700" spans="1:27" x14ac:dyDescent="0.35">
      <c r="A2700" s="81" t="s">
        <v>7914</v>
      </c>
      <c r="C2700" s="118">
        <v>43979</v>
      </c>
      <c r="D2700" s="118">
        <v>44019</v>
      </c>
      <c r="F2700" s="88" t="s">
        <v>7994</v>
      </c>
      <c r="G2700" s="88" t="s">
        <v>152</v>
      </c>
      <c r="H2700" s="98" t="s">
        <v>220</v>
      </c>
      <c r="J2700" s="75">
        <f t="shared" si="293"/>
        <v>0</v>
      </c>
      <c r="K2700" s="76"/>
      <c r="Q2700" s="78" t="s">
        <v>2447</v>
      </c>
      <c r="R2700" s="75">
        <f t="shared" si="294"/>
        <v>0.3</v>
      </c>
      <c r="S2700" s="263" t="s">
        <v>1988</v>
      </c>
      <c r="T2700" s="263"/>
      <c r="AA2700" s="576">
        <f t="shared" si="295"/>
        <v>0</v>
      </c>
    </row>
    <row r="2701" spans="1:27" x14ac:dyDescent="0.35">
      <c r="A2701" s="81" t="s">
        <v>7916</v>
      </c>
      <c r="C2701" s="118">
        <v>43978</v>
      </c>
      <c r="D2701" s="118">
        <v>44019</v>
      </c>
      <c r="F2701" s="88" t="s">
        <v>7996</v>
      </c>
      <c r="G2701" s="88" t="s">
        <v>156</v>
      </c>
      <c r="H2701" s="81" t="s">
        <v>275</v>
      </c>
      <c r="J2701" s="75">
        <f t="shared" si="293"/>
        <v>0</v>
      </c>
      <c r="K2701" s="76"/>
      <c r="Q2701" s="78" t="s">
        <v>2130</v>
      </c>
      <c r="R2701" s="75">
        <f t="shared" si="294"/>
        <v>0.3</v>
      </c>
      <c r="S2701" s="263" t="s">
        <v>1988</v>
      </c>
      <c r="T2701" s="263"/>
      <c r="AA2701" s="576">
        <f t="shared" si="295"/>
        <v>0</v>
      </c>
    </row>
    <row r="2702" spans="1:27" x14ac:dyDescent="0.35">
      <c r="A2702" s="81" t="s">
        <v>8126</v>
      </c>
      <c r="C2702" s="118">
        <v>43979</v>
      </c>
      <c r="D2702" s="118">
        <v>44020</v>
      </c>
      <c r="F2702" s="88" t="s">
        <v>8175</v>
      </c>
      <c r="G2702" s="88" t="s">
        <v>162</v>
      </c>
      <c r="H2702" s="98" t="s">
        <v>220</v>
      </c>
      <c r="J2702" s="75">
        <f t="shared" si="293"/>
        <v>0</v>
      </c>
      <c r="K2702" s="76"/>
      <c r="Q2702" s="78" t="s">
        <v>2097</v>
      </c>
      <c r="R2702" s="75">
        <f t="shared" si="294"/>
        <v>0.3</v>
      </c>
      <c r="S2702" s="263" t="s">
        <v>1988</v>
      </c>
      <c r="T2702" s="263"/>
      <c r="AA2702" s="576">
        <f t="shared" si="295"/>
        <v>0</v>
      </c>
    </row>
    <row r="2703" spans="1:27" x14ac:dyDescent="0.35">
      <c r="A2703" s="81" t="s">
        <v>7917</v>
      </c>
      <c r="C2703" s="118">
        <v>43979</v>
      </c>
      <c r="D2703" s="118">
        <v>44019</v>
      </c>
      <c r="F2703" s="88" t="s">
        <v>7997</v>
      </c>
      <c r="G2703" s="88" t="s">
        <v>152</v>
      </c>
      <c r="H2703" s="98" t="s">
        <v>220</v>
      </c>
      <c r="J2703" s="75">
        <f t="shared" si="293"/>
        <v>0</v>
      </c>
      <c r="K2703" s="76"/>
      <c r="Q2703" s="78" t="s">
        <v>2163</v>
      </c>
      <c r="R2703" s="75">
        <f t="shared" si="294"/>
        <v>0.3</v>
      </c>
      <c r="S2703" s="263" t="s">
        <v>1988</v>
      </c>
      <c r="T2703" s="263"/>
      <c r="AA2703" s="576">
        <f t="shared" si="295"/>
        <v>0</v>
      </c>
    </row>
    <row r="2704" spans="1:27" x14ac:dyDescent="0.35">
      <c r="A2704" s="81" t="s">
        <v>8127</v>
      </c>
      <c r="C2704" s="118">
        <v>43979</v>
      </c>
      <c r="D2704" s="118">
        <v>44020</v>
      </c>
      <c r="F2704" s="88" t="s">
        <v>8176</v>
      </c>
      <c r="G2704" s="88" t="s">
        <v>158</v>
      </c>
      <c r="H2704" s="98" t="s">
        <v>220</v>
      </c>
      <c r="J2704" s="75">
        <f t="shared" si="293"/>
        <v>0</v>
      </c>
      <c r="K2704" s="76"/>
      <c r="Q2704" s="78" t="s">
        <v>2163</v>
      </c>
      <c r="R2704" s="75">
        <f t="shared" si="294"/>
        <v>0.3</v>
      </c>
      <c r="S2704" s="263" t="s">
        <v>1988</v>
      </c>
      <c r="T2704" s="263"/>
      <c r="AA2704" s="576">
        <f t="shared" si="295"/>
        <v>0</v>
      </c>
    </row>
    <row r="2705" spans="1:27" x14ac:dyDescent="0.35">
      <c r="A2705" s="81" t="s">
        <v>7918</v>
      </c>
      <c r="C2705" s="118">
        <v>43979</v>
      </c>
      <c r="D2705" s="118">
        <v>44019</v>
      </c>
      <c r="F2705" s="88" t="s">
        <v>7998</v>
      </c>
      <c r="G2705" s="88" t="s">
        <v>152</v>
      </c>
      <c r="H2705" s="98" t="s">
        <v>220</v>
      </c>
      <c r="J2705" s="75">
        <f t="shared" si="293"/>
        <v>0</v>
      </c>
      <c r="K2705" s="76"/>
      <c r="Q2705" s="78" t="s">
        <v>2097</v>
      </c>
      <c r="R2705" s="75">
        <f t="shared" si="294"/>
        <v>0.3</v>
      </c>
      <c r="S2705" s="263" t="s">
        <v>1988</v>
      </c>
      <c r="T2705" s="263"/>
      <c r="AA2705" s="576">
        <f t="shared" si="295"/>
        <v>0</v>
      </c>
    </row>
    <row r="2706" spans="1:27" x14ac:dyDescent="0.35">
      <c r="A2706" s="81" t="s">
        <v>8128</v>
      </c>
      <c r="C2706" s="118">
        <v>43979</v>
      </c>
      <c r="D2706" s="118">
        <v>44020</v>
      </c>
      <c r="F2706" s="88" t="s">
        <v>8177</v>
      </c>
      <c r="G2706" s="88" t="s">
        <v>152</v>
      </c>
      <c r="H2706" s="98" t="s">
        <v>220</v>
      </c>
      <c r="J2706" s="75">
        <f t="shared" si="293"/>
        <v>0</v>
      </c>
      <c r="K2706" s="76"/>
      <c r="Q2706" s="78" t="s">
        <v>2130</v>
      </c>
      <c r="R2706" s="75">
        <f t="shared" si="294"/>
        <v>0.3</v>
      </c>
      <c r="S2706" s="263" t="s">
        <v>1988</v>
      </c>
      <c r="T2706" s="263"/>
      <c r="AA2706" s="576">
        <f t="shared" si="295"/>
        <v>0</v>
      </c>
    </row>
    <row r="2707" spans="1:27" x14ac:dyDescent="0.35">
      <c r="A2707" s="81" t="s">
        <v>8131</v>
      </c>
      <c r="C2707" s="118">
        <v>43979</v>
      </c>
      <c r="D2707" s="118">
        <v>44020</v>
      </c>
      <c r="F2707" s="88" t="s">
        <v>8180</v>
      </c>
      <c r="G2707" s="88" t="s">
        <v>7204</v>
      </c>
      <c r="H2707" s="98" t="s">
        <v>220</v>
      </c>
      <c r="J2707" s="75">
        <f t="shared" si="293"/>
        <v>0</v>
      </c>
      <c r="K2707" s="76"/>
      <c r="Q2707" s="78" t="s">
        <v>2097</v>
      </c>
      <c r="R2707" s="75">
        <f t="shared" si="294"/>
        <v>0.3</v>
      </c>
      <c r="S2707" s="263" t="s">
        <v>1988</v>
      </c>
      <c r="T2707" s="263"/>
      <c r="AA2707" s="576">
        <f t="shared" si="295"/>
        <v>0</v>
      </c>
    </row>
    <row r="2708" spans="1:27" x14ac:dyDescent="0.35">
      <c r="A2708" s="81" t="s">
        <v>7920</v>
      </c>
      <c r="C2708" s="118">
        <v>43979</v>
      </c>
      <c r="D2708" s="118">
        <v>44019</v>
      </c>
      <c r="F2708" s="88" t="s">
        <v>8000</v>
      </c>
      <c r="G2708" s="88" t="s">
        <v>158</v>
      </c>
      <c r="H2708" s="98" t="s">
        <v>220</v>
      </c>
      <c r="J2708" s="75">
        <f t="shared" si="293"/>
        <v>0</v>
      </c>
      <c r="K2708" s="76"/>
      <c r="Q2708" s="78" t="s">
        <v>2130</v>
      </c>
      <c r="R2708" s="75">
        <f t="shared" si="294"/>
        <v>0.3</v>
      </c>
      <c r="S2708" s="263" t="s">
        <v>1988</v>
      </c>
      <c r="T2708" s="263"/>
      <c r="AA2708" s="576">
        <f t="shared" si="295"/>
        <v>0</v>
      </c>
    </row>
    <row r="2709" spans="1:27" x14ac:dyDescent="0.35">
      <c r="A2709" s="81" t="s">
        <v>8132</v>
      </c>
      <c r="C2709" s="118">
        <v>43979</v>
      </c>
      <c r="D2709" s="118">
        <v>44020</v>
      </c>
      <c r="F2709" s="88" t="s">
        <v>8181</v>
      </c>
      <c r="G2709" s="88" t="s">
        <v>158</v>
      </c>
      <c r="H2709" s="98" t="s">
        <v>220</v>
      </c>
      <c r="J2709" s="75">
        <f t="shared" si="293"/>
        <v>0</v>
      </c>
      <c r="K2709" s="76"/>
      <c r="Q2709" s="78" t="s">
        <v>2130</v>
      </c>
      <c r="R2709" s="75">
        <f t="shared" si="294"/>
        <v>0.3</v>
      </c>
      <c r="S2709" s="263" t="s">
        <v>1988</v>
      </c>
      <c r="T2709" s="263"/>
      <c r="AA2709" s="576">
        <f t="shared" si="295"/>
        <v>0</v>
      </c>
    </row>
    <row r="2710" spans="1:27" x14ac:dyDescent="0.35">
      <c r="A2710" s="81" t="s">
        <v>8133</v>
      </c>
      <c r="C2710" s="118">
        <v>43979</v>
      </c>
      <c r="D2710" s="118">
        <v>44020</v>
      </c>
      <c r="F2710" s="88" t="s">
        <v>8182</v>
      </c>
      <c r="G2710" s="88" t="s">
        <v>154</v>
      </c>
      <c r="H2710" s="98" t="s">
        <v>220</v>
      </c>
      <c r="J2710" s="75">
        <f t="shared" si="293"/>
        <v>0</v>
      </c>
      <c r="K2710" s="76"/>
      <c r="Q2710" s="78" t="s">
        <v>2056</v>
      </c>
      <c r="R2710" s="75">
        <f t="shared" si="294"/>
        <v>0.3</v>
      </c>
      <c r="S2710" s="263" t="s">
        <v>1988</v>
      </c>
      <c r="T2710" s="263"/>
      <c r="AA2710" s="576">
        <f t="shared" si="295"/>
        <v>0</v>
      </c>
    </row>
    <row r="2711" spans="1:27" x14ac:dyDescent="0.35">
      <c r="A2711" s="81" t="s">
        <v>8134</v>
      </c>
      <c r="C2711" s="118">
        <v>43979</v>
      </c>
      <c r="D2711" s="118">
        <v>44020</v>
      </c>
      <c r="F2711" s="88" t="s">
        <v>8183</v>
      </c>
      <c r="G2711" s="88" t="s">
        <v>2766</v>
      </c>
      <c r="H2711" s="98" t="s">
        <v>220</v>
      </c>
      <c r="J2711" s="75">
        <f t="shared" si="293"/>
        <v>0</v>
      </c>
      <c r="K2711" s="76"/>
      <c r="Q2711" s="78" t="s">
        <v>2130</v>
      </c>
      <c r="R2711" s="75">
        <f t="shared" si="294"/>
        <v>0.3</v>
      </c>
      <c r="S2711" s="263" t="s">
        <v>1988</v>
      </c>
      <c r="T2711" s="263"/>
      <c r="AA2711" s="576">
        <f t="shared" si="295"/>
        <v>0</v>
      </c>
    </row>
    <row r="2712" spans="1:27" x14ac:dyDescent="0.35">
      <c r="A2712" s="81" t="s">
        <v>8136</v>
      </c>
      <c r="C2712" s="118">
        <v>43979</v>
      </c>
      <c r="D2712" s="118">
        <v>44020</v>
      </c>
      <c r="F2712" s="88" t="s">
        <v>8185</v>
      </c>
      <c r="G2712" s="88" t="s">
        <v>195</v>
      </c>
      <c r="H2712" s="98" t="s">
        <v>220</v>
      </c>
      <c r="J2712" s="75">
        <f t="shared" si="293"/>
        <v>0</v>
      </c>
      <c r="K2712" s="76"/>
      <c r="Q2712" s="78" t="s">
        <v>2447</v>
      </c>
      <c r="R2712" s="75">
        <f t="shared" si="294"/>
        <v>0.3</v>
      </c>
      <c r="S2712" s="263" t="s">
        <v>1988</v>
      </c>
      <c r="T2712" s="263"/>
      <c r="AA2712" s="576">
        <f t="shared" si="295"/>
        <v>0</v>
      </c>
    </row>
    <row r="2713" spans="1:27" x14ac:dyDescent="0.35">
      <c r="A2713" s="81" t="s">
        <v>8138</v>
      </c>
      <c r="C2713" s="118">
        <v>43980</v>
      </c>
      <c r="D2713" s="118">
        <v>44020</v>
      </c>
      <c r="F2713" s="88" t="s">
        <v>8187</v>
      </c>
      <c r="G2713" s="88" t="s">
        <v>152</v>
      </c>
      <c r="H2713" s="98" t="s">
        <v>220</v>
      </c>
      <c r="J2713" s="75">
        <f t="shared" ref="J2713:J2766" si="296">IF(OR(K2713="Документы готовы",K2713="Запрос в ФО",K2713="ЭЗ",K2713="РЕШ",K2713="РЕШ шаблон"),0.1,IF(OR(K2713="ЭЗ согласование",K2713="РЕШ согласование"),0.3,IF(OR(K2713="ЭЗ согласовано",K2713="РЕШ согласовано",K2713="РЕШ подписано"),0.6,IF(OR(K2713="ЭЗ ПР согласование",K2713="РЕШ УВ согласование"),0.9,IF(OR(K2713="ЭЗ ПР DONE",K2713="РЕШ УВ DONE"),1,0)))))</f>
        <v>0</v>
      </c>
      <c r="K2713" s="76"/>
      <c r="Q2713" s="78" t="s">
        <v>2097</v>
      </c>
      <c r="R2713" s="75">
        <f t="shared" ref="R2713:R2766" si="297">IF(S2713="В работе",0.3,IF(S2713="Отписано",0.6,IF(S2713="На доработку",0.9,IF(S2713="Согласовано",1,0))))</f>
        <v>0.3</v>
      </c>
      <c r="S2713" s="263" t="s">
        <v>1988</v>
      </c>
      <c r="T2713" s="263"/>
      <c r="AA2713" s="576">
        <f t="shared" si="295"/>
        <v>0</v>
      </c>
    </row>
    <row r="2714" spans="1:27" x14ac:dyDescent="0.35">
      <c r="A2714" s="81" t="s">
        <v>8139</v>
      </c>
      <c r="C2714" s="118">
        <v>43979</v>
      </c>
      <c r="D2714" s="118">
        <v>44020</v>
      </c>
      <c r="F2714" s="88" t="s">
        <v>8188</v>
      </c>
      <c r="G2714" s="88" t="s">
        <v>158</v>
      </c>
      <c r="H2714" s="98" t="s">
        <v>220</v>
      </c>
      <c r="J2714" s="75">
        <f t="shared" si="296"/>
        <v>0</v>
      </c>
      <c r="K2714" s="76"/>
      <c r="Q2714" s="78" t="s">
        <v>2163</v>
      </c>
      <c r="R2714" s="75">
        <f t="shared" si="297"/>
        <v>0.3</v>
      </c>
      <c r="S2714" s="263" t="s">
        <v>1988</v>
      </c>
      <c r="T2714" s="263"/>
      <c r="AA2714" s="576">
        <f t="shared" si="295"/>
        <v>0</v>
      </c>
    </row>
    <row r="2715" spans="1:27" x14ac:dyDescent="0.35">
      <c r="A2715" s="81" t="s">
        <v>8140</v>
      </c>
      <c r="C2715" s="118">
        <v>43980</v>
      </c>
      <c r="D2715" s="118">
        <v>44021</v>
      </c>
      <c r="F2715" s="88" t="s">
        <v>8189</v>
      </c>
      <c r="G2715" s="88" t="s">
        <v>152</v>
      </c>
      <c r="H2715" s="98" t="s">
        <v>220</v>
      </c>
      <c r="J2715" s="75">
        <f t="shared" si="296"/>
        <v>0</v>
      </c>
      <c r="K2715" s="76"/>
      <c r="Q2715" s="78" t="s">
        <v>2097</v>
      </c>
      <c r="R2715" s="75">
        <f t="shared" si="297"/>
        <v>0.3</v>
      </c>
      <c r="S2715" s="263" t="s">
        <v>1988</v>
      </c>
      <c r="T2715" s="263"/>
      <c r="AA2715" s="576">
        <f t="shared" si="295"/>
        <v>0</v>
      </c>
    </row>
    <row r="2716" spans="1:27" x14ac:dyDescent="0.35">
      <c r="A2716" s="81" t="s">
        <v>8141</v>
      </c>
      <c r="C2716" s="118">
        <v>43980</v>
      </c>
      <c r="D2716" s="118">
        <v>44021</v>
      </c>
      <c r="F2716" s="88" t="s">
        <v>8190</v>
      </c>
      <c r="G2716" s="88" t="s">
        <v>154</v>
      </c>
      <c r="H2716" s="98" t="s">
        <v>220</v>
      </c>
      <c r="J2716" s="75">
        <f t="shared" si="296"/>
        <v>0</v>
      </c>
      <c r="K2716" s="76"/>
      <c r="Q2716" s="78" t="s">
        <v>2130</v>
      </c>
      <c r="R2716" s="75">
        <f t="shared" si="297"/>
        <v>0.3</v>
      </c>
      <c r="S2716" s="263" t="s">
        <v>1988</v>
      </c>
      <c r="T2716" s="263"/>
      <c r="AA2716" s="576">
        <f t="shared" si="295"/>
        <v>0</v>
      </c>
    </row>
    <row r="2717" spans="1:27" x14ac:dyDescent="0.35">
      <c r="A2717" s="81" t="s">
        <v>8142</v>
      </c>
      <c r="C2717" s="118">
        <v>43980</v>
      </c>
      <c r="D2717" s="118">
        <v>44021</v>
      </c>
      <c r="F2717" s="88" t="s">
        <v>8191</v>
      </c>
      <c r="G2717" s="88" t="s">
        <v>156</v>
      </c>
      <c r="H2717" s="98" t="s">
        <v>220</v>
      </c>
      <c r="J2717" s="75">
        <f t="shared" si="296"/>
        <v>0</v>
      </c>
      <c r="K2717" s="76"/>
      <c r="Q2717" s="78" t="s">
        <v>2447</v>
      </c>
      <c r="R2717" s="75">
        <f t="shared" si="297"/>
        <v>0.3</v>
      </c>
      <c r="S2717" s="263" t="s">
        <v>1988</v>
      </c>
      <c r="T2717" s="263"/>
      <c r="AA2717" s="576">
        <f t="shared" si="295"/>
        <v>0</v>
      </c>
    </row>
    <row r="2718" spans="1:27" x14ac:dyDescent="0.35">
      <c r="A2718" s="81" t="s">
        <v>8143</v>
      </c>
      <c r="C2718" s="118">
        <v>43980</v>
      </c>
      <c r="D2718" s="118">
        <v>44021</v>
      </c>
      <c r="F2718" s="88" t="s">
        <v>8192</v>
      </c>
      <c r="G2718" s="88" t="s">
        <v>162</v>
      </c>
      <c r="H2718" s="98" t="s">
        <v>3693</v>
      </c>
      <c r="J2718" s="75">
        <f t="shared" si="296"/>
        <v>0</v>
      </c>
      <c r="K2718" s="76"/>
      <c r="Q2718" s="78" t="s">
        <v>2056</v>
      </c>
      <c r="R2718" s="75">
        <f t="shared" si="297"/>
        <v>0.3</v>
      </c>
      <c r="S2718" s="263" t="s">
        <v>1988</v>
      </c>
      <c r="T2718" s="263"/>
      <c r="AA2718" s="576">
        <f t="shared" si="295"/>
        <v>0</v>
      </c>
    </row>
    <row r="2719" spans="1:27" x14ac:dyDescent="0.35">
      <c r="A2719" s="81" t="s">
        <v>8148</v>
      </c>
      <c r="C2719" s="118">
        <v>43980</v>
      </c>
      <c r="D2719" s="118">
        <v>44021</v>
      </c>
      <c r="F2719" s="88" t="s">
        <v>8197</v>
      </c>
      <c r="G2719" s="88" t="s">
        <v>149</v>
      </c>
      <c r="H2719" s="98" t="s">
        <v>220</v>
      </c>
      <c r="J2719" s="75">
        <f t="shared" si="296"/>
        <v>0</v>
      </c>
      <c r="K2719" s="76"/>
      <c r="Q2719" s="78" t="s">
        <v>2097</v>
      </c>
      <c r="R2719" s="75">
        <f t="shared" si="297"/>
        <v>0.3</v>
      </c>
      <c r="S2719" s="263" t="s">
        <v>1988</v>
      </c>
      <c r="T2719" s="263"/>
      <c r="AA2719" s="576">
        <f t="shared" si="295"/>
        <v>0</v>
      </c>
    </row>
    <row r="2720" spans="1:27" x14ac:dyDescent="0.35">
      <c r="A2720" s="81" t="s">
        <v>8150</v>
      </c>
      <c r="C2720" s="118">
        <v>43980</v>
      </c>
      <c r="D2720" s="118">
        <v>44021</v>
      </c>
      <c r="F2720" s="88" t="s">
        <v>8199</v>
      </c>
      <c r="G2720" s="88" t="s">
        <v>168</v>
      </c>
      <c r="H2720" s="98" t="s">
        <v>220</v>
      </c>
      <c r="J2720" s="75">
        <f t="shared" si="296"/>
        <v>0</v>
      </c>
      <c r="K2720" s="76"/>
      <c r="Q2720" s="78" t="s">
        <v>2130</v>
      </c>
      <c r="R2720" s="75">
        <f t="shared" si="297"/>
        <v>0.3</v>
      </c>
      <c r="S2720" s="263" t="s">
        <v>1988</v>
      </c>
      <c r="T2720" s="263"/>
      <c r="AA2720" s="576">
        <f t="shared" si="295"/>
        <v>0</v>
      </c>
    </row>
    <row r="2721" spans="1:27" x14ac:dyDescent="0.35">
      <c r="A2721" s="81" t="s">
        <v>8151</v>
      </c>
      <c r="C2721" s="118">
        <v>43980</v>
      </c>
      <c r="D2721" s="118">
        <v>44021</v>
      </c>
      <c r="F2721" s="88" t="s">
        <v>8200</v>
      </c>
      <c r="G2721" s="88" t="s">
        <v>158</v>
      </c>
      <c r="H2721" s="98" t="s">
        <v>220</v>
      </c>
      <c r="J2721" s="75">
        <f t="shared" si="296"/>
        <v>0</v>
      </c>
      <c r="K2721" s="76"/>
      <c r="Q2721" s="78" t="s">
        <v>2056</v>
      </c>
      <c r="R2721" s="75">
        <f t="shared" si="297"/>
        <v>0.3</v>
      </c>
      <c r="S2721" s="263" t="s">
        <v>1988</v>
      </c>
      <c r="T2721" s="263"/>
      <c r="AA2721" s="576">
        <f t="shared" si="295"/>
        <v>0</v>
      </c>
    </row>
    <row r="2722" spans="1:27" x14ac:dyDescent="0.35">
      <c r="A2722" s="81" t="s">
        <v>8152</v>
      </c>
      <c r="C2722" s="118">
        <v>43980</v>
      </c>
      <c r="D2722" s="118">
        <v>44021</v>
      </c>
      <c r="F2722" s="88" t="s">
        <v>8201</v>
      </c>
      <c r="G2722" s="88" t="s">
        <v>2766</v>
      </c>
      <c r="H2722" s="98" t="s">
        <v>220</v>
      </c>
      <c r="J2722" s="75">
        <f t="shared" si="296"/>
        <v>0</v>
      </c>
      <c r="K2722" s="76"/>
      <c r="Q2722" s="78" t="s">
        <v>2097</v>
      </c>
      <c r="R2722" s="75">
        <f t="shared" si="297"/>
        <v>0.3</v>
      </c>
      <c r="S2722" s="263" t="s">
        <v>1988</v>
      </c>
      <c r="T2722" s="263"/>
      <c r="AA2722" s="576">
        <f t="shared" si="295"/>
        <v>0</v>
      </c>
    </row>
    <row r="2723" spans="1:27" x14ac:dyDescent="0.35">
      <c r="A2723" s="81" t="s">
        <v>8154</v>
      </c>
      <c r="C2723" s="118">
        <v>43983</v>
      </c>
      <c r="D2723" s="118">
        <v>44021</v>
      </c>
      <c r="F2723" s="88" t="s">
        <v>8203</v>
      </c>
      <c r="G2723" s="88" t="s">
        <v>156</v>
      </c>
      <c r="H2723" s="98" t="s">
        <v>220</v>
      </c>
      <c r="J2723" s="75">
        <f t="shared" si="296"/>
        <v>0</v>
      </c>
      <c r="K2723" s="76"/>
      <c r="Q2723" s="78" t="s">
        <v>2097</v>
      </c>
      <c r="R2723" s="75">
        <f t="shared" si="297"/>
        <v>0.3</v>
      </c>
      <c r="S2723" s="263" t="s">
        <v>1988</v>
      </c>
      <c r="T2723" s="263"/>
      <c r="AA2723" s="576">
        <f t="shared" si="295"/>
        <v>0</v>
      </c>
    </row>
    <row r="2724" spans="1:27" x14ac:dyDescent="0.35">
      <c r="A2724" s="81" t="s">
        <v>8155</v>
      </c>
      <c r="C2724" s="118">
        <v>43983</v>
      </c>
      <c r="D2724" s="118">
        <v>44021</v>
      </c>
      <c r="F2724" s="88" t="s">
        <v>8204</v>
      </c>
      <c r="G2724" s="88" t="s">
        <v>152</v>
      </c>
      <c r="H2724" s="98" t="s">
        <v>220</v>
      </c>
      <c r="J2724" s="75">
        <f t="shared" si="296"/>
        <v>0</v>
      </c>
      <c r="K2724" s="76"/>
      <c r="Q2724" s="78" t="s">
        <v>2130</v>
      </c>
      <c r="R2724" s="75">
        <f t="shared" si="297"/>
        <v>0.3</v>
      </c>
      <c r="S2724" s="263" t="s">
        <v>1988</v>
      </c>
      <c r="T2724" s="263"/>
      <c r="AA2724" s="576">
        <f t="shared" si="295"/>
        <v>0</v>
      </c>
    </row>
    <row r="2725" spans="1:27" x14ac:dyDescent="0.35">
      <c r="A2725" s="81" t="s">
        <v>8156</v>
      </c>
      <c r="C2725" s="118">
        <v>43983</v>
      </c>
      <c r="D2725" s="118">
        <v>44021</v>
      </c>
      <c r="F2725" s="88" t="s">
        <v>8205</v>
      </c>
      <c r="G2725" s="88" t="s">
        <v>149</v>
      </c>
      <c r="H2725" s="98" t="s">
        <v>220</v>
      </c>
      <c r="J2725" s="75">
        <f t="shared" si="296"/>
        <v>0</v>
      </c>
      <c r="K2725" s="76"/>
      <c r="Q2725" s="78" t="s">
        <v>2130</v>
      </c>
      <c r="R2725" s="75">
        <f t="shared" si="297"/>
        <v>0.3</v>
      </c>
      <c r="S2725" s="263" t="s">
        <v>1988</v>
      </c>
      <c r="T2725" s="263"/>
      <c r="AA2725" s="576">
        <f t="shared" si="295"/>
        <v>0</v>
      </c>
    </row>
    <row r="2726" spans="1:27" x14ac:dyDescent="0.35">
      <c r="A2726" s="81" t="s">
        <v>8259</v>
      </c>
      <c r="C2726" s="118">
        <v>43983</v>
      </c>
      <c r="D2726" s="118">
        <v>44022</v>
      </c>
      <c r="F2726" s="88" t="s">
        <v>8316</v>
      </c>
      <c r="G2726" s="88" t="s">
        <v>160</v>
      </c>
      <c r="H2726" s="98" t="s">
        <v>220</v>
      </c>
      <c r="J2726" s="75">
        <f t="shared" si="296"/>
        <v>0</v>
      </c>
      <c r="K2726" s="76"/>
      <c r="Q2726" s="78" t="s">
        <v>2056</v>
      </c>
      <c r="R2726" s="75">
        <f t="shared" si="297"/>
        <v>0.3</v>
      </c>
      <c r="S2726" s="263" t="s">
        <v>1988</v>
      </c>
      <c r="T2726" s="263"/>
      <c r="AA2726" s="576">
        <f t="shared" si="295"/>
        <v>0</v>
      </c>
    </row>
    <row r="2727" spans="1:27" x14ac:dyDescent="0.35">
      <c r="A2727" s="81" t="s">
        <v>8262</v>
      </c>
      <c r="C2727" s="118">
        <v>43983</v>
      </c>
      <c r="D2727" s="118">
        <v>44022</v>
      </c>
      <c r="F2727" s="88" t="s">
        <v>8319</v>
      </c>
      <c r="G2727" s="88" t="s">
        <v>154</v>
      </c>
      <c r="H2727" s="98" t="s">
        <v>220</v>
      </c>
      <c r="J2727" s="75">
        <f t="shared" si="296"/>
        <v>0</v>
      </c>
      <c r="K2727" s="76"/>
      <c r="Q2727" s="78" t="s">
        <v>2447</v>
      </c>
      <c r="R2727" s="75">
        <f t="shared" si="297"/>
        <v>0.3</v>
      </c>
      <c r="S2727" s="263" t="s">
        <v>1988</v>
      </c>
      <c r="T2727" s="263"/>
      <c r="AA2727" s="576">
        <f t="shared" si="295"/>
        <v>0</v>
      </c>
    </row>
    <row r="2728" spans="1:27" x14ac:dyDescent="0.35">
      <c r="A2728" s="81" t="s">
        <v>8263</v>
      </c>
      <c r="C2728" s="118">
        <v>43983</v>
      </c>
      <c r="D2728" s="118">
        <v>44022</v>
      </c>
      <c r="F2728" s="88" t="s">
        <v>8320</v>
      </c>
      <c r="G2728" s="88" t="s">
        <v>166</v>
      </c>
      <c r="H2728" s="98" t="s">
        <v>220</v>
      </c>
      <c r="J2728" s="75">
        <f t="shared" si="296"/>
        <v>0</v>
      </c>
      <c r="K2728" s="76"/>
      <c r="Q2728" s="78" t="s">
        <v>2130</v>
      </c>
      <c r="R2728" s="75">
        <f t="shared" si="297"/>
        <v>0.3</v>
      </c>
      <c r="S2728" s="263" t="s">
        <v>1988</v>
      </c>
      <c r="T2728" s="263"/>
      <c r="AA2728" s="576">
        <f t="shared" si="295"/>
        <v>0</v>
      </c>
    </row>
    <row r="2729" spans="1:27" x14ac:dyDescent="0.35">
      <c r="A2729" s="81" t="s">
        <v>8162</v>
      </c>
      <c r="C2729" s="118">
        <v>43983</v>
      </c>
      <c r="D2729" s="118">
        <v>44021</v>
      </c>
      <c r="F2729" s="88" t="s">
        <v>8211</v>
      </c>
      <c r="G2729" s="88" t="s">
        <v>186</v>
      </c>
      <c r="H2729" s="98" t="s">
        <v>220</v>
      </c>
      <c r="J2729" s="75">
        <f t="shared" si="296"/>
        <v>0</v>
      </c>
      <c r="K2729" s="76"/>
      <c r="Q2729" s="78" t="s">
        <v>2447</v>
      </c>
      <c r="R2729" s="75">
        <f t="shared" si="297"/>
        <v>0.3</v>
      </c>
      <c r="S2729" s="263" t="s">
        <v>1988</v>
      </c>
      <c r="T2729" s="263"/>
      <c r="AA2729" s="576">
        <f t="shared" si="295"/>
        <v>0</v>
      </c>
    </row>
    <row r="2730" spans="1:27" x14ac:dyDescent="0.35">
      <c r="A2730" s="81" t="s">
        <v>8163</v>
      </c>
      <c r="C2730" s="118">
        <v>43983</v>
      </c>
      <c r="D2730" s="118">
        <v>44021</v>
      </c>
      <c r="F2730" s="88" t="s">
        <v>8212</v>
      </c>
      <c r="G2730" s="88" t="s">
        <v>156</v>
      </c>
      <c r="H2730" s="98" t="s">
        <v>220</v>
      </c>
      <c r="J2730" s="75">
        <f t="shared" si="296"/>
        <v>0</v>
      </c>
      <c r="K2730" s="76"/>
      <c r="Q2730" s="78" t="s">
        <v>2097</v>
      </c>
      <c r="R2730" s="75">
        <f t="shared" si="297"/>
        <v>0.3</v>
      </c>
      <c r="S2730" s="263" t="s">
        <v>1988</v>
      </c>
      <c r="T2730" s="263"/>
      <c r="AA2730" s="576">
        <f t="shared" si="295"/>
        <v>0</v>
      </c>
    </row>
    <row r="2731" spans="1:27" x14ac:dyDescent="0.35">
      <c r="A2731" s="81" t="s">
        <v>8164</v>
      </c>
      <c r="C2731" s="118">
        <v>43983</v>
      </c>
      <c r="D2731" s="118">
        <v>44021</v>
      </c>
      <c r="F2731" s="88" t="s">
        <v>8213</v>
      </c>
      <c r="G2731" s="88" t="s">
        <v>156</v>
      </c>
      <c r="H2731" s="98" t="s">
        <v>220</v>
      </c>
      <c r="J2731" s="75">
        <f t="shared" si="296"/>
        <v>0</v>
      </c>
      <c r="K2731" s="76"/>
      <c r="Q2731" s="78" t="s">
        <v>2130</v>
      </c>
      <c r="R2731" s="75">
        <f t="shared" si="297"/>
        <v>0.3</v>
      </c>
      <c r="S2731" s="263" t="s">
        <v>1988</v>
      </c>
      <c r="T2731" s="263"/>
      <c r="AA2731" s="576">
        <f t="shared" si="295"/>
        <v>0</v>
      </c>
    </row>
    <row r="2732" spans="1:27" x14ac:dyDescent="0.35">
      <c r="A2732" s="81" t="s">
        <v>8165</v>
      </c>
      <c r="C2732" s="118">
        <v>43983</v>
      </c>
      <c r="D2732" s="118">
        <v>44021</v>
      </c>
      <c r="F2732" s="88" t="s">
        <v>8214</v>
      </c>
      <c r="G2732" s="88" t="s">
        <v>179</v>
      </c>
      <c r="H2732" s="98" t="s">
        <v>220</v>
      </c>
      <c r="J2732" s="75">
        <f t="shared" si="296"/>
        <v>0</v>
      </c>
      <c r="K2732" s="76"/>
      <c r="Q2732" s="78" t="s">
        <v>2447</v>
      </c>
      <c r="R2732" s="75">
        <f t="shared" si="297"/>
        <v>0.3</v>
      </c>
      <c r="S2732" s="263" t="s">
        <v>1988</v>
      </c>
      <c r="T2732" s="263"/>
      <c r="AA2732" s="576">
        <f t="shared" si="295"/>
        <v>0</v>
      </c>
    </row>
    <row r="2733" spans="1:27" x14ac:dyDescent="0.35">
      <c r="A2733" s="81" t="s">
        <v>8166</v>
      </c>
      <c r="C2733" s="118">
        <v>43983</v>
      </c>
      <c r="D2733" s="118">
        <v>44021</v>
      </c>
      <c r="F2733" s="88" t="s">
        <v>8215</v>
      </c>
      <c r="G2733" s="88" t="s">
        <v>158</v>
      </c>
      <c r="H2733" s="98" t="s">
        <v>220</v>
      </c>
      <c r="J2733" s="75">
        <f t="shared" si="296"/>
        <v>0</v>
      </c>
      <c r="K2733" s="76"/>
      <c r="Q2733" s="78" t="s">
        <v>2097</v>
      </c>
      <c r="R2733" s="75">
        <f t="shared" si="297"/>
        <v>0.3</v>
      </c>
      <c r="S2733" s="263" t="s">
        <v>1988</v>
      </c>
      <c r="T2733" s="263"/>
      <c r="AA2733" s="576">
        <f t="shared" si="295"/>
        <v>0</v>
      </c>
    </row>
    <row r="2734" spans="1:27" x14ac:dyDescent="0.35">
      <c r="A2734" s="81" t="s">
        <v>8267</v>
      </c>
      <c r="C2734" s="118">
        <v>43983</v>
      </c>
      <c r="D2734" s="118">
        <v>44022</v>
      </c>
      <c r="F2734" s="88" t="s">
        <v>8324</v>
      </c>
      <c r="G2734" s="88" t="s">
        <v>154</v>
      </c>
      <c r="H2734" s="98" t="s">
        <v>220</v>
      </c>
      <c r="J2734" s="75">
        <f t="shared" si="296"/>
        <v>0</v>
      </c>
      <c r="K2734" s="76"/>
      <c r="Q2734" s="78" t="s">
        <v>2163</v>
      </c>
      <c r="R2734" s="75">
        <f t="shared" si="297"/>
        <v>0.3</v>
      </c>
      <c r="S2734" s="263" t="s">
        <v>1988</v>
      </c>
      <c r="T2734" s="263"/>
      <c r="AA2734" s="576">
        <f t="shared" si="295"/>
        <v>0</v>
      </c>
    </row>
    <row r="2735" spans="1:27" x14ac:dyDescent="0.35">
      <c r="A2735" s="81" t="s">
        <v>8268</v>
      </c>
      <c r="C2735" s="118">
        <v>43983</v>
      </c>
      <c r="D2735" s="118">
        <v>44022</v>
      </c>
      <c r="F2735" s="88" t="s">
        <v>8325</v>
      </c>
      <c r="G2735" s="88" t="s">
        <v>154</v>
      </c>
      <c r="H2735" s="98" t="s">
        <v>220</v>
      </c>
      <c r="J2735" s="75">
        <f t="shared" si="296"/>
        <v>0</v>
      </c>
      <c r="K2735" s="76"/>
      <c r="Q2735" s="78" t="s">
        <v>2097</v>
      </c>
      <c r="R2735" s="75">
        <f t="shared" si="297"/>
        <v>0.3</v>
      </c>
      <c r="S2735" s="263" t="s">
        <v>1988</v>
      </c>
      <c r="T2735" s="263"/>
      <c r="AA2735" s="576">
        <f t="shared" si="295"/>
        <v>0</v>
      </c>
    </row>
    <row r="2736" spans="1:27" x14ac:dyDescent="0.35">
      <c r="A2736" s="81" t="s">
        <v>8269</v>
      </c>
      <c r="C2736" s="118">
        <v>43983</v>
      </c>
      <c r="D2736" s="118">
        <v>44022</v>
      </c>
      <c r="F2736" s="88" t="s">
        <v>8326</v>
      </c>
      <c r="G2736" s="88" t="s">
        <v>179</v>
      </c>
      <c r="H2736" s="98" t="s">
        <v>220</v>
      </c>
      <c r="J2736" s="75">
        <f t="shared" si="296"/>
        <v>0</v>
      </c>
      <c r="K2736" s="76"/>
      <c r="Q2736" s="78" t="s">
        <v>2447</v>
      </c>
      <c r="R2736" s="75">
        <f t="shared" si="297"/>
        <v>0.3</v>
      </c>
      <c r="S2736" s="263" t="s">
        <v>1988</v>
      </c>
      <c r="T2736" s="263"/>
      <c r="AA2736" s="576">
        <f t="shared" si="295"/>
        <v>0</v>
      </c>
    </row>
    <row r="2737" spans="1:27" x14ac:dyDescent="0.35">
      <c r="A2737" s="81" t="s">
        <v>8270</v>
      </c>
      <c r="C2737" s="118">
        <v>43983</v>
      </c>
      <c r="D2737" s="118">
        <v>44022</v>
      </c>
      <c r="F2737" s="88" t="s">
        <v>8327</v>
      </c>
      <c r="G2737" s="88" t="s">
        <v>181</v>
      </c>
      <c r="H2737" s="98" t="s">
        <v>220</v>
      </c>
      <c r="J2737" s="75">
        <f t="shared" si="296"/>
        <v>0</v>
      </c>
      <c r="K2737" s="76"/>
      <c r="Q2737" s="78" t="s">
        <v>2447</v>
      </c>
      <c r="R2737" s="75">
        <f t="shared" si="297"/>
        <v>0.3</v>
      </c>
      <c r="S2737" s="263" t="s">
        <v>1988</v>
      </c>
      <c r="T2737" s="263"/>
      <c r="AA2737" s="576">
        <f t="shared" si="295"/>
        <v>0</v>
      </c>
    </row>
    <row r="2738" spans="1:27" x14ac:dyDescent="0.35">
      <c r="A2738" s="81" t="s">
        <v>8272</v>
      </c>
      <c r="C2738" s="118">
        <v>43983</v>
      </c>
      <c r="D2738" s="118">
        <v>44022</v>
      </c>
      <c r="F2738" s="88" t="s">
        <v>8329</v>
      </c>
      <c r="G2738" s="88" t="s">
        <v>158</v>
      </c>
      <c r="H2738" s="98" t="s">
        <v>220</v>
      </c>
      <c r="J2738" s="75">
        <f t="shared" si="296"/>
        <v>0</v>
      </c>
      <c r="K2738" s="76"/>
      <c r="Q2738" s="78" t="s">
        <v>2163</v>
      </c>
      <c r="R2738" s="75">
        <f t="shared" si="297"/>
        <v>0.3</v>
      </c>
      <c r="S2738" s="263" t="s">
        <v>1988</v>
      </c>
      <c r="T2738" s="263"/>
      <c r="AA2738" s="576">
        <f t="shared" si="295"/>
        <v>0</v>
      </c>
    </row>
    <row r="2739" spans="1:27" x14ac:dyDescent="0.35">
      <c r="A2739" s="81" t="s">
        <v>8273</v>
      </c>
      <c r="C2739" s="118">
        <v>43984</v>
      </c>
      <c r="D2739" s="118">
        <v>44022</v>
      </c>
      <c r="F2739" s="88" t="s">
        <v>8330</v>
      </c>
      <c r="G2739" s="88" t="s">
        <v>162</v>
      </c>
      <c r="H2739" s="98" t="s">
        <v>220</v>
      </c>
      <c r="J2739" s="75">
        <f t="shared" si="296"/>
        <v>0</v>
      </c>
      <c r="K2739" s="76"/>
      <c r="Q2739" s="78" t="s">
        <v>2447</v>
      </c>
      <c r="R2739" s="75">
        <f t="shared" si="297"/>
        <v>0.3</v>
      </c>
      <c r="S2739" s="263" t="s">
        <v>1988</v>
      </c>
      <c r="T2739" s="263"/>
      <c r="AA2739" s="576">
        <f t="shared" si="295"/>
        <v>0</v>
      </c>
    </row>
    <row r="2740" spans="1:27" x14ac:dyDescent="0.35">
      <c r="A2740" s="81" t="s">
        <v>8275</v>
      </c>
      <c r="C2740" s="118">
        <v>43984</v>
      </c>
      <c r="D2740" s="118">
        <v>44022</v>
      </c>
      <c r="F2740" s="88" t="s">
        <v>8332</v>
      </c>
      <c r="G2740" s="88" t="s">
        <v>152</v>
      </c>
      <c r="H2740" s="98" t="s">
        <v>220</v>
      </c>
      <c r="J2740" s="75">
        <f t="shared" si="296"/>
        <v>0</v>
      </c>
      <c r="K2740" s="76"/>
      <c r="Q2740" s="78" t="s">
        <v>2130</v>
      </c>
      <c r="R2740" s="75">
        <f t="shared" si="297"/>
        <v>0.3</v>
      </c>
      <c r="S2740" s="263" t="s">
        <v>1988</v>
      </c>
      <c r="T2740" s="263"/>
      <c r="AA2740" s="576">
        <f t="shared" si="295"/>
        <v>0</v>
      </c>
    </row>
    <row r="2741" spans="1:27" x14ac:dyDescent="0.35">
      <c r="A2741" s="81" t="s">
        <v>8276</v>
      </c>
      <c r="C2741" s="118">
        <v>43984</v>
      </c>
      <c r="D2741" s="118">
        <v>44025</v>
      </c>
      <c r="F2741" s="88" t="s">
        <v>8333</v>
      </c>
      <c r="G2741" s="88" t="s">
        <v>195</v>
      </c>
      <c r="H2741" s="98" t="s">
        <v>220</v>
      </c>
      <c r="J2741" s="75">
        <f t="shared" si="296"/>
        <v>0</v>
      </c>
      <c r="K2741" s="76"/>
      <c r="Q2741" s="78" t="s">
        <v>2130</v>
      </c>
      <c r="R2741" s="75">
        <f t="shared" si="297"/>
        <v>0.3</v>
      </c>
      <c r="S2741" s="263" t="s">
        <v>1988</v>
      </c>
      <c r="T2741" s="263"/>
      <c r="AA2741" s="576">
        <f t="shared" si="295"/>
        <v>0</v>
      </c>
    </row>
    <row r="2742" spans="1:27" x14ac:dyDescent="0.35">
      <c r="A2742" s="81" t="s">
        <v>8277</v>
      </c>
      <c r="C2742" s="118">
        <v>43984</v>
      </c>
      <c r="D2742" s="118">
        <v>44025</v>
      </c>
      <c r="F2742" s="88" t="s">
        <v>8334</v>
      </c>
      <c r="G2742" s="88" t="s">
        <v>156</v>
      </c>
      <c r="H2742" s="81" t="s">
        <v>275</v>
      </c>
      <c r="J2742" s="75">
        <f t="shared" si="296"/>
        <v>0</v>
      </c>
      <c r="K2742" s="76"/>
      <c r="Q2742" s="78" t="s">
        <v>2056</v>
      </c>
      <c r="R2742" s="75">
        <f t="shared" si="297"/>
        <v>0.3</v>
      </c>
      <c r="S2742" s="263" t="s">
        <v>1988</v>
      </c>
      <c r="T2742" s="263"/>
      <c r="AA2742" s="576">
        <f t="shared" si="295"/>
        <v>0</v>
      </c>
    </row>
    <row r="2743" spans="1:27" x14ac:dyDescent="0.35">
      <c r="A2743" s="81" t="s">
        <v>8278</v>
      </c>
      <c r="C2743" s="118">
        <v>43984</v>
      </c>
      <c r="D2743" s="118">
        <v>44025</v>
      </c>
      <c r="F2743" s="88" t="s">
        <v>8335</v>
      </c>
      <c r="G2743" s="88" t="s">
        <v>154</v>
      </c>
      <c r="H2743" s="98" t="s">
        <v>220</v>
      </c>
      <c r="J2743" s="75">
        <f t="shared" si="296"/>
        <v>0</v>
      </c>
      <c r="K2743" s="76"/>
      <c r="Q2743" s="78" t="s">
        <v>2447</v>
      </c>
      <c r="R2743" s="75">
        <f t="shared" si="297"/>
        <v>0.3</v>
      </c>
      <c r="S2743" s="263" t="s">
        <v>1988</v>
      </c>
      <c r="T2743" s="263"/>
      <c r="AA2743" s="576">
        <f t="shared" si="295"/>
        <v>0</v>
      </c>
    </row>
    <row r="2744" spans="1:27" x14ac:dyDescent="0.35">
      <c r="A2744" s="81" t="s">
        <v>8280</v>
      </c>
      <c r="C2744" s="118">
        <v>43984</v>
      </c>
      <c r="D2744" s="118">
        <v>44025</v>
      </c>
      <c r="F2744" s="88" t="s">
        <v>8337</v>
      </c>
      <c r="G2744" s="88" t="s">
        <v>149</v>
      </c>
      <c r="H2744" s="98" t="s">
        <v>220</v>
      </c>
      <c r="J2744" s="75">
        <f t="shared" si="296"/>
        <v>0</v>
      </c>
      <c r="K2744" s="76"/>
      <c r="Q2744" s="78" t="s">
        <v>2447</v>
      </c>
      <c r="R2744" s="75">
        <f t="shared" si="297"/>
        <v>0.3</v>
      </c>
      <c r="S2744" s="263" t="s">
        <v>1988</v>
      </c>
      <c r="T2744" s="263"/>
      <c r="AA2744" s="576">
        <f t="shared" si="295"/>
        <v>0</v>
      </c>
    </row>
    <row r="2745" spans="1:27" x14ac:dyDescent="0.35">
      <c r="A2745" s="81" t="s">
        <v>8282</v>
      </c>
      <c r="C2745" s="118">
        <v>43984</v>
      </c>
      <c r="D2745" s="118">
        <v>44025</v>
      </c>
      <c r="F2745" s="88" t="s">
        <v>8339</v>
      </c>
      <c r="G2745" s="88" t="s">
        <v>158</v>
      </c>
      <c r="H2745" s="98" t="s">
        <v>220</v>
      </c>
      <c r="J2745" s="75">
        <f t="shared" si="296"/>
        <v>0</v>
      </c>
      <c r="K2745" s="76"/>
      <c r="Q2745" s="78" t="s">
        <v>2447</v>
      </c>
      <c r="R2745" s="75">
        <f t="shared" si="297"/>
        <v>0.3</v>
      </c>
      <c r="S2745" s="263" t="s">
        <v>1988</v>
      </c>
      <c r="T2745" s="263"/>
      <c r="AA2745" s="576">
        <f t="shared" si="295"/>
        <v>0</v>
      </c>
    </row>
    <row r="2746" spans="1:27" x14ac:dyDescent="0.35">
      <c r="A2746" s="81" t="s">
        <v>8283</v>
      </c>
      <c r="C2746" s="118">
        <v>43984</v>
      </c>
      <c r="D2746" s="118">
        <v>44025</v>
      </c>
      <c r="F2746" s="88" t="s">
        <v>8340</v>
      </c>
      <c r="G2746" s="88" t="s">
        <v>152</v>
      </c>
      <c r="H2746" s="98" t="s">
        <v>220</v>
      </c>
      <c r="J2746" s="75">
        <f t="shared" si="296"/>
        <v>0</v>
      </c>
      <c r="K2746" s="76"/>
      <c r="Q2746" s="78" t="s">
        <v>2097</v>
      </c>
      <c r="R2746" s="75">
        <f t="shared" si="297"/>
        <v>0.3</v>
      </c>
      <c r="S2746" s="263" t="s">
        <v>1988</v>
      </c>
      <c r="T2746" s="263"/>
      <c r="AA2746" s="576">
        <f t="shared" si="295"/>
        <v>0</v>
      </c>
    </row>
    <row r="2747" spans="1:27" x14ac:dyDescent="0.35">
      <c r="A2747" s="81" t="s">
        <v>8284</v>
      </c>
      <c r="C2747" s="118">
        <v>43984</v>
      </c>
      <c r="D2747" s="118">
        <v>44025</v>
      </c>
      <c r="F2747" s="88" t="s">
        <v>8341</v>
      </c>
      <c r="G2747" s="88" t="s">
        <v>3356</v>
      </c>
      <c r="H2747" s="98" t="s">
        <v>220</v>
      </c>
      <c r="J2747" s="75">
        <f t="shared" si="296"/>
        <v>0</v>
      </c>
      <c r="K2747" s="76"/>
      <c r="Q2747" s="78" t="s">
        <v>2056</v>
      </c>
      <c r="R2747" s="75">
        <f t="shared" si="297"/>
        <v>0.3</v>
      </c>
      <c r="S2747" s="263" t="s">
        <v>1988</v>
      </c>
      <c r="T2747" s="263"/>
      <c r="AA2747" s="576">
        <f t="shared" si="295"/>
        <v>0</v>
      </c>
    </row>
    <row r="2748" spans="1:27" x14ac:dyDescent="0.35">
      <c r="A2748" s="81" t="s">
        <v>8286</v>
      </c>
      <c r="C2748" s="118">
        <v>43984</v>
      </c>
      <c r="D2748" s="118">
        <v>44025</v>
      </c>
      <c r="F2748" s="88" t="s">
        <v>8343</v>
      </c>
      <c r="G2748" s="88" t="s">
        <v>154</v>
      </c>
      <c r="H2748" s="98" t="s">
        <v>220</v>
      </c>
      <c r="J2748" s="75">
        <f t="shared" si="296"/>
        <v>0</v>
      </c>
      <c r="K2748" s="76"/>
      <c r="Q2748" s="78" t="s">
        <v>2447</v>
      </c>
      <c r="R2748" s="75">
        <f t="shared" si="297"/>
        <v>0.3</v>
      </c>
      <c r="S2748" s="263" t="s">
        <v>1988</v>
      </c>
      <c r="T2748" s="263"/>
      <c r="AA2748" s="576">
        <f t="shared" ref="AA2748:AA2805" si="298">Z2748-Y2748</f>
        <v>0</v>
      </c>
    </row>
    <row r="2749" spans="1:27" x14ac:dyDescent="0.35">
      <c r="A2749" s="81" t="s">
        <v>8287</v>
      </c>
      <c r="C2749" s="118">
        <v>43984</v>
      </c>
      <c r="D2749" s="118">
        <v>44022</v>
      </c>
      <c r="F2749" s="88" t="s">
        <v>8344</v>
      </c>
      <c r="G2749" s="88" t="s">
        <v>162</v>
      </c>
      <c r="H2749" s="98" t="s">
        <v>220</v>
      </c>
      <c r="J2749" s="75">
        <f t="shared" si="296"/>
        <v>0</v>
      </c>
      <c r="K2749" s="76"/>
      <c r="Q2749" s="78" t="s">
        <v>2097</v>
      </c>
      <c r="R2749" s="75">
        <f t="shared" si="297"/>
        <v>0.3</v>
      </c>
      <c r="S2749" s="263" t="s">
        <v>1988</v>
      </c>
      <c r="T2749" s="263"/>
      <c r="AA2749" s="576">
        <f t="shared" si="298"/>
        <v>0</v>
      </c>
    </row>
    <row r="2750" spans="1:27" x14ac:dyDescent="0.35">
      <c r="A2750" s="81" t="s">
        <v>8291</v>
      </c>
      <c r="C2750" s="118">
        <v>43984</v>
      </c>
      <c r="D2750" s="118">
        <v>44025</v>
      </c>
      <c r="F2750" s="88" t="s">
        <v>8348</v>
      </c>
      <c r="G2750" s="88" t="s">
        <v>154</v>
      </c>
      <c r="H2750" s="98" t="s">
        <v>220</v>
      </c>
      <c r="J2750" s="75">
        <f t="shared" si="296"/>
        <v>0</v>
      </c>
      <c r="K2750" s="76"/>
      <c r="Q2750" s="78" t="s">
        <v>2163</v>
      </c>
      <c r="R2750" s="75">
        <f t="shared" si="297"/>
        <v>0.3</v>
      </c>
      <c r="S2750" s="263" t="s">
        <v>1988</v>
      </c>
      <c r="T2750" s="263"/>
      <c r="AA2750" s="576">
        <f t="shared" si="298"/>
        <v>0</v>
      </c>
    </row>
    <row r="2751" spans="1:27" x14ac:dyDescent="0.35">
      <c r="A2751" s="81" t="s">
        <v>8293</v>
      </c>
      <c r="C2751" s="118">
        <v>43985</v>
      </c>
      <c r="D2751" s="118">
        <v>44025</v>
      </c>
      <c r="F2751" s="88" t="s">
        <v>8349</v>
      </c>
      <c r="G2751" s="88" t="s">
        <v>152</v>
      </c>
      <c r="H2751" s="98" t="s">
        <v>220</v>
      </c>
      <c r="J2751" s="75">
        <f t="shared" si="296"/>
        <v>0</v>
      </c>
      <c r="K2751" s="76"/>
      <c r="Q2751" s="78" t="s">
        <v>2056</v>
      </c>
      <c r="R2751" s="75">
        <f t="shared" si="297"/>
        <v>0.3</v>
      </c>
      <c r="S2751" s="263" t="s">
        <v>1988</v>
      </c>
      <c r="T2751" s="263"/>
      <c r="AA2751" s="576">
        <f t="shared" si="298"/>
        <v>0</v>
      </c>
    </row>
    <row r="2752" spans="1:27" x14ac:dyDescent="0.35">
      <c r="A2752" s="81" t="s">
        <v>8298</v>
      </c>
      <c r="C2752" s="118">
        <v>43985</v>
      </c>
      <c r="D2752" s="118">
        <v>44026</v>
      </c>
      <c r="F2752" s="88" t="s">
        <v>8354</v>
      </c>
      <c r="G2752" s="88" t="s">
        <v>158</v>
      </c>
      <c r="H2752" s="98" t="s">
        <v>220</v>
      </c>
      <c r="J2752" s="75">
        <f t="shared" si="296"/>
        <v>0</v>
      </c>
      <c r="K2752" s="76"/>
      <c r="Q2752" s="78" t="s">
        <v>2097</v>
      </c>
      <c r="R2752" s="75">
        <f t="shared" si="297"/>
        <v>0.3</v>
      </c>
      <c r="S2752" s="263" t="s">
        <v>1988</v>
      </c>
      <c r="T2752" s="263"/>
      <c r="AA2752" s="576">
        <f t="shared" si="298"/>
        <v>0</v>
      </c>
    </row>
    <row r="2753" spans="1:27" x14ac:dyDescent="0.35">
      <c r="A2753" s="81" t="s">
        <v>8301</v>
      </c>
      <c r="C2753" s="118">
        <v>43985</v>
      </c>
      <c r="D2753" s="118">
        <v>44026</v>
      </c>
      <c r="F2753" s="88" t="s">
        <v>8357</v>
      </c>
      <c r="G2753" s="88" t="s">
        <v>1692</v>
      </c>
      <c r="H2753" s="98" t="s">
        <v>220</v>
      </c>
      <c r="J2753" s="75">
        <f t="shared" si="296"/>
        <v>0</v>
      </c>
      <c r="K2753" s="76"/>
      <c r="Q2753" s="78" t="s">
        <v>2130</v>
      </c>
      <c r="R2753" s="75">
        <f t="shared" si="297"/>
        <v>0.3</v>
      </c>
      <c r="S2753" s="263" t="s">
        <v>1988</v>
      </c>
      <c r="T2753" s="263"/>
      <c r="AA2753" s="576">
        <f t="shared" si="298"/>
        <v>0</v>
      </c>
    </row>
    <row r="2754" spans="1:27" x14ac:dyDescent="0.35">
      <c r="A2754" s="81" t="s">
        <v>8302</v>
      </c>
      <c r="C2754" s="118">
        <v>43985</v>
      </c>
      <c r="D2754" s="118">
        <v>44011</v>
      </c>
      <c r="F2754" s="88" t="s">
        <v>8358</v>
      </c>
      <c r="G2754" s="88" t="s">
        <v>154</v>
      </c>
      <c r="H2754" s="98" t="s">
        <v>220</v>
      </c>
      <c r="J2754" s="75">
        <f t="shared" si="296"/>
        <v>0</v>
      </c>
      <c r="K2754" s="76"/>
      <c r="Q2754" s="78" t="s">
        <v>2056</v>
      </c>
      <c r="R2754" s="75">
        <f t="shared" si="297"/>
        <v>0.3</v>
      </c>
      <c r="S2754" s="263" t="s">
        <v>1988</v>
      </c>
      <c r="T2754" s="263"/>
      <c r="AA2754" s="576">
        <f t="shared" si="298"/>
        <v>0</v>
      </c>
    </row>
    <row r="2755" spans="1:27" x14ac:dyDescent="0.35">
      <c r="A2755" s="81" t="s">
        <v>8435</v>
      </c>
      <c r="C2755" s="118">
        <v>43986</v>
      </c>
      <c r="D2755" s="118">
        <v>44012</v>
      </c>
      <c r="F2755" s="88" t="s">
        <v>8504</v>
      </c>
      <c r="G2755" s="88" t="s">
        <v>158</v>
      </c>
      <c r="H2755" s="98" t="s">
        <v>220</v>
      </c>
      <c r="J2755" s="75">
        <f t="shared" si="296"/>
        <v>0</v>
      </c>
      <c r="K2755" s="76"/>
      <c r="Q2755" s="78" t="s">
        <v>2097</v>
      </c>
      <c r="R2755" s="75">
        <f t="shared" si="297"/>
        <v>0.3</v>
      </c>
      <c r="S2755" s="263" t="s">
        <v>1988</v>
      </c>
      <c r="T2755" s="263"/>
      <c r="AA2755" s="576">
        <f t="shared" si="298"/>
        <v>0</v>
      </c>
    </row>
    <row r="2756" spans="1:27" x14ac:dyDescent="0.35">
      <c r="A2756" s="81" t="s">
        <v>8306</v>
      </c>
      <c r="C2756" s="118">
        <v>43986</v>
      </c>
      <c r="D2756" s="118">
        <v>44026</v>
      </c>
      <c r="F2756" s="88" t="s">
        <v>8362</v>
      </c>
      <c r="G2756" s="88" t="s">
        <v>170</v>
      </c>
      <c r="H2756" s="98" t="s">
        <v>220</v>
      </c>
      <c r="J2756" s="75">
        <f t="shared" si="296"/>
        <v>0</v>
      </c>
      <c r="K2756" s="76"/>
      <c r="Q2756" s="78" t="s">
        <v>2163</v>
      </c>
      <c r="R2756" s="75">
        <f t="shared" si="297"/>
        <v>0.3</v>
      </c>
      <c r="S2756" s="263" t="s">
        <v>1988</v>
      </c>
      <c r="T2756" s="263"/>
      <c r="AA2756" s="576">
        <f t="shared" si="298"/>
        <v>0</v>
      </c>
    </row>
    <row r="2757" spans="1:27" x14ac:dyDescent="0.35">
      <c r="A2757" s="81" t="s">
        <v>8307</v>
      </c>
      <c r="C2757" s="118">
        <v>43986</v>
      </c>
      <c r="D2757" s="118">
        <v>44026</v>
      </c>
      <c r="F2757" s="88" t="s">
        <v>8363</v>
      </c>
      <c r="G2757" s="88" t="s">
        <v>417</v>
      </c>
      <c r="H2757" s="98" t="s">
        <v>220</v>
      </c>
      <c r="J2757" s="75">
        <f t="shared" si="296"/>
        <v>0</v>
      </c>
      <c r="K2757" s="76"/>
      <c r="Q2757" s="78" t="s">
        <v>2163</v>
      </c>
      <c r="R2757" s="75">
        <f t="shared" si="297"/>
        <v>0.3</v>
      </c>
      <c r="S2757" s="263" t="s">
        <v>1988</v>
      </c>
      <c r="T2757" s="263"/>
      <c r="AA2757" s="576">
        <f t="shared" si="298"/>
        <v>0</v>
      </c>
    </row>
    <row r="2758" spans="1:27" x14ac:dyDescent="0.35">
      <c r="A2758" s="81" t="s">
        <v>8436</v>
      </c>
      <c r="C2758" s="118">
        <v>43986</v>
      </c>
      <c r="D2758" s="118">
        <v>44012</v>
      </c>
      <c r="F2758" s="88" t="s">
        <v>8505</v>
      </c>
      <c r="G2758" s="88" t="s">
        <v>152</v>
      </c>
      <c r="H2758" s="98" t="s">
        <v>220</v>
      </c>
      <c r="J2758" s="75">
        <f t="shared" si="296"/>
        <v>0</v>
      </c>
      <c r="K2758" s="76"/>
      <c r="Q2758" s="78" t="s">
        <v>2163</v>
      </c>
      <c r="R2758" s="75">
        <f t="shared" si="297"/>
        <v>0.3</v>
      </c>
      <c r="S2758" s="263" t="s">
        <v>1988</v>
      </c>
      <c r="T2758" s="263"/>
      <c r="AA2758" s="576">
        <f t="shared" si="298"/>
        <v>0</v>
      </c>
    </row>
    <row r="2759" spans="1:27" x14ac:dyDescent="0.35">
      <c r="A2759" s="81" t="s">
        <v>8437</v>
      </c>
      <c r="C2759" s="118">
        <v>43986</v>
      </c>
      <c r="D2759" s="118">
        <v>44027</v>
      </c>
      <c r="F2759" s="88" t="s">
        <v>8506</v>
      </c>
      <c r="G2759" s="88" t="s">
        <v>162</v>
      </c>
      <c r="H2759" s="98" t="s">
        <v>220</v>
      </c>
      <c r="J2759" s="75">
        <f t="shared" si="296"/>
        <v>0</v>
      </c>
      <c r="K2759" s="76"/>
      <c r="Q2759" s="78" t="s">
        <v>2447</v>
      </c>
      <c r="R2759" s="75">
        <f t="shared" si="297"/>
        <v>0.3</v>
      </c>
      <c r="S2759" s="263" t="s">
        <v>1988</v>
      </c>
      <c r="T2759" s="263"/>
      <c r="AA2759" s="576">
        <f t="shared" si="298"/>
        <v>0</v>
      </c>
    </row>
    <row r="2760" spans="1:27" x14ac:dyDescent="0.35">
      <c r="A2760" s="81" t="s">
        <v>8438</v>
      </c>
      <c r="C2760" s="118">
        <v>43986</v>
      </c>
      <c r="D2760" s="318">
        <v>44012</v>
      </c>
      <c r="E2760" s="83">
        <v>44005</v>
      </c>
      <c r="F2760" s="88" t="s">
        <v>8507</v>
      </c>
      <c r="G2760" s="88" t="s">
        <v>154</v>
      </c>
      <c r="H2760" s="98" t="s">
        <v>220</v>
      </c>
      <c r="I2760" s="98" t="s">
        <v>652</v>
      </c>
      <c r="J2760" s="75">
        <f t="shared" si="296"/>
        <v>0.3</v>
      </c>
      <c r="K2760" s="76" t="s">
        <v>568</v>
      </c>
      <c r="L2760" s="99" t="s">
        <v>8025</v>
      </c>
      <c r="N2760" s="78" t="s">
        <v>19</v>
      </c>
      <c r="Q2760" s="78" t="s">
        <v>2163</v>
      </c>
      <c r="R2760" s="75">
        <f t="shared" si="297"/>
        <v>1</v>
      </c>
      <c r="S2760" s="263" t="s">
        <v>1991</v>
      </c>
      <c r="T2760" s="263" t="s">
        <v>933</v>
      </c>
      <c r="Y2760" s="576">
        <v>0.48017361111111106</v>
      </c>
      <c r="Z2760" s="576">
        <v>0.50368055555555558</v>
      </c>
      <c r="AA2760" s="576">
        <f t="shared" si="298"/>
        <v>2.3506944444444511E-2</v>
      </c>
    </row>
    <row r="2761" spans="1:27" x14ac:dyDescent="0.35">
      <c r="A2761" s="81" t="s">
        <v>8308</v>
      </c>
      <c r="C2761" s="118">
        <v>43986</v>
      </c>
      <c r="D2761" s="118">
        <v>44026</v>
      </c>
      <c r="F2761" s="88" t="s">
        <v>8364</v>
      </c>
      <c r="G2761" s="88" t="s">
        <v>158</v>
      </c>
      <c r="H2761" s="98" t="s">
        <v>220</v>
      </c>
      <c r="J2761" s="75">
        <f t="shared" si="296"/>
        <v>0</v>
      </c>
      <c r="K2761" s="76"/>
      <c r="Q2761" s="78" t="s">
        <v>2097</v>
      </c>
      <c r="R2761" s="75">
        <f t="shared" si="297"/>
        <v>0.3</v>
      </c>
      <c r="S2761" s="263" t="s">
        <v>1988</v>
      </c>
      <c r="T2761" s="263"/>
      <c r="AA2761" s="576">
        <f t="shared" si="298"/>
        <v>0</v>
      </c>
    </row>
    <row r="2762" spans="1:27" x14ac:dyDescent="0.35">
      <c r="A2762" s="81" t="s">
        <v>8439</v>
      </c>
      <c r="C2762" s="118">
        <v>43986</v>
      </c>
      <c r="D2762" s="118">
        <v>44012</v>
      </c>
      <c r="F2762" s="88" t="s">
        <v>8508</v>
      </c>
      <c r="G2762" s="88" t="s">
        <v>154</v>
      </c>
      <c r="H2762" s="98" t="s">
        <v>220</v>
      </c>
      <c r="J2762" s="75">
        <f t="shared" si="296"/>
        <v>0</v>
      </c>
      <c r="K2762" s="76"/>
      <c r="Q2762" s="78" t="s">
        <v>2097</v>
      </c>
      <c r="R2762" s="75">
        <f t="shared" si="297"/>
        <v>0.3</v>
      </c>
      <c r="S2762" s="263" t="s">
        <v>1988</v>
      </c>
      <c r="T2762" s="263"/>
      <c r="AA2762" s="576">
        <f t="shared" si="298"/>
        <v>0</v>
      </c>
    </row>
    <row r="2763" spans="1:27" x14ac:dyDescent="0.35">
      <c r="A2763" s="81" t="s">
        <v>8440</v>
      </c>
      <c r="C2763" s="118">
        <v>43986</v>
      </c>
      <c r="D2763" s="118">
        <v>44012</v>
      </c>
      <c r="F2763" s="88" t="s">
        <v>8509</v>
      </c>
      <c r="G2763" s="88" t="s">
        <v>160</v>
      </c>
      <c r="H2763" s="98" t="s">
        <v>220</v>
      </c>
      <c r="J2763" s="75">
        <f t="shared" si="296"/>
        <v>0</v>
      </c>
      <c r="K2763" s="76"/>
      <c r="Q2763" s="78" t="s">
        <v>2130</v>
      </c>
      <c r="R2763" s="75">
        <f t="shared" si="297"/>
        <v>0.3</v>
      </c>
      <c r="S2763" s="263" t="s">
        <v>1988</v>
      </c>
      <c r="T2763" s="263"/>
      <c r="AA2763" s="576">
        <f t="shared" si="298"/>
        <v>0</v>
      </c>
    </row>
    <row r="2764" spans="1:27" x14ac:dyDescent="0.35">
      <c r="A2764" s="81" t="s">
        <v>8441</v>
      </c>
      <c r="C2764" s="118">
        <v>43986</v>
      </c>
      <c r="D2764" s="118">
        <v>44012</v>
      </c>
      <c r="F2764" s="88" t="s">
        <v>8510</v>
      </c>
      <c r="G2764" s="88" t="s">
        <v>172</v>
      </c>
      <c r="H2764" s="81" t="s">
        <v>275</v>
      </c>
      <c r="J2764" s="75">
        <f t="shared" si="296"/>
        <v>0</v>
      </c>
      <c r="K2764" s="76"/>
      <c r="Q2764" s="78" t="s">
        <v>2097</v>
      </c>
      <c r="R2764" s="75">
        <f t="shared" si="297"/>
        <v>0.3</v>
      </c>
      <c r="S2764" s="263" t="s">
        <v>1988</v>
      </c>
      <c r="T2764" s="263"/>
      <c r="AA2764" s="576">
        <f t="shared" si="298"/>
        <v>0</v>
      </c>
    </row>
    <row r="2765" spans="1:27" x14ac:dyDescent="0.35">
      <c r="A2765" s="81" t="s">
        <v>8442</v>
      </c>
      <c r="C2765" s="118">
        <v>43986</v>
      </c>
      <c r="D2765" s="118">
        <v>44027</v>
      </c>
      <c r="F2765" s="88" t="s">
        <v>8511</v>
      </c>
      <c r="G2765" s="88" t="s">
        <v>154</v>
      </c>
      <c r="H2765" s="98" t="s">
        <v>220</v>
      </c>
      <c r="J2765" s="75">
        <f t="shared" si="296"/>
        <v>0</v>
      </c>
      <c r="K2765" s="76"/>
      <c r="Q2765" s="78" t="s">
        <v>2447</v>
      </c>
      <c r="R2765" s="75">
        <f t="shared" si="297"/>
        <v>0.3</v>
      </c>
      <c r="S2765" s="263" t="s">
        <v>1988</v>
      </c>
      <c r="T2765" s="263"/>
      <c r="AA2765" s="576">
        <f t="shared" si="298"/>
        <v>0</v>
      </c>
    </row>
    <row r="2766" spans="1:27" x14ac:dyDescent="0.35">
      <c r="A2766" s="81" t="s">
        <v>8443</v>
      </c>
      <c r="C2766" s="118">
        <v>43986</v>
      </c>
      <c r="D2766" s="118">
        <v>44012</v>
      </c>
      <c r="F2766" s="88" t="s">
        <v>8512</v>
      </c>
      <c r="G2766" s="88" t="s">
        <v>152</v>
      </c>
      <c r="H2766" s="98" t="s">
        <v>220</v>
      </c>
      <c r="J2766" s="75">
        <f t="shared" si="296"/>
        <v>0</v>
      </c>
      <c r="K2766" s="76"/>
      <c r="Q2766" s="78" t="s">
        <v>2097</v>
      </c>
      <c r="R2766" s="75">
        <f t="shared" si="297"/>
        <v>0.3</v>
      </c>
      <c r="S2766" s="263" t="s">
        <v>1988</v>
      </c>
      <c r="T2766" s="263"/>
      <c r="AA2766" s="576">
        <f t="shared" si="298"/>
        <v>0</v>
      </c>
    </row>
    <row r="2767" spans="1:27" x14ac:dyDescent="0.35">
      <c r="A2767" s="81" t="s">
        <v>8444</v>
      </c>
      <c r="C2767" s="118">
        <v>43986</v>
      </c>
      <c r="D2767" s="118">
        <v>44027</v>
      </c>
      <c r="F2767" s="88" t="s">
        <v>8513</v>
      </c>
      <c r="G2767" s="88" t="s">
        <v>154</v>
      </c>
      <c r="H2767" s="98" t="s">
        <v>220</v>
      </c>
      <c r="J2767" s="75">
        <f t="shared" ref="J2767:J2822" si="299">IF(OR(K2767="Документы готовы",K2767="Запрос в ФО",K2767="ЭЗ",K2767="РЕШ",K2767="РЕШ шаблон"),0.1,IF(OR(K2767="ЭЗ согласование",K2767="РЕШ согласование"),0.3,IF(OR(K2767="ЭЗ согласовано",K2767="РЕШ согласовано",K2767="РЕШ подписано"),0.6,IF(OR(K2767="ЭЗ ПР согласование",K2767="РЕШ УВ согласование"),0.9,IF(OR(K2767="ЭЗ ПР DONE",K2767="РЕШ УВ DONE"),1,0)))))</f>
        <v>0</v>
      </c>
      <c r="K2767" s="76"/>
      <c r="Q2767" s="78" t="s">
        <v>2447</v>
      </c>
      <c r="R2767" s="75">
        <f t="shared" ref="R2767:R2823" si="300">IF(S2767="В работе",0.3,IF(S2767="Отписано",0.6,IF(S2767="На доработку",0.9,IF(S2767="Согласовано",1,0))))</f>
        <v>0.3</v>
      </c>
      <c r="S2767" s="263" t="s">
        <v>1988</v>
      </c>
      <c r="T2767" s="263"/>
      <c r="AA2767" s="576">
        <f t="shared" si="298"/>
        <v>0</v>
      </c>
    </row>
    <row r="2768" spans="1:27" x14ac:dyDescent="0.35">
      <c r="A2768" s="81" t="s">
        <v>8445</v>
      </c>
      <c r="C2768" s="118">
        <v>43986</v>
      </c>
      <c r="D2768" s="118">
        <v>44012</v>
      </c>
      <c r="F2768" s="88" t="s">
        <v>8514</v>
      </c>
      <c r="G2768" s="88" t="s">
        <v>149</v>
      </c>
      <c r="H2768" s="98" t="s">
        <v>220</v>
      </c>
      <c r="J2768" s="75">
        <f t="shared" si="299"/>
        <v>0</v>
      </c>
      <c r="K2768" s="76"/>
      <c r="Q2768" s="78" t="s">
        <v>2163</v>
      </c>
      <c r="R2768" s="75">
        <f t="shared" si="300"/>
        <v>0.3</v>
      </c>
      <c r="S2768" s="263" t="s">
        <v>1988</v>
      </c>
      <c r="T2768" s="263"/>
      <c r="AA2768" s="576">
        <f t="shared" si="298"/>
        <v>0</v>
      </c>
    </row>
    <row r="2769" spans="1:27" x14ac:dyDescent="0.35">
      <c r="A2769" s="81" t="s">
        <v>8310</v>
      </c>
      <c r="C2769" s="118">
        <v>43986</v>
      </c>
      <c r="D2769" s="118">
        <v>44026</v>
      </c>
      <c r="F2769" s="88" t="s">
        <v>8366</v>
      </c>
      <c r="G2769" s="88" t="s">
        <v>149</v>
      </c>
      <c r="H2769" s="98" t="s">
        <v>220</v>
      </c>
      <c r="J2769" s="75">
        <f t="shared" si="299"/>
        <v>0</v>
      </c>
      <c r="K2769" s="76"/>
      <c r="Q2769" s="78" t="s">
        <v>2097</v>
      </c>
      <c r="R2769" s="75">
        <f t="shared" si="300"/>
        <v>0.3</v>
      </c>
      <c r="S2769" s="263" t="s">
        <v>1988</v>
      </c>
      <c r="T2769" s="263"/>
      <c r="AA2769" s="576">
        <f t="shared" si="298"/>
        <v>0</v>
      </c>
    </row>
    <row r="2770" spans="1:27" x14ac:dyDescent="0.35">
      <c r="A2770" s="81" t="s">
        <v>8446</v>
      </c>
      <c r="C2770" s="118">
        <v>43986</v>
      </c>
      <c r="D2770" s="118">
        <v>44012</v>
      </c>
      <c r="F2770" s="88" t="s">
        <v>8515</v>
      </c>
      <c r="G2770" s="88" t="s">
        <v>152</v>
      </c>
      <c r="H2770" s="98" t="s">
        <v>220</v>
      </c>
      <c r="J2770" s="75">
        <f t="shared" si="299"/>
        <v>0</v>
      </c>
      <c r="K2770" s="76"/>
      <c r="Q2770" s="78" t="s">
        <v>2130</v>
      </c>
      <c r="R2770" s="75">
        <f t="shared" si="300"/>
        <v>0.3</v>
      </c>
      <c r="S2770" s="263" t="s">
        <v>1988</v>
      </c>
      <c r="T2770" s="263"/>
      <c r="AA2770" s="576">
        <f t="shared" si="298"/>
        <v>0</v>
      </c>
    </row>
    <row r="2771" spans="1:27" x14ac:dyDescent="0.35">
      <c r="A2771" s="81" t="s">
        <v>8447</v>
      </c>
      <c r="C2771" s="118">
        <v>43986</v>
      </c>
      <c r="D2771" s="118">
        <v>44012</v>
      </c>
      <c r="F2771" s="88" t="s">
        <v>8516</v>
      </c>
      <c r="G2771" s="88" t="s">
        <v>149</v>
      </c>
      <c r="H2771" s="98" t="s">
        <v>220</v>
      </c>
      <c r="J2771" s="75">
        <f t="shared" si="299"/>
        <v>0</v>
      </c>
      <c r="K2771" s="76"/>
      <c r="Q2771" s="78" t="s">
        <v>2130</v>
      </c>
      <c r="R2771" s="75">
        <f t="shared" si="300"/>
        <v>0.3</v>
      </c>
      <c r="S2771" s="263" t="s">
        <v>1988</v>
      </c>
      <c r="T2771" s="263"/>
      <c r="AA2771" s="576">
        <f t="shared" si="298"/>
        <v>0</v>
      </c>
    </row>
    <row r="2772" spans="1:27" x14ac:dyDescent="0.35">
      <c r="A2772" s="81" t="s">
        <v>8448</v>
      </c>
      <c r="C2772" s="118">
        <v>43987</v>
      </c>
      <c r="D2772" s="118">
        <v>44014</v>
      </c>
      <c r="F2772" s="88" t="s">
        <v>8517</v>
      </c>
      <c r="G2772" s="88" t="s">
        <v>152</v>
      </c>
      <c r="H2772" s="98" t="s">
        <v>220</v>
      </c>
      <c r="J2772" s="75">
        <f t="shared" si="299"/>
        <v>0</v>
      </c>
      <c r="K2772" s="76"/>
      <c r="Q2772" s="78" t="s">
        <v>2097</v>
      </c>
      <c r="R2772" s="75">
        <f t="shared" si="300"/>
        <v>0.3</v>
      </c>
      <c r="S2772" s="263" t="s">
        <v>1988</v>
      </c>
      <c r="T2772" s="263"/>
      <c r="AA2772" s="576">
        <f t="shared" si="298"/>
        <v>0</v>
      </c>
    </row>
    <row r="2773" spans="1:27" x14ac:dyDescent="0.35">
      <c r="A2773" s="81" t="s">
        <v>8449</v>
      </c>
      <c r="C2773" s="118">
        <v>43987</v>
      </c>
      <c r="D2773" s="118">
        <v>44014</v>
      </c>
      <c r="F2773" s="88" t="s">
        <v>8518</v>
      </c>
      <c r="G2773" s="88" t="s">
        <v>152</v>
      </c>
      <c r="H2773" s="98" t="s">
        <v>220</v>
      </c>
      <c r="J2773" s="75">
        <f t="shared" si="299"/>
        <v>0</v>
      </c>
      <c r="K2773" s="76"/>
      <c r="Q2773" s="78" t="s">
        <v>2097</v>
      </c>
      <c r="R2773" s="75">
        <f t="shared" si="300"/>
        <v>0.3</v>
      </c>
      <c r="S2773" s="263" t="s">
        <v>1988</v>
      </c>
      <c r="T2773" s="263"/>
      <c r="AA2773" s="576">
        <f t="shared" si="298"/>
        <v>0</v>
      </c>
    </row>
    <row r="2774" spans="1:27" x14ac:dyDescent="0.35">
      <c r="A2774" s="81" t="s">
        <v>8450</v>
      </c>
      <c r="C2774" s="118">
        <v>43987</v>
      </c>
      <c r="D2774" s="118">
        <v>44014</v>
      </c>
      <c r="F2774" s="88" t="s">
        <v>8519</v>
      </c>
      <c r="G2774" s="88" t="s">
        <v>417</v>
      </c>
      <c r="H2774" s="98" t="s">
        <v>220</v>
      </c>
      <c r="J2774" s="75">
        <f t="shared" si="299"/>
        <v>0</v>
      </c>
      <c r="K2774" s="76"/>
      <c r="Q2774" s="78" t="s">
        <v>2130</v>
      </c>
      <c r="R2774" s="75">
        <f t="shared" si="300"/>
        <v>0.3</v>
      </c>
      <c r="S2774" s="263" t="s">
        <v>1988</v>
      </c>
      <c r="T2774" s="263"/>
      <c r="AA2774" s="576">
        <f t="shared" si="298"/>
        <v>0</v>
      </c>
    </row>
    <row r="2775" spans="1:27" x14ac:dyDescent="0.35">
      <c r="A2775" s="81" t="s">
        <v>8451</v>
      </c>
      <c r="C2775" s="118">
        <v>43987</v>
      </c>
      <c r="D2775" s="118">
        <v>44014</v>
      </c>
      <c r="F2775" s="88" t="s">
        <v>8520</v>
      </c>
      <c r="G2775" s="88" t="s">
        <v>162</v>
      </c>
      <c r="H2775" s="98" t="s">
        <v>220</v>
      </c>
      <c r="J2775" s="75">
        <f t="shared" si="299"/>
        <v>0</v>
      </c>
      <c r="K2775" s="76"/>
      <c r="Q2775" s="78" t="s">
        <v>2130</v>
      </c>
      <c r="R2775" s="75">
        <f t="shared" si="300"/>
        <v>0.3</v>
      </c>
      <c r="S2775" s="263" t="s">
        <v>1988</v>
      </c>
      <c r="T2775" s="263"/>
      <c r="AA2775" s="576">
        <f t="shared" si="298"/>
        <v>0</v>
      </c>
    </row>
    <row r="2776" spans="1:27" x14ac:dyDescent="0.35">
      <c r="A2776" s="81" t="s">
        <v>8452</v>
      </c>
      <c r="C2776" s="118">
        <v>43987</v>
      </c>
      <c r="D2776" s="118">
        <v>44014</v>
      </c>
      <c r="F2776" s="88" t="s">
        <v>8521</v>
      </c>
      <c r="G2776" s="88" t="s">
        <v>158</v>
      </c>
      <c r="H2776" s="98" t="s">
        <v>220</v>
      </c>
      <c r="J2776" s="75">
        <f t="shared" si="299"/>
        <v>0</v>
      </c>
      <c r="K2776" s="76"/>
      <c r="Q2776" s="78" t="s">
        <v>2097</v>
      </c>
      <c r="R2776" s="75">
        <f t="shared" si="300"/>
        <v>0.3</v>
      </c>
      <c r="S2776" s="263" t="s">
        <v>1988</v>
      </c>
      <c r="T2776" s="263"/>
      <c r="AA2776" s="576">
        <f t="shared" si="298"/>
        <v>0</v>
      </c>
    </row>
    <row r="2777" spans="1:27" x14ac:dyDescent="0.35">
      <c r="A2777" s="81" t="s">
        <v>8453</v>
      </c>
      <c r="C2777" s="118">
        <v>43987</v>
      </c>
      <c r="D2777" s="318">
        <v>44014</v>
      </c>
      <c r="E2777" s="83">
        <v>44005</v>
      </c>
      <c r="F2777" s="88" t="s">
        <v>8522</v>
      </c>
      <c r="G2777" s="88" t="s">
        <v>162</v>
      </c>
      <c r="H2777" s="98" t="s">
        <v>220</v>
      </c>
      <c r="I2777" s="98" t="s">
        <v>3467</v>
      </c>
      <c r="J2777" s="75">
        <f t="shared" si="299"/>
        <v>0.3</v>
      </c>
      <c r="K2777" s="76" t="s">
        <v>568</v>
      </c>
      <c r="L2777" s="99" t="s">
        <v>8574</v>
      </c>
      <c r="N2777" s="78" t="s">
        <v>18</v>
      </c>
      <c r="Q2777" s="78" t="s">
        <v>2447</v>
      </c>
      <c r="R2777" s="75">
        <f t="shared" si="300"/>
        <v>1</v>
      </c>
      <c r="S2777" s="263" t="s">
        <v>1991</v>
      </c>
      <c r="T2777" s="263" t="s">
        <v>932</v>
      </c>
      <c r="Y2777" s="576">
        <v>0.7061574074074074</v>
      </c>
      <c r="Z2777" s="576">
        <v>0.71364583333333342</v>
      </c>
      <c r="AA2777" s="576">
        <f t="shared" si="298"/>
        <v>7.4884259259260233E-3</v>
      </c>
    </row>
    <row r="2778" spans="1:27" x14ac:dyDescent="0.35">
      <c r="A2778" s="81" t="s">
        <v>8454</v>
      </c>
      <c r="C2778" s="118">
        <v>43987</v>
      </c>
      <c r="D2778" s="118">
        <v>44014</v>
      </c>
      <c r="F2778" s="88" t="s">
        <v>8523</v>
      </c>
      <c r="G2778" s="88" t="s">
        <v>7204</v>
      </c>
      <c r="H2778" s="98" t="s">
        <v>220</v>
      </c>
      <c r="J2778" s="75">
        <f t="shared" si="299"/>
        <v>0</v>
      </c>
      <c r="K2778" s="76"/>
      <c r="Q2778" s="78" t="s">
        <v>2130</v>
      </c>
      <c r="R2778" s="75">
        <f t="shared" si="300"/>
        <v>0.3</v>
      </c>
      <c r="S2778" s="263" t="s">
        <v>1988</v>
      </c>
      <c r="T2778" s="263"/>
      <c r="AA2778" s="576">
        <f t="shared" si="298"/>
        <v>0</v>
      </c>
    </row>
    <row r="2779" spans="1:27" x14ac:dyDescent="0.35">
      <c r="A2779" s="81" t="s">
        <v>8455</v>
      </c>
      <c r="C2779" s="118">
        <v>43987</v>
      </c>
      <c r="D2779" s="118">
        <v>44014</v>
      </c>
      <c r="F2779" s="88" t="s">
        <v>8524</v>
      </c>
      <c r="G2779" s="88" t="s">
        <v>170</v>
      </c>
      <c r="H2779" s="98" t="s">
        <v>220</v>
      </c>
      <c r="J2779" s="75">
        <f t="shared" si="299"/>
        <v>0</v>
      </c>
      <c r="K2779" s="76"/>
      <c r="Q2779" s="78" t="s">
        <v>2163</v>
      </c>
      <c r="R2779" s="75">
        <f t="shared" si="300"/>
        <v>0.3</v>
      </c>
      <c r="S2779" s="263" t="s">
        <v>1988</v>
      </c>
      <c r="T2779" s="263"/>
      <c r="AA2779" s="576">
        <f t="shared" si="298"/>
        <v>0</v>
      </c>
    </row>
    <row r="2780" spans="1:27" x14ac:dyDescent="0.35">
      <c r="A2780" s="81" t="s">
        <v>8456</v>
      </c>
      <c r="C2780" s="118">
        <v>43987</v>
      </c>
      <c r="D2780" s="318">
        <v>44014</v>
      </c>
      <c r="E2780" s="83">
        <v>44005</v>
      </c>
      <c r="F2780" s="88" t="s">
        <v>8525</v>
      </c>
      <c r="G2780" s="88" t="s">
        <v>158</v>
      </c>
      <c r="H2780" s="98" t="s">
        <v>220</v>
      </c>
      <c r="I2780" s="98" t="s">
        <v>656</v>
      </c>
      <c r="J2780" s="75">
        <f t="shared" si="299"/>
        <v>0.3</v>
      </c>
      <c r="K2780" s="76" t="s">
        <v>568</v>
      </c>
      <c r="L2780" s="99" t="s">
        <v>7520</v>
      </c>
      <c r="N2780" s="78" t="s">
        <v>18</v>
      </c>
      <c r="Q2780" s="78" t="s">
        <v>2163</v>
      </c>
      <c r="R2780" s="75">
        <f t="shared" si="300"/>
        <v>1</v>
      </c>
      <c r="S2780" s="263" t="s">
        <v>1991</v>
      </c>
      <c r="T2780" s="263" t="s">
        <v>932</v>
      </c>
      <c r="Y2780" s="576">
        <v>0.69891203703703697</v>
      </c>
      <c r="Z2780" s="576">
        <v>0.70439814814814816</v>
      </c>
      <c r="AA2780" s="576">
        <f t="shared" si="298"/>
        <v>5.4861111111111915E-3</v>
      </c>
    </row>
    <row r="2781" spans="1:27" x14ac:dyDescent="0.35">
      <c r="A2781" s="81" t="s">
        <v>8457</v>
      </c>
      <c r="C2781" s="118">
        <v>43987</v>
      </c>
      <c r="D2781" s="118">
        <v>44028</v>
      </c>
      <c r="F2781" s="88" t="s">
        <v>8526</v>
      </c>
      <c r="G2781" s="88" t="s">
        <v>7204</v>
      </c>
      <c r="H2781" s="98" t="s">
        <v>220</v>
      </c>
      <c r="J2781" s="75">
        <f t="shared" si="299"/>
        <v>0</v>
      </c>
      <c r="K2781" s="76"/>
      <c r="Q2781" s="78" t="s">
        <v>2447</v>
      </c>
      <c r="R2781" s="75">
        <f t="shared" si="300"/>
        <v>0.3</v>
      </c>
      <c r="S2781" s="263" t="s">
        <v>1988</v>
      </c>
      <c r="T2781" s="263"/>
      <c r="AA2781" s="576">
        <f t="shared" si="298"/>
        <v>0</v>
      </c>
    </row>
    <row r="2782" spans="1:27" x14ac:dyDescent="0.35">
      <c r="A2782" s="81" t="s">
        <v>8458</v>
      </c>
      <c r="C2782" s="118">
        <v>43987</v>
      </c>
      <c r="D2782" s="118">
        <v>44014</v>
      </c>
      <c r="F2782" s="88" t="s">
        <v>8527</v>
      </c>
      <c r="G2782" s="88" t="s">
        <v>158</v>
      </c>
      <c r="H2782" s="98" t="s">
        <v>220</v>
      </c>
      <c r="J2782" s="75">
        <f t="shared" si="299"/>
        <v>0</v>
      </c>
      <c r="K2782" s="76"/>
      <c r="Q2782" s="78" t="s">
        <v>2447</v>
      </c>
      <c r="R2782" s="75">
        <f t="shared" si="300"/>
        <v>0.3</v>
      </c>
      <c r="S2782" s="263" t="s">
        <v>1988</v>
      </c>
      <c r="T2782" s="263"/>
      <c r="AA2782" s="576">
        <f t="shared" si="298"/>
        <v>0</v>
      </c>
    </row>
    <row r="2783" spans="1:27" x14ac:dyDescent="0.35">
      <c r="A2783" s="81" t="s">
        <v>8459</v>
      </c>
      <c r="C2783" s="118">
        <v>43987</v>
      </c>
      <c r="D2783" s="118">
        <v>44014</v>
      </c>
      <c r="F2783" s="88" t="s">
        <v>8528</v>
      </c>
      <c r="G2783" s="88" t="s">
        <v>417</v>
      </c>
      <c r="H2783" s="81" t="s">
        <v>275</v>
      </c>
      <c r="J2783" s="75">
        <f t="shared" si="299"/>
        <v>0</v>
      </c>
      <c r="K2783" s="76"/>
      <c r="Q2783" s="78" t="s">
        <v>2097</v>
      </c>
      <c r="R2783" s="75">
        <f t="shared" si="300"/>
        <v>0.3</v>
      </c>
      <c r="S2783" s="263" t="s">
        <v>1988</v>
      </c>
      <c r="T2783" s="263"/>
      <c r="AA2783" s="576">
        <f t="shared" si="298"/>
        <v>0</v>
      </c>
    </row>
    <row r="2784" spans="1:27" x14ac:dyDescent="0.35">
      <c r="A2784" s="81" t="s">
        <v>8460</v>
      </c>
      <c r="C2784" s="118">
        <v>43987</v>
      </c>
      <c r="D2784" s="118">
        <v>44014</v>
      </c>
      <c r="F2784" s="88" t="s">
        <v>8529</v>
      </c>
      <c r="G2784" s="88" t="s">
        <v>186</v>
      </c>
      <c r="H2784" s="98" t="s">
        <v>220</v>
      </c>
      <c r="J2784" s="75">
        <f t="shared" si="299"/>
        <v>0</v>
      </c>
      <c r="K2784" s="76"/>
      <c r="Q2784" s="78" t="s">
        <v>2163</v>
      </c>
      <c r="R2784" s="75">
        <f t="shared" si="300"/>
        <v>0.3</v>
      </c>
      <c r="S2784" s="263" t="s">
        <v>1988</v>
      </c>
      <c r="T2784" s="263"/>
      <c r="AA2784" s="576">
        <f t="shared" si="298"/>
        <v>0</v>
      </c>
    </row>
    <row r="2785" spans="1:27" x14ac:dyDescent="0.35">
      <c r="A2785" s="81" t="s">
        <v>8461</v>
      </c>
      <c r="C2785" s="118">
        <v>43987</v>
      </c>
      <c r="D2785" s="118">
        <v>44014</v>
      </c>
      <c r="F2785" s="88" t="s">
        <v>8530</v>
      </c>
      <c r="G2785" s="88" t="s">
        <v>154</v>
      </c>
      <c r="H2785" s="98" t="s">
        <v>220</v>
      </c>
      <c r="J2785" s="75">
        <f t="shared" si="299"/>
        <v>0</v>
      </c>
      <c r="K2785" s="76"/>
      <c r="Q2785" s="78" t="s">
        <v>2130</v>
      </c>
      <c r="R2785" s="75">
        <f t="shared" si="300"/>
        <v>0.3</v>
      </c>
      <c r="S2785" s="263" t="s">
        <v>1988</v>
      </c>
      <c r="T2785" s="263"/>
      <c r="AA2785" s="576">
        <f t="shared" si="298"/>
        <v>0</v>
      </c>
    </row>
    <row r="2786" spans="1:27" x14ac:dyDescent="0.35">
      <c r="A2786" s="81" t="s">
        <v>8462</v>
      </c>
      <c r="C2786" s="118">
        <v>43990</v>
      </c>
      <c r="D2786" s="118">
        <v>44015</v>
      </c>
      <c r="F2786" s="88" t="s">
        <v>8531</v>
      </c>
      <c r="G2786" s="88" t="s">
        <v>160</v>
      </c>
      <c r="H2786" s="98" t="s">
        <v>220</v>
      </c>
      <c r="J2786" s="75">
        <f t="shared" si="299"/>
        <v>0</v>
      </c>
      <c r="K2786" s="76"/>
      <c r="Q2786" s="78" t="s">
        <v>2163</v>
      </c>
      <c r="R2786" s="75">
        <f t="shared" si="300"/>
        <v>0.3</v>
      </c>
      <c r="S2786" s="263" t="s">
        <v>1988</v>
      </c>
      <c r="T2786" s="263"/>
      <c r="AA2786" s="576">
        <f t="shared" si="298"/>
        <v>0</v>
      </c>
    </row>
    <row r="2787" spans="1:27" x14ac:dyDescent="0.35">
      <c r="A2787" s="81" t="s">
        <v>8463</v>
      </c>
      <c r="C2787" s="118">
        <v>43990</v>
      </c>
      <c r="D2787" s="118">
        <v>44015</v>
      </c>
      <c r="F2787" s="88" t="s">
        <v>8532</v>
      </c>
      <c r="G2787" s="88" t="s">
        <v>162</v>
      </c>
      <c r="H2787" s="98" t="s">
        <v>220</v>
      </c>
      <c r="J2787" s="75">
        <f t="shared" si="299"/>
        <v>0</v>
      </c>
      <c r="K2787" s="76"/>
      <c r="Q2787" s="78" t="s">
        <v>2130</v>
      </c>
      <c r="R2787" s="75">
        <f t="shared" si="300"/>
        <v>0.3</v>
      </c>
      <c r="S2787" s="263" t="s">
        <v>1988</v>
      </c>
      <c r="T2787" s="263"/>
      <c r="AA2787" s="576">
        <f t="shared" si="298"/>
        <v>0</v>
      </c>
    </row>
    <row r="2788" spans="1:27" x14ac:dyDescent="0.35">
      <c r="A2788" s="81" t="s">
        <v>8464</v>
      </c>
      <c r="C2788" s="118">
        <v>43990</v>
      </c>
      <c r="D2788" s="118">
        <v>44015</v>
      </c>
      <c r="F2788" s="88" t="s">
        <v>8533</v>
      </c>
      <c r="G2788" s="88" t="s">
        <v>156</v>
      </c>
      <c r="H2788" s="98" t="s">
        <v>220</v>
      </c>
      <c r="J2788" s="75">
        <f t="shared" si="299"/>
        <v>0</v>
      </c>
      <c r="K2788" s="76"/>
      <c r="Q2788" s="78" t="s">
        <v>2447</v>
      </c>
      <c r="R2788" s="75">
        <f t="shared" si="300"/>
        <v>0.3</v>
      </c>
      <c r="S2788" s="263" t="s">
        <v>1988</v>
      </c>
      <c r="T2788" s="263"/>
      <c r="AA2788" s="576">
        <f t="shared" si="298"/>
        <v>0</v>
      </c>
    </row>
    <row r="2789" spans="1:27" x14ac:dyDescent="0.35">
      <c r="A2789" s="81" t="s">
        <v>8465</v>
      </c>
      <c r="C2789" s="118">
        <v>43990</v>
      </c>
      <c r="D2789" s="118">
        <v>44028</v>
      </c>
      <c r="F2789" s="88" t="s">
        <v>8534</v>
      </c>
      <c r="G2789" s="88" t="s">
        <v>152</v>
      </c>
      <c r="H2789" s="98" t="s">
        <v>220</v>
      </c>
      <c r="J2789" s="75">
        <f t="shared" si="299"/>
        <v>0</v>
      </c>
      <c r="K2789" s="76"/>
      <c r="Q2789" s="78" t="s">
        <v>2447</v>
      </c>
      <c r="R2789" s="75">
        <f t="shared" si="300"/>
        <v>0.3</v>
      </c>
      <c r="S2789" s="263" t="s">
        <v>1988</v>
      </c>
      <c r="T2789" s="263"/>
      <c r="AA2789" s="576">
        <f t="shared" si="298"/>
        <v>0</v>
      </c>
    </row>
    <row r="2790" spans="1:27" x14ac:dyDescent="0.35">
      <c r="A2790" s="81" t="s">
        <v>8466</v>
      </c>
      <c r="C2790" s="118">
        <v>43990</v>
      </c>
      <c r="D2790" s="118">
        <v>44014</v>
      </c>
      <c r="F2790" s="88" t="s">
        <v>8535</v>
      </c>
      <c r="G2790" s="88" t="s">
        <v>177</v>
      </c>
      <c r="H2790" s="98" t="s">
        <v>220</v>
      </c>
      <c r="J2790" s="75">
        <f t="shared" si="299"/>
        <v>0</v>
      </c>
      <c r="K2790" s="76"/>
      <c r="Q2790" s="78" t="s">
        <v>2163</v>
      </c>
      <c r="R2790" s="75">
        <f t="shared" si="300"/>
        <v>0.3</v>
      </c>
      <c r="S2790" s="263" t="s">
        <v>1988</v>
      </c>
      <c r="T2790" s="263"/>
      <c r="AA2790" s="576">
        <f t="shared" si="298"/>
        <v>0</v>
      </c>
    </row>
    <row r="2791" spans="1:27" x14ac:dyDescent="0.35">
      <c r="A2791" s="81" t="s">
        <v>8467</v>
      </c>
      <c r="C2791" s="118">
        <v>43990</v>
      </c>
      <c r="D2791" s="118">
        <v>44028</v>
      </c>
      <c r="F2791" s="88" t="s">
        <v>8536</v>
      </c>
      <c r="G2791" s="88" t="s">
        <v>149</v>
      </c>
      <c r="H2791" s="98" t="s">
        <v>220</v>
      </c>
      <c r="J2791" s="75">
        <f t="shared" si="299"/>
        <v>0</v>
      </c>
      <c r="K2791" s="76"/>
      <c r="Q2791" s="78" t="s">
        <v>2447</v>
      </c>
      <c r="R2791" s="75">
        <f t="shared" si="300"/>
        <v>0.3</v>
      </c>
      <c r="S2791" s="263" t="s">
        <v>1988</v>
      </c>
      <c r="T2791" s="263"/>
      <c r="AA2791" s="576">
        <f t="shared" si="298"/>
        <v>0</v>
      </c>
    </row>
    <row r="2792" spans="1:27" x14ac:dyDescent="0.35">
      <c r="A2792" s="81" t="s">
        <v>8468</v>
      </c>
      <c r="C2792" s="118">
        <v>43990</v>
      </c>
      <c r="D2792" s="118">
        <v>44014</v>
      </c>
      <c r="F2792" s="88" t="s">
        <v>8537</v>
      </c>
      <c r="G2792" s="88" t="s">
        <v>186</v>
      </c>
      <c r="H2792" s="98" t="s">
        <v>220</v>
      </c>
      <c r="J2792" s="75">
        <f t="shared" si="299"/>
        <v>0</v>
      </c>
      <c r="K2792" s="76"/>
      <c r="Q2792" s="78" t="s">
        <v>2163</v>
      </c>
      <c r="R2792" s="75">
        <f t="shared" si="300"/>
        <v>0.3</v>
      </c>
      <c r="S2792" s="263" t="s">
        <v>1988</v>
      </c>
      <c r="T2792" s="263"/>
      <c r="AA2792" s="576">
        <f t="shared" si="298"/>
        <v>0</v>
      </c>
    </row>
    <row r="2793" spans="1:27" x14ac:dyDescent="0.35">
      <c r="A2793" s="81" t="s">
        <v>8469</v>
      </c>
      <c r="C2793" s="118">
        <v>43990</v>
      </c>
      <c r="D2793" s="118">
        <v>44014</v>
      </c>
      <c r="F2793" s="88" t="s">
        <v>8538</v>
      </c>
      <c r="G2793" s="88" t="s">
        <v>149</v>
      </c>
      <c r="H2793" s="98" t="s">
        <v>220</v>
      </c>
      <c r="J2793" s="75">
        <f t="shared" si="299"/>
        <v>0</v>
      </c>
      <c r="K2793" s="76"/>
      <c r="Q2793" s="78" t="s">
        <v>2130</v>
      </c>
      <c r="R2793" s="75">
        <f t="shared" si="300"/>
        <v>0.3</v>
      </c>
      <c r="S2793" s="263" t="s">
        <v>1988</v>
      </c>
      <c r="T2793" s="263"/>
      <c r="AA2793" s="576">
        <f t="shared" si="298"/>
        <v>0</v>
      </c>
    </row>
    <row r="2794" spans="1:27" x14ac:dyDescent="0.35">
      <c r="A2794" s="81" t="s">
        <v>8470</v>
      </c>
      <c r="C2794" s="118">
        <v>43990</v>
      </c>
      <c r="D2794" s="118">
        <v>44028</v>
      </c>
      <c r="F2794" s="88" t="s">
        <v>8539</v>
      </c>
      <c r="G2794" s="88" t="s">
        <v>417</v>
      </c>
      <c r="H2794" s="98" t="s">
        <v>220</v>
      </c>
      <c r="J2794" s="75">
        <f t="shared" si="299"/>
        <v>0</v>
      </c>
      <c r="K2794" s="76"/>
      <c r="Q2794" s="78" t="s">
        <v>2447</v>
      </c>
      <c r="R2794" s="75">
        <f t="shared" si="300"/>
        <v>0.3</v>
      </c>
      <c r="S2794" s="263" t="s">
        <v>1988</v>
      </c>
      <c r="T2794" s="263"/>
      <c r="AA2794" s="576">
        <f t="shared" si="298"/>
        <v>0</v>
      </c>
    </row>
    <row r="2795" spans="1:27" x14ac:dyDescent="0.35">
      <c r="A2795" s="81" t="s">
        <v>8471</v>
      </c>
      <c r="C2795" s="118">
        <v>43990</v>
      </c>
      <c r="D2795" s="118">
        <v>44015</v>
      </c>
      <c r="F2795" s="88" t="s">
        <v>8540</v>
      </c>
      <c r="G2795" s="88" t="s">
        <v>7204</v>
      </c>
      <c r="H2795" s="98" t="s">
        <v>220</v>
      </c>
      <c r="J2795" s="75">
        <f t="shared" si="299"/>
        <v>0</v>
      </c>
      <c r="K2795" s="76"/>
      <c r="Q2795" s="78" t="s">
        <v>2447</v>
      </c>
      <c r="R2795" s="75">
        <f t="shared" si="300"/>
        <v>0.3</v>
      </c>
      <c r="S2795" s="263" t="s">
        <v>1988</v>
      </c>
      <c r="T2795" s="263"/>
      <c r="AA2795" s="576">
        <f t="shared" si="298"/>
        <v>0</v>
      </c>
    </row>
    <row r="2796" spans="1:27" x14ac:dyDescent="0.35">
      <c r="A2796" s="81" t="s">
        <v>8472</v>
      </c>
      <c r="C2796" s="118">
        <v>43990</v>
      </c>
      <c r="D2796" s="118">
        <v>44015</v>
      </c>
      <c r="F2796" s="88" t="s">
        <v>8541</v>
      </c>
      <c r="G2796" s="88" t="s">
        <v>152</v>
      </c>
      <c r="H2796" s="98" t="s">
        <v>220</v>
      </c>
      <c r="J2796" s="75">
        <f t="shared" si="299"/>
        <v>0</v>
      </c>
      <c r="K2796" s="76"/>
      <c r="Q2796" s="78" t="s">
        <v>2130</v>
      </c>
      <c r="R2796" s="75">
        <f t="shared" si="300"/>
        <v>0.3</v>
      </c>
      <c r="S2796" s="263" t="s">
        <v>1988</v>
      </c>
      <c r="T2796" s="263"/>
      <c r="AA2796" s="576">
        <f t="shared" si="298"/>
        <v>0</v>
      </c>
    </row>
    <row r="2797" spans="1:27" x14ac:dyDescent="0.35">
      <c r="A2797" s="81" t="s">
        <v>8473</v>
      </c>
      <c r="C2797" s="118">
        <v>43990</v>
      </c>
      <c r="D2797" s="118">
        <v>44014</v>
      </c>
      <c r="F2797" s="88" t="s">
        <v>8542</v>
      </c>
      <c r="G2797" s="88" t="s">
        <v>158</v>
      </c>
      <c r="H2797" s="98" t="s">
        <v>220</v>
      </c>
      <c r="J2797" s="75">
        <f t="shared" si="299"/>
        <v>0</v>
      </c>
      <c r="K2797" s="76"/>
      <c r="Q2797" s="78" t="s">
        <v>2097</v>
      </c>
      <c r="R2797" s="75">
        <f t="shared" si="300"/>
        <v>0.3</v>
      </c>
      <c r="S2797" s="263" t="s">
        <v>1988</v>
      </c>
      <c r="T2797" s="263"/>
      <c r="AA2797" s="576">
        <f t="shared" si="298"/>
        <v>0</v>
      </c>
    </row>
    <row r="2798" spans="1:27" x14ac:dyDescent="0.35">
      <c r="A2798" s="81" t="s">
        <v>8474</v>
      </c>
      <c r="C2798" s="118">
        <v>43990</v>
      </c>
      <c r="D2798" s="118">
        <v>44014</v>
      </c>
      <c r="F2798" s="88" t="s">
        <v>8543</v>
      </c>
      <c r="G2798" s="88" t="s">
        <v>158</v>
      </c>
      <c r="H2798" s="98" t="s">
        <v>220</v>
      </c>
      <c r="J2798" s="75">
        <f t="shared" si="299"/>
        <v>0</v>
      </c>
      <c r="K2798" s="76"/>
      <c r="Q2798" s="78" t="s">
        <v>2163</v>
      </c>
      <c r="R2798" s="75">
        <f t="shared" si="300"/>
        <v>0.3</v>
      </c>
      <c r="S2798" s="263" t="s">
        <v>1988</v>
      </c>
      <c r="T2798" s="263"/>
      <c r="AA2798" s="576">
        <f t="shared" si="298"/>
        <v>0</v>
      </c>
    </row>
    <row r="2799" spans="1:27" x14ac:dyDescent="0.35">
      <c r="A2799" s="81" t="s">
        <v>8475</v>
      </c>
      <c r="C2799" s="118">
        <v>43990</v>
      </c>
      <c r="D2799" s="118">
        <v>44015</v>
      </c>
      <c r="F2799" s="88" t="s">
        <v>8544</v>
      </c>
      <c r="G2799" s="88" t="s">
        <v>152</v>
      </c>
      <c r="H2799" s="98" t="s">
        <v>220</v>
      </c>
      <c r="J2799" s="75">
        <f t="shared" si="299"/>
        <v>0</v>
      </c>
      <c r="K2799" s="76"/>
      <c r="Q2799" s="78" t="s">
        <v>2097</v>
      </c>
      <c r="R2799" s="75">
        <f t="shared" si="300"/>
        <v>0.3</v>
      </c>
      <c r="S2799" s="263" t="s">
        <v>1988</v>
      </c>
      <c r="T2799" s="263"/>
      <c r="AA2799" s="576">
        <f t="shared" si="298"/>
        <v>0</v>
      </c>
    </row>
    <row r="2800" spans="1:27" x14ac:dyDescent="0.35">
      <c r="A2800" s="81" t="s">
        <v>8476</v>
      </c>
      <c r="C2800" s="118">
        <v>43990</v>
      </c>
      <c r="D2800" s="118">
        <v>44015</v>
      </c>
      <c r="F2800" s="88" t="s">
        <v>8545</v>
      </c>
      <c r="G2800" s="88" t="s">
        <v>156</v>
      </c>
      <c r="H2800" s="98" t="s">
        <v>220</v>
      </c>
      <c r="J2800" s="75">
        <f t="shared" si="299"/>
        <v>0</v>
      </c>
      <c r="K2800" s="76"/>
      <c r="Q2800" s="78" t="s">
        <v>2447</v>
      </c>
      <c r="R2800" s="75">
        <f t="shared" si="300"/>
        <v>0.3</v>
      </c>
      <c r="S2800" s="263" t="s">
        <v>1988</v>
      </c>
      <c r="T2800" s="263"/>
      <c r="AA2800" s="576">
        <f t="shared" si="298"/>
        <v>0</v>
      </c>
    </row>
    <row r="2801" spans="1:27" x14ac:dyDescent="0.35">
      <c r="A2801" s="81" t="s">
        <v>8477</v>
      </c>
      <c r="C2801" s="118">
        <v>43990</v>
      </c>
      <c r="D2801" s="118">
        <v>44015</v>
      </c>
      <c r="F2801" s="88" t="s">
        <v>8546</v>
      </c>
      <c r="G2801" s="88" t="s">
        <v>162</v>
      </c>
      <c r="H2801" s="98" t="s">
        <v>220</v>
      </c>
      <c r="J2801" s="75">
        <f t="shared" si="299"/>
        <v>0</v>
      </c>
      <c r="K2801" s="76"/>
      <c r="Q2801" s="78" t="s">
        <v>2097</v>
      </c>
      <c r="R2801" s="75">
        <f t="shared" si="300"/>
        <v>0.3</v>
      </c>
      <c r="S2801" s="263" t="s">
        <v>1988</v>
      </c>
      <c r="T2801" s="263"/>
      <c r="AA2801" s="576">
        <f t="shared" si="298"/>
        <v>0</v>
      </c>
    </row>
    <row r="2802" spans="1:27" x14ac:dyDescent="0.35">
      <c r="A2802" s="81" t="s">
        <v>8478</v>
      </c>
      <c r="C2802" s="118">
        <v>43990</v>
      </c>
      <c r="D2802" s="118">
        <v>44015</v>
      </c>
      <c r="F2802" s="88" t="s">
        <v>8547</v>
      </c>
      <c r="G2802" s="88" t="s">
        <v>154</v>
      </c>
      <c r="H2802" s="98" t="s">
        <v>220</v>
      </c>
      <c r="J2802" s="75">
        <f t="shared" si="299"/>
        <v>0</v>
      </c>
      <c r="K2802" s="76"/>
      <c r="Q2802" s="78" t="s">
        <v>2163</v>
      </c>
      <c r="R2802" s="75">
        <f t="shared" si="300"/>
        <v>0.3</v>
      </c>
      <c r="S2802" s="263" t="s">
        <v>1988</v>
      </c>
      <c r="T2802" s="263"/>
      <c r="AA2802" s="576">
        <f t="shared" si="298"/>
        <v>0</v>
      </c>
    </row>
    <row r="2803" spans="1:27" x14ac:dyDescent="0.35">
      <c r="A2803" s="81" t="s">
        <v>8479</v>
      </c>
      <c r="C2803" s="118">
        <v>43990</v>
      </c>
      <c r="D2803" s="118">
        <v>44014</v>
      </c>
      <c r="F2803" s="88" t="s">
        <v>8548</v>
      </c>
      <c r="G2803" s="88" t="s">
        <v>162</v>
      </c>
      <c r="H2803" s="98" t="s">
        <v>220</v>
      </c>
      <c r="J2803" s="75">
        <f t="shared" si="299"/>
        <v>0</v>
      </c>
      <c r="K2803" s="76"/>
      <c r="Q2803" s="78" t="s">
        <v>2097</v>
      </c>
      <c r="R2803" s="75">
        <f t="shared" si="300"/>
        <v>0.3</v>
      </c>
      <c r="S2803" s="263" t="s">
        <v>1988</v>
      </c>
      <c r="T2803" s="263"/>
      <c r="AA2803" s="576">
        <f t="shared" si="298"/>
        <v>0</v>
      </c>
    </row>
    <row r="2804" spans="1:27" x14ac:dyDescent="0.35">
      <c r="A2804" s="81" t="s">
        <v>8480</v>
      </c>
      <c r="C2804" s="118">
        <v>43990</v>
      </c>
      <c r="D2804" s="118">
        <v>44015</v>
      </c>
      <c r="F2804" s="88" t="s">
        <v>8549</v>
      </c>
      <c r="G2804" s="88" t="s">
        <v>154</v>
      </c>
      <c r="H2804" s="98" t="s">
        <v>220</v>
      </c>
      <c r="J2804" s="75">
        <f t="shared" si="299"/>
        <v>0</v>
      </c>
      <c r="K2804" s="76"/>
      <c r="Q2804" s="78" t="s">
        <v>2163</v>
      </c>
      <c r="R2804" s="75">
        <f t="shared" si="300"/>
        <v>0.3</v>
      </c>
      <c r="S2804" s="263" t="s">
        <v>1988</v>
      </c>
      <c r="T2804" s="263"/>
      <c r="AA2804" s="576">
        <f t="shared" si="298"/>
        <v>0</v>
      </c>
    </row>
    <row r="2805" spans="1:27" x14ac:dyDescent="0.35">
      <c r="A2805" s="81" t="s">
        <v>8481</v>
      </c>
      <c r="C2805" s="118">
        <v>43990</v>
      </c>
      <c r="D2805" s="118">
        <v>44015</v>
      </c>
      <c r="F2805" s="88" t="s">
        <v>8550</v>
      </c>
      <c r="G2805" s="88" t="s">
        <v>154</v>
      </c>
      <c r="H2805" s="98" t="s">
        <v>220</v>
      </c>
      <c r="J2805" s="75">
        <f t="shared" si="299"/>
        <v>0</v>
      </c>
      <c r="K2805" s="76"/>
      <c r="Q2805" s="78" t="s">
        <v>2130</v>
      </c>
      <c r="R2805" s="75">
        <f t="shared" si="300"/>
        <v>0.3</v>
      </c>
      <c r="S2805" s="263" t="s">
        <v>1988</v>
      </c>
      <c r="T2805" s="263"/>
      <c r="AA2805" s="576">
        <f t="shared" si="298"/>
        <v>0</v>
      </c>
    </row>
    <row r="2806" spans="1:27" x14ac:dyDescent="0.35">
      <c r="A2806" s="81" t="s">
        <v>8482</v>
      </c>
      <c r="C2806" s="118">
        <v>43990</v>
      </c>
      <c r="D2806" s="118">
        <v>44015</v>
      </c>
      <c r="F2806" s="88" t="s">
        <v>8551</v>
      </c>
      <c r="G2806" s="88" t="s">
        <v>181</v>
      </c>
      <c r="H2806" s="98" t="s">
        <v>220</v>
      </c>
      <c r="J2806" s="75">
        <f t="shared" si="299"/>
        <v>0</v>
      </c>
      <c r="K2806" s="76"/>
      <c r="Q2806" s="78" t="s">
        <v>2447</v>
      </c>
      <c r="R2806" s="75">
        <f t="shared" si="300"/>
        <v>0.3</v>
      </c>
      <c r="S2806" s="263" t="s">
        <v>1988</v>
      </c>
      <c r="T2806" s="263"/>
      <c r="AA2806" s="576">
        <f t="shared" ref="AA2806:AA2823" si="301">Z2806-Y2806</f>
        <v>0</v>
      </c>
    </row>
    <row r="2807" spans="1:27" x14ac:dyDescent="0.35">
      <c r="A2807" s="81" t="s">
        <v>8483</v>
      </c>
      <c r="C2807" s="118">
        <v>43990</v>
      </c>
      <c r="D2807" s="118">
        <v>44015</v>
      </c>
      <c r="F2807" s="88" t="s">
        <v>8552</v>
      </c>
      <c r="G2807" s="88" t="s">
        <v>154</v>
      </c>
      <c r="H2807" s="98" t="s">
        <v>220</v>
      </c>
      <c r="J2807" s="75">
        <f t="shared" si="299"/>
        <v>0</v>
      </c>
      <c r="K2807" s="76"/>
      <c r="Q2807" s="78" t="s">
        <v>2130</v>
      </c>
      <c r="R2807" s="75">
        <f t="shared" si="300"/>
        <v>0.3</v>
      </c>
      <c r="S2807" s="263" t="s">
        <v>1988</v>
      </c>
      <c r="T2807" s="263"/>
      <c r="AA2807" s="576">
        <f t="shared" si="301"/>
        <v>0</v>
      </c>
    </row>
    <row r="2808" spans="1:27" x14ac:dyDescent="0.35">
      <c r="A2808" s="81" t="s">
        <v>8484</v>
      </c>
      <c r="C2808" s="118">
        <v>43990</v>
      </c>
      <c r="D2808" s="118">
        <v>44014</v>
      </c>
      <c r="F2808" s="88" t="s">
        <v>8553</v>
      </c>
      <c r="G2808" s="88" t="s">
        <v>417</v>
      </c>
      <c r="H2808" s="98" t="s">
        <v>220</v>
      </c>
      <c r="J2808" s="75">
        <f t="shared" si="299"/>
        <v>0</v>
      </c>
      <c r="K2808" s="76"/>
      <c r="Q2808" s="78" t="s">
        <v>2130</v>
      </c>
      <c r="R2808" s="75">
        <f t="shared" si="300"/>
        <v>0.3</v>
      </c>
      <c r="S2808" s="263" t="s">
        <v>1988</v>
      </c>
      <c r="T2808" s="263"/>
      <c r="AA2808" s="576">
        <f t="shared" si="301"/>
        <v>0</v>
      </c>
    </row>
    <row r="2809" spans="1:27" x14ac:dyDescent="0.35">
      <c r="A2809" s="81" t="s">
        <v>8485</v>
      </c>
      <c r="C2809" s="118">
        <v>43991</v>
      </c>
      <c r="D2809" s="118">
        <v>44018</v>
      </c>
      <c r="F2809" s="88" t="s">
        <v>8554</v>
      </c>
      <c r="G2809" s="88" t="s">
        <v>154</v>
      </c>
      <c r="H2809" s="98" t="s">
        <v>220</v>
      </c>
      <c r="J2809" s="75">
        <f t="shared" si="299"/>
        <v>0</v>
      </c>
      <c r="K2809" s="76"/>
      <c r="Q2809" s="78" t="s">
        <v>2163</v>
      </c>
      <c r="R2809" s="75">
        <f t="shared" si="300"/>
        <v>0.3</v>
      </c>
      <c r="S2809" s="263" t="s">
        <v>1988</v>
      </c>
      <c r="T2809" s="263"/>
      <c r="AA2809" s="576">
        <f t="shared" si="301"/>
        <v>0</v>
      </c>
    </row>
    <row r="2810" spans="1:27" x14ac:dyDescent="0.35">
      <c r="A2810" s="81" t="s">
        <v>8486</v>
      </c>
      <c r="C2810" s="118">
        <v>43990</v>
      </c>
      <c r="D2810" s="118">
        <v>44015</v>
      </c>
      <c r="F2810" s="88" t="s">
        <v>8555</v>
      </c>
      <c r="G2810" s="88" t="s">
        <v>1393</v>
      </c>
      <c r="H2810" s="98" t="s">
        <v>220</v>
      </c>
      <c r="J2810" s="75">
        <f t="shared" si="299"/>
        <v>0</v>
      </c>
      <c r="K2810" s="76"/>
      <c r="Q2810" s="78" t="s">
        <v>2163</v>
      </c>
      <c r="R2810" s="75">
        <f t="shared" si="300"/>
        <v>0.3</v>
      </c>
      <c r="S2810" s="263" t="s">
        <v>1988</v>
      </c>
      <c r="T2810" s="263"/>
      <c r="AA2810" s="576">
        <f t="shared" si="301"/>
        <v>0</v>
      </c>
    </row>
    <row r="2811" spans="1:27" x14ac:dyDescent="0.35">
      <c r="A2811" s="81" t="s">
        <v>8487</v>
      </c>
      <c r="C2811" s="118">
        <v>43991</v>
      </c>
      <c r="D2811" s="118">
        <v>44018</v>
      </c>
      <c r="F2811" s="88" t="s">
        <v>8556</v>
      </c>
      <c r="G2811" s="88" t="s">
        <v>149</v>
      </c>
      <c r="H2811" s="98" t="s">
        <v>220</v>
      </c>
      <c r="J2811" s="75">
        <f t="shared" si="299"/>
        <v>0</v>
      </c>
      <c r="K2811" s="76"/>
      <c r="Q2811" s="78" t="s">
        <v>2130</v>
      </c>
      <c r="R2811" s="75">
        <f t="shared" si="300"/>
        <v>0.3</v>
      </c>
      <c r="S2811" s="263" t="s">
        <v>1988</v>
      </c>
      <c r="T2811" s="263"/>
      <c r="AA2811" s="576">
        <f t="shared" si="301"/>
        <v>0</v>
      </c>
    </row>
    <row r="2812" spans="1:27" x14ac:dyDescent="0.35">
      <c r="A2812" s="81" t="s">
        <v>8488</v>
      </c>
      <c r="C2812" s="118">
        <v>43991</v>
      </c>
      <c r="D2812" s="118">
        <v>44018</v>
      </c>
      <c r="F2812" s="88" t="s">
        <v>8557</v>
      </c>
      <c r="G2812" s="88" t="s">
        <v>162</v>
      </c>
      <c r="H2812" s="98" t="s">
        <v>220</v>
      </c>
      <c r="J2812" s="75">
        <f t="shared" si="299"/>
        <v>0</v>
      </c>
      <c r="K2812" s="76"/>
      <c r="Q2812" s="78" t="s">
        <v>2097</v>
      </c>
      <c r="R2812" s="75">
        <f t="shared" si="300"/>
        <v>0.3</v>
      </c>
      <c r="S2812" s="263" t="s">
        <v>1988</v>
      </c>
      <c r="T2812" s="263"/>
      <c r="AA2812" s="576">
        <f t="shared" si="301"/>
        <v>0</v>
      </c>
    </row>
    <row r="2813" spans="1:27" x14ac:dyDescent="0.35">
      <c r="A2813" s="81" t="s">
        <v>8489</v>
      </c>
      <c r="C2813" s="118">
        <v>43991</v>
      </c>
      <c r="D2813" s="118">
        <v>44018</v>
      </c>
      <c r="F2813" s="88" t="s">
        <v>8558</v>
      </c>
      <c r="G2813" s="88" t="s">
        <v>7993</v>
      </c>
      <c r="H2813" s="98" t="s">
        <v>220</v>
      </c>
      <c r="J2813" s="75">
        <f t="shared" si="299"/>
        <v>0</v>
      </c>
      <c r="K2813" s="76"/>
      <c r="Q2813" s="78" t="s">
        <v>2163</v>
      </c>
      <c r="R2813" s="75">
        <f t="shared" si="300"/>
        <v>0.3</v>
      </c>
      <c r="S2813" s="263" t="s">
        <v>1988</v>
      </c>
      <c r="T2813" s="263"/>
      <c r="AA2813" s="576">
        <f t="shared" si="301"/>
        <v>0</v>
      </c>
    </row>
    <row r="2814" spans="1:27" x14ac:dyDescent="0.35">
      <c r="A2814" s="81" t="s">
        <v>8490</v>
      </c>
      <c r="C2814" s="118">
        <v>43991</v>
      </c>
      <c r="D2814" s="118">
        <v>44015</v>
      </c>
      <c r="F2814" s="88" t="s">
        <v>8559</v>
      </c>
      <c r="G2814" s="88" t="s">
        <v>156</v>
      </c>
      <c r="H2814" s="98" t="s">
        <v>220</v>
      </c>
      <c r="J2814" s="75">
        <f t="shared" si="299"/>
        <v>0</v>
      </c>
      <c r="K2814" s="76"/>
      <c r="Q2814" s="78" t="s">
        <v>2097</v>
      </c>
      <c r="R2814" s="75">
        <f t="shared" si="300"/>
        <v>0.3</v>
      </c>
      <c r="S2814" s="263" t="s">
        <v>1988</v>
      </c>
      <c r="T2814" s="263"/>
      <c r="AA2814" s="576">
        <f t="shared" si="301"/>
        <v>0</v>
      </c>
    </row>
    <row r="2815" spans="1:27" x14ac:dyDescent="0.35">
      <c r="A2815" s="81" t="s">
        <v>8491</v>
      </c>
      <c r="C2815" s="118">
        <v>43991</v>
      </c>
      <c r="D2815" s="118">
        <v>44018</v>
      </c>
      <c r="F2815" s="88" t="s">
        <v>8560</v>
      </c>
      <c r="G2815" s="88" t="s">
        <v>154</v>
      </c>
      <c r="H2815" s="98" t="s">
        <v>220</v>
      </c>
      <c r="J2815" s="75">
        <f t="shared" si="299"/>
        <v>0</v>
      </c>
      <c r="K2815" s="76"/>
      <c r="Q2815" s="78" t="s">
        <v>2097</v>
      </c>
      <c r="R2815" s="75">
        <f t="shared" si="300"/>
        <v>0.3</v>
      </c>
      <c r="S2815" s="263" t="s">
        <v>1988</v>
      </c>
      <c r="T2815" s="263"/>
      <c r="AA2815" s="576">
        <f t="shared" si="301"/>
        <v>0</v>
      </c>
    </row>
    <row r="2816" spans="1:27" x14ac:dyDescent="0.35">
      <c r="A2816" s="81" t="s">
        <v>8492</v>
      </c>
      <c r="C2816" s="118">
        <v>43991</v>
      </c>
      <c r="D2816" s="118">
        <v>44015</v>
      </c>
      <c r="F2816" s="88" t="s">
        <v>8561</v>
      </c>
      <c r="G2816" s="88" t="s">
        <v>149</v>
      </c>
      <c r="H2816" s="98" t="s">
        <v>220</v>
      </c>
      <c r="J2816" s="75">
        <f t="shared" si="299"/>
        <v>0</v>
      </c>
      <c r="K2816" s="76"/>
      <c r="Q2816" s="78" t="s">
        <v>2097</v>
      </c>
      <c r="R2816" s="75">
        <f t="shared" si="300"/>
        <v>0.3</v>
      </c>
      <c r="S2816" s="263" t="s">
        <v>1988</v>
      </c>
      <c r="T2816" s="263"/>
      <c r="AA2816" s="576">
        <f t="shared" si="301"/>
        <v>0</v>
      </c>
    </row>
    <row r="2817" spans="1:27" x14ac:dyDescent="0.35">
      <c r="A2817" s="81" t="s">
        <v>8493</v>
      </c>
      <c r="C2817" s="118">
        <v>43991</v>
      </c>
      <c r="D2817" s="118">
        <v>44018</v>
      </c>
      <c r="F2817" s="88" t="s">
        <v>8562</v>
      </c>
      <c r="G2817" s="88" t="s">
        <v>162</v>
      </c>
      <c r="H2817" s="98" t="s">
        <v>220</v>
      </c>
      <c r="J2817" s="75">
        <f t="shared" si="299"/>
        <v>0</v>
      </c>
      <c r="K2817" s="76"/>
      <c r="Q2817" s="78" t="s">
        <v>2447</v>
      </c>
      <c r="R2817" s="75">
        <f t="shared" si="300"/>
        <v>0.3</v>
      </c>
      <c r="S2817" s="263" t="s">
        <v>1988</v>
      </c>
      <c r="T2817" s="263"/>
      <c r="AA2817" s="576">
        <f t="shared" si="301"/>
        <v>0</v>
      </c>
    </row>
    <row r="2818" spans="1:27" x14ac:dyDescent="0.35">
      <c r="A2818" s="81" t="s">
        <v>8494</v>
      </c>
      <c r="C2818" s="118">
        <v>43992</v>
      </c>
      <c r="D2818" s="118">
        <v>44018</v>
      </c>
      <c r="F2818" s="88" t="s">
        <v>8563</v>
      </c>
      <c r="G2818" s="88" t="s">
        <v>176</v>
      </c>
      <c r="H2818" s="98" t="s">
        <v>220</v>
      </c>
      <c r="J2818" s="75">
        <f t="shared" si="299"/>
        <v>0</v>
      </c>
      <c r="K2818" s="76"/>
      <c r="Q2818" s="78" t="s">
        <v>2130</v>
      </c>
      <c r="R2818" s="75">
        <f t="shared" si="300"/>
        <v>0.3</v>
      </c>
      <c r="S2818" s="263" t="s">
        <v>1988</v>
      </c>
      <c r="T2818" s="263"/>
      <c r="AA2818" s="576">
        <f t="shared" si="301"/>
        <v>0</v>
      </c>
    </row>
    <row r="2819" spans="1:27" x14ac:dyDescent="0.35">
      <c r="A2819" s="81" t="s">
        <v>8495</v>
      </c>
      <c r="C2819" s="118">
        <v>43992</v>
      </c>
      <c r="D2819" s="118">
        <v>44018</v>
      </c>
      <c r="F2819" s="88" t="s">
        <v>8564</v>
      </c>
      <c r="G2819" s="88" t="s">
        <v>156</v>
      </c>
      <c r="H2819" s="98" t="s">
        <v>220</v>
      </c>
      <c r="J2819" s="75">
        <f t="shared" si="299"/>
        <v>0</v>
      </c>
      <c r="K2819" s="76"/>
      <c r="Q2819" s="78" t="s">
        <v>2163</v>
      </c>
      <c r="R2819" s="75">
        <f t="shared" si="300"/>
        <v>0.3</v>
      </c>
      <c r="S2819" s="263" t="s">
        <v>1988</v>
      </c>
      <c r="T2819" s="263"/>
      <c r="AA2819" s="576">
        <f t="shared" si="301"/>
        <v>0</v>
      </c>
    </row>
    <row r="2820" spans="1:27" x14ac:dyDescent="0.35">
      <c r="A2820" s="81" t="s">
        <v>8496</v>
      </c>
      <c r="C2820" s="118">
        <v>43992</v>
      </c>
      <c r="D2820" s="118">
        <v>44018</v>
      </c>
      <c r="F2820" s="88" t="s">
        <v>8565</v>
      </c>
      <c r="G2820" s="88" t="s">
        <v>186</v>
      </c>
      <c r="H2820" s="98" t="s">
        <v>220</v>
      </c>
      <c r="J2820" s="75">
        <f t="shared" si="299"/>
        <v>0</v>
      </c>
      <c r="K2820" s="76"/>
      <c r="Q2820" s="78" t="s">
        <v>2447</v>
      </c>
      <c r="R2820" s="75">
        <f t="shared" si="300"/>
        <v>0.3</v>
      </c>
      <c r="S2820" s="263" t="s">
        <v>1988</v>
      </c>
      <c r="T2820" s="263"/>
      <c r="AA2820" s="576">
        <f t="shared" si="301"/>
        <v>0</v>
      </c>
    </row>
    <row r="2821" spans="1:27" x14ac:dyDescent="0.35">
      <c r="A2821" s="81" t="s">
        <v>8497</v>
      </c>
      <c r="C2821" s="118">
        <v>43992</v>
      </c>
      <c r="D2821" s="118">
        <v>44018</v>
      </c>
      <c r="F2821" s="88" t="s">
        <v>8566</v>
      </c>
      <c r="G2821" s="88" t="s">
        <v>162</v>
      </c>
      <c r="H2821" s="81" t="s">
        <v>275</v>
      </c>
      <c r="J2821" s="75">
        <f t="shared" si="299"/>
        <v>0</v>
      </c>
      <c r="K2821" s="76"/>
      <c r="Q2821" s="78" t="s">
        <v>2130</v>
      </c>
      <c r="R2821" s="75">
        <f t="shared" si="300"/>
        <v>0.3</v>
      </c>
      <c r="S2821" s="263" t="s">
        <v>1988</v>
      </c>
      <c r="T2821" s="263"/>
      <c r="AA2821" s="576">
        <f t="shared" si="301"/>
        <v>0</v>
      </c>
    </row>
    <row r="2822" spans="1:27" x14ac:dyDescent="0.35">
      <c r="A2822" s="81" t="s">
        <v>8498</v>
      </c>
      <c r="C2822" s="118">
        <v>43992</v>
      </c>
      <c r="D2822" s="118">
        <v>44018</v>
      </c>
      <c r="F2822" s="88" t="s">
        <v>8567</v>
      </c>
      <c r="G2822" s="88" t="s">
        <v>154</v>
      </c>
      <c r="H2822" s="98" t="s">
        <v>220</v>
      </c>
      <c r="J2822" s="75">
        <f t="shared" si="299"/>
        <v>0</v>
      </c>
      <c r="K2822" s="76"/>
      <c r="Q2822" s="78" t="s">
        <v>2447</v>
      </c>
      <c r="R2822" s="75">
        <f t="shared" si="300"/>
        <v>0.3</v>
      </c>
      <c r="S2822" s="263" t="s">
        <v>1988</v>
      </c>
      <c r="T2822" s="263"/>
      <c r="AA2822" s="576">
        <f t="shared" si="301"/>
        <v>0</v>
      </c>
    </row>
    <row r="2823" spans="1:27" x14ac:dyDescent="0.35">
      <c r="J2823" s="75">
        <f t="shared" ref="J2823" si="302">IF(OR(K2823="Документы готовы",K2823="Запрос в ФО",K2823="ЭЗ",K2823="РЕШ",K2823="РЕШ шаблон"),0.1,IF(OR(K2823="ЭЗ согласование",K2823="РЕШ согласование"),0.3,IF(OR(K2823="ЭЗ согласовано",K2823="РЕШ согласовано",K2823="РЕШ подписано"),0.6,IF(OR(K2823="ЭЗ ПР согласование",K2823="РЕШ УВ согласование"),0.9,IF(OR(K2823="ЭЗ ПР DONE",K2823="РЕШ УВ DONE"),1,0)))))</f>
        <v>0</v>
      </c>
      <c r="K2823" s="76"/>
      <c r="R2823" s="75">
        <f t="shared" si="300"/>
        <v>0.3</v>
      </c>
      <c r="S2823" s="263" t="s">
        <v>1988</v>
      </c>
      <c r="T2823" s="263"/>
      <c r="AA2823" s="576">
        <f t="shared" si="301"/>
        <v>0</v>
      </c>
    </row>
  </sheetData>
  <autoFilter ref="A2:AM2823"/>
  <mergeCells count="24">
    <mergeCell ref="P1:P2"/>
    <mergeCell ref="Q1:Q2"/>
    <mergeCell ref="S1:S2"/>
    <mergeCell ref="AB1:AB2"/>
    <mergeCell ref="Y1:AA1"/>
    <mergeCell ref="U1:U2"/>
    <mergeCell ref="W1:W2"/>
    <mergeCell ref="X1:X2"/>
    <mergeCell ref="T1:T2"/>
    <mergeCell ref="V1:V2"/>
    <mergeCell ref="N1:N2"/>
    <mergeCell ref="O1:O2"/>
    <mergeCell ref="M1:M2"/>
    <mergeCell ref="A1:A2"/>
    <mergeCell ref="B1:B2"/>
    <mergeCell ref="C1:C2"/>
    <mergeCell ref="D1:D2"/>
    <mergeCell ref="E1:E2"/>
    <mergeCell ref="F1:F2"/>
    <mergeCell ref="G1:G2"/>
    <mergeCell ref="H1:H2"/>
    <mergeCell ref="I1:I2"/>
    <mergeCell ref="K1:K2"/>
    <mergeCell ref="L1:L2"/>
  </mergeCells>
  <conditionalFormatting sqref="K1 T1624:T1625 T1621:Z1623 S1622 S3:Z1620 T2119:T2124 K2126:K2129 S1626:T2117 K3:K2117 K2131:K2186 S2119:S2823 T2126:T2823 K2190:K1048576">
    <cfRule type="containsText" dxfId="274" priority="51" operator="containsText" text="РЕШ Шаблон">
      <formula>NOT(ISERROR(SEARCH("РЕШ Шаблон",K1)))</formula>
    </cfRule>
  </conditionalFormatting>
  <conditionalFormatting sqref="A34:I34 A106:C113 E106:I113 A149:I159 A129:A148 C129:I133 A172:A173 C173:I173 A174:I174 C135:I135 C134:H134 C137:I144 C136:H136 C146:I148 C145:H145 A161:I165 A160:H160 A167:I170 A166:H166 A171:H171 C172:H172 A176:I179 A175:H175 A181:I198 A180:H180 A200:I203 A199:H199 A205:I209 A204:H204 A212:I213 A210:H211 A219:I227 A214:H218 A230:I268 A228:H229 A270:I274 A269:H269 A276:I276 A275:H275 A278:I309 A277:H277 A311:I331 A310:H310 A333:I375 A332:H332 A377:I492 A376:H376 E493:E2083">
    <cfRule type="expression" dxfId="273" priority="47">
      <formula>$K34="РЕШ Шаблон"</formula>
    </cfRule>
  </conditionalFormatting>
  <conditionalFormatting sqref="A104:I105 A114:I121 A126:I128 A122:G123 A124:F124 A125:G125 I122:I125">
    <cfRule type="expression" dxfId="272" priority="46">
      <formula>$K104="РЕШ Шаблон"</formula>
    </cfRule>
  </conditionalFormatting>
  <conditionalFormatting sqref="I40">
    <cfRule type="expression" dxfId="271" priority="45">
      <formula>$K40="РЕШ Шаблон"</formula>
    </cfRule>
  </conditionalFormatting>
  <conditionalFormatting sqref="A48:I48">
    <cfRule type="expression" dxfId="270" priority="44">
      <formula>$K48="РЕШ Шаблон"</formula>
    </cfRule>
  </conditionalFormatting>
  <conditionalFormatting sqref="D236">
    <cfRule type="duplicateValues" dxfId="269" priority="28"/>
  </conditionalFormatting>
  <conditionalFormatting sqref="A1 A3:A1048576">
    <cfRule type="duplicateValues" dxfId="268" priority="1655"/>
  </conditionalFormatting>
  <conditionalFormatting sqref="S1623:S1625 S1621">
    <cfRule type="containsText" dxfId="267" priority="17" operator="containsText" text="РЕШ Шаблон">
      <formula>NOT(ISERROR(SEARCH("РЕШ Шаблон",S1621)))</formula>
    </cfRule>
  </conditionalFormatting>
  <conditionalFormatting sqref="S2118">
    <cfRule type="containsText" dxfId="266" priority="9" operator="containsText" text="РЕШ Шаблон">
      <formula>NOT(ISERROR(SEARCH("РЕШ Шаблон",S2118)))</formula>
    </cfRule>
  </conditionalFormatting>
  <conditionalFormatting sqref="T2118">
    <cfRule type="containsText" dxfId="265" priority="6" operator="containsText" text="РЕШ Шаблон">
      <formula>NOT(ISERROR(SEARCH("РЕШ Шаблон",T2118)))</formula>
    </cfRule>
  </conditionalFormatting>
  <conditionalFormatting sqref="K2123:K2124 K2118:K2121">
    <cfRule type="containsText" dxfId="264" priority="4" operator="containsText" text="РЕШ Шаблон">
      <formula>NOT(ISERROR(SEARCH("РЕШ Шаблон",K2118)))</formula>
    </cfRule>
  </conditionalFormatting>
  <conditionalFormatting sqref="T2125">
    <cfRule type="containsText" dxfId="263" priority="3" operator="containsText" text="РЕШ Шаблон">
      <formula>NOT(ISERROR(SEARCH("РЕШ Шаблон",T2125)))</formula>
    </cfRule>
  </conditionalFormatting>
  <conditionalFormatting sqref="K2187:K2189 K2130 K2125">
    <cfRule type="containsText" dxfId="262" priority="2" operator="containsText" text="РЕШ Шаблон">
      <formula>NOT(ISERROR(SEARCH("РЕШ Шаблон",K2125)))</formula>
    </cfRule>
  </conditionalFormatting>
  <conditionalFormatting sqref="K2122">
    <cfRule type="containsText" dxfId="261" priority="1" operator="containsText" text="РЕШ Шаблон">
      <formula>NOT(ISERROR(SEARCH("РЕШ Шаблон",K2122)))</formula>
    </cfRule>
  </conditionalFormatting>
  <hyperlinks>
    <hyperlink ref="B10" r:id="rId1" location="uuid:serviceCall$20689969"/>
    <hyperlink ref="B11" r:id="rId2" location="uuid:serviceCall$21161126"/>
    <hyperlink ref="B12" r:id="rId3" location="uuid:serviceCall$26967600"/>
    <hyperlink ref="B13" r:id="rId4" location="uuid:serviceCall$34117905"/>
    <hyperlink ref="B14" r:id="rId5" location="uuid:serviceCall$34005767"/>
    <hyperlink ref="B15" r:id="rId6" location="uuid:serviceCall$34005784"/>
    <hyperlink ref="B16" r:id="rId7" location="uuid:serviceCall$34117939"/>
    <hyperlink ref="B17" r:id="rId8" location="uuid:serviceCall$34117944"/>
    <hyperlink ref="A10" location="'18264'!A1" display=" У-19-18264"/>
    <hyperlink ref="A12" location="'25476'!A1" display=" У-19-25476"/>
    <hyperlink ref="A16" location="'32603'!A1" display="У-19-32603"/>
    <hyperlink ref="A17" location="'32608'!A1" display="У-19-32608"/>
    <hyperlink ref="A11" location="'18885'!A1" display=" У-19-18885"/>
    <hyperlink ref="A13" location="'32569'!A1" display="У-19-32569"/>
    <hyperlink ref="A14" location="'32531'!A1" display=" У-19-32531"/>
    <hyperlink ref="A15" location="'32548'!A1" display="У-19-32548"/>
    <hyperlink ref="A4" location="'30612'!A1" display="У-19-30612"/>
    <hyperlink ref="A7" location="'31810'!A1" display="У-19-31810"/>
    <hyperlink ref="A8" location="'31812'!A1" display="У-19-31812"/>
    <hyperlink ref="A9" location="'17636'!A1" display="У-19-17636"/>
    <hyperlink ref="A3" location="'17626'!A1" display="У-19-17626"/>
    <hyperlink ref="B3" r:id="rId9" location="uuid:serviceCall$20339677"/>
    <hyperlink ref="B4" r:id="rId10" location="uuid:serviceCall$32452731" display="https://smp.sfurf.office/sd/operator/index.jsp;jsessionid=4B56FDB405CD332F2E4AE6AEC0BFEE05 - uuid:serviceCall$32452731"/>
    <hyperlink ref="B5" r:id="rId11" location="uuid:serviceCall$33150128" display="https://smp.sfurf.office/sd/operator/index.jsp;jsessionid=4B56FDB405CD332F2E4AE6AEC0BFEE05 - uuid:serviceCall$33150128"/>
    <hyperlink ref="B6" r:id="rId12" location="uuid:serviceCall$33150130" display="https://smp.sfurf.office/sd/operator/index.jsp;jsessionid=4B56FDB405CD332F2E4AE6AEC0BFEE05 - uuid:serviceCall$33150130"/>
    <hyperlink ref="B7" r:id="rId13" location="uuid:serviceCall$33150133" display="https://smp.sfurf.office/sd/operator/index.jsp;jsessionid=4B56FDB405CD332F2E4AE6AEC0BFEE05 - uuid:serviceCall$33150133"/>
    <hyperlink ref="B8" r:id="rId14" location="uuid:serviceCall$33150135" display="https://smp.sfurf.office/sd/operator/index.jsp;jsessionid=4B56FDB405CD332F2E4AE6AEC0BFEE05 - uuid:serviceCall$33150135"/>
    <hyperlink ref="B9" r:id="rId15" location="uuid:serviceCall$20339687"/>
    <hyperlink ref="B18" r:id="rId16" location="uuid:serviceCall$27057596"/>
    <hyperlink ref="B19" r:id="rId17" location="uuid:serviceCall$27057563"/>
    <hyperlink ref="B20" r:id="rId18" location="uuid:serviceCall$33790871"/>
    <hyperlink ref="B21" r:id="rId19" location="uuid:serviceCall$33790876"/>
    <hyperlink ref="B22" r:id="rId20" location="uuid:serviceCall$33790879"/>
    <hyperlink ref="A18" location="'25579'!A1" display=" У-19-25579"/>
    <hyperlink ref="A19" location="'25556'!A1" display=" У-19-25556"/>
    <hyperlink ref="A20" location="'32435'!A1" display=" У-19-32435"/>
    <hyperlink ref="A21" location="'32440'!A1" display="У-19-32440"/>
    <hyperlink ref="A22" location="'32443'!A1" display="У-19-32443"/>
    <hyperlink ref="B23" r:id="rId21" location="uuid:serviceCall$27542363"/>
    <hyperlink ref="B24" r:id="rId22" location="uuid:serviceCall$27542356"/>
    <hyperlink ref="B25" r:id="rId23" location="uuid:serviceCall$27542352"/>
    <hyperlink ref="B26" r:id="rId24" location="uuid:serviceCall$34548373"/>
    <hyperlink ref="B27" r:id="rId25" location="uuid:serviceCall$34548382"/>
    <hyperlink ref="B28" r:id="rId26" location="uuid:serviceCall$34548384"/>
    <hyperlink ref="B29" r:id="rId27" location="uuid:serviceCall$34548387"/>
    <hyperlink ref="B30" r:id="rId28" location="uuid:serviceCall$34548399"/>
    <hyperlink ref="A23" location="'26025'!A1" display="У-19-26025"/>
    <hyperlink ref="A24" location="'26018'!A1" display=" У-19-26018"/>
    <hyperlink ref="A25" location="'26014'!A1" display=" У-19-26014"/>
    <hyperlink ref="A26" location="'33023'!A1" display="У-19-33023"/>
    <hyperlink ref="A27" location="'33028'!A1" display=" У-19-33028"/>
    <hyperlink ref="A28" location="'33031'!A1" display=" У-19-33031"/>
    <hyperlink ref="A29" location="'33034'!A1" display=" У-19-33034"/>
    <hyperlink ref="A30" location="'33046'!A1" display=" У-19-33046"/>
    <hyperlink ref="B33" r:id="rId29" location="uuid:serviceCall$36267116"/>
    <hyperlink ref="B32" r:id="rId30" location="uuid:serviceCall$22314254"/>
    <hyperlink ref="B31" r:id="rId31" location="uuid:serviceCall$28107739"/>
    <hyperlink ref="B34" r:id="rId32" location="uuid:serviceCall$36267120"/>
    <hyperlink ref="B35" r:id="rId33" location="uuid:serviceCall$36267127"/>
    <hyperlink ref="B36" r:id="rId34" location="uuid:serviceCall$36267129"/>
    <hyperlink ref="B37" r:id="rId35" location="uuid:serviceCall$36267131"/>
    <hyperlink ref="A31" location="'26514'!A1" display="У-19-26514"/>
    <hyperlink ref="A32" location="'20208'!A1" display="У-19-20208"/>
    <hyperlink ref="A33" location="'34354'!A1" display=" У-19-34354"/>
    <hyperlink ref="A34" location="'34358'!A1" display=" У-19-34358"/>
    <hyperlink ref="A35" location="'34365'!A1" display=" У-19-34365"/>
    <hyperlink ref="A36" location="'34367'!A1" display="У-19-34367"/>
    <hyperlink ref="A37" location="'34369'!A1" display="У-19-34369"/>
    <hyperlink ref="B38" r:id="rId36" location="uuid:serviceCall$36645664"/>
    <hyperlink ref="B39" r:id="rId37" location="uuid:serviceCall$36645660"/>
    <hyperlink ref="B40" r:id="rId38" location="uuid:serviceCall$36645653"/>
    <hyperlink ref="B41" r:id="rId39" location="uuid:serviceCall$29533359"/>
    <hyperlink ref="B42" r:id="rId40" location="uuid:serviceCall$29533365"/>
    <hyperlink ref="B43" r:id="rId41" location="uuid:serviceCall$29533309"/>
    <hyperlink ref="A38" location="'34694'!A1" display="У-19-34694"/>
    <hyperlink ref="A39" location="'34690'!A1" display="У-19-34690"/>
    <hyperlink ref="A40" location="'34683'!A1" display=" У-19-34683"/>
    <hyperlink ref="A41" location="'27962'!A1" display=" У-19-27962"/>
    <hyperlink ref="A42" location="'27968'!A1" display=" У-19-27968"/>
    <hyperlink ref="A43" location="'27913'!A1" display="У-19-27913"/>
    <hyperlink ref="B44" r:id="rId42" location="uuid:serviceCall$37298212"/>
    <hyperlink ref="B45" r:id="rId43" location="uuid:serviceCall$37298201"/>
    <hyperlink ref="B46" r:id="rId44" location="uuid:serviceCall$37216890"/>
    <hyperlink ref="B47" r:id="rId45" location="uuid:serviceCall$37216874"/>
    <hyperlink ref="B48" r:id="rId46" location="uuid:serviceCall$37216870"/>
    <hyperlink ref="B49" r:id="rId47" location="uuid:serviceCall$37216866"/>
    <hyperlink ref="A44" location="'35436'!A1" display=" У-19-35436"/>
    <hyperlink ref="A45" location="'35425'!A1" display=" У-19-35425"/>
    <hyperlink ref="A46" location="'35414'!A1" display=" У-19-35414"/>
    <hyperlink ref="A47" location="'35398'!A1" display="У-19-35398"/>
    <hyperlink ref="A48" location="'35394'!A1" display=" У-19-35394"/>
    <hyperlink ref="A49" location="'35390'!A1" display=" У-19-35390"/>
    <hyperlink ref="B52" r:id="rId48" location="uuid:serviceCall$38024332"/>
    <hyperlink ref="B53" r:id="rId49" location="uuid:serviceCall$38024328"/>
    <hyperlink ref="B54" r:id="rId50" location="uuid:serviceCall$38024327"/>
    <hyperlink ref="B55" r:id="rId51" location="uuid:serviceCall$38024310"/>
    <hyperlink ref="A52" location="'36144'!A1" display=" У-19-36144"/>
    <hyperlink ref="A53" location="'36140'!A1" display="У-19-36140"/>
    <hyperlink ref="A54" location="'36139'!A1" display="У-19-36139"/>
    <hyperlink ref="A55" location="'36122'!A1" display=" У-19-36122"/>
    <hyperlink ref="B60" r:id="rId52" location="uuid:serviceCall$39392767"/>
    <hyperlink ref="B61" r:id="rId53" location="uuid:serviceCall$39392754"/>
    <hyperlink ref="B62" r:id="rId54" location="uuid:serviceCall$39392752"/>
    <hyperlink ref="B63" r:id="rId55" location="uuid:serviceCall$39392743"/>
    <hyperlink ref="B64" r:id="rId56" location="uuid:serviceCall$39392722"/>
    <hyperlink ref="B65" r:id="rId57" location="uuid:serviceCall$31030783"/>
    <hyperlink ref="A60" location="'37199'!A1" display="У-19-37199"/>
    <hyperlink ref="A61" location="'37196'!A1" display="У-19-37196"/>
    <hyperlink ref="A62" location="'37280'!A1" display="У-19-37280"/>
    <hyperlink ref="A63" location="'37194'!A1" display="У-19-37194"/>
    <hyperlink ref="A64" location="'37189'!A1" display="У-19-37189"/>
    <hyperlink ref="A65" location="'29362'!A1" display=" У-19-29362"/>
    <hyperlink ref="B68" r:id="rId58" location="uuid:serviceCall$39999157"/>
    <hyperlink ref="B69" r:id="rId59" location="uuid:serviceCall$32112614"/>
    <hyperlink ref="B70" r:id="rId60" location="uuid:serviceCall$32345428"/>
    <hyperlink ref="B71" r:id="rId61" location="uuid:serviceCall$39999164"/>
    <hyperlink ref="B72" r:id="rId62" location="uuid:serviceCall$39999163"/>
    <hyperlink ref="B73" r:id="rId63" location="uuid:serviceCall$39999161"/>
    <hyperlink ref="B74" r:id="rId64" location="uuid:serviceCall$39999150"/>
    <hyperlink ref="A68" location="'37850'!A1" display=" У-19-37850"/>
    <hyperlink ref="A69" location="'30332'!A1" display="У-19-30332"/>
    <hyperlink ref="A70" location="'30509'!A1" display="У-19-30509"/>
    <hyperlink ref="A71" location="'37857'!A1" display=" У-19-37857"/>
    <hyperlink ref="A72" location="'37856'!A1" display="У-19-37856"/>
    <hyperlink ref="A73" location="'37854'!A1" display="У-19-37854"/>
    <hyperlink ref="A74" location="'37843'!A1" display="У-19-37843"/>
    <hyperlink ref="B50" r:id="rId65" location="uuid:serviceCall$37390616"/>
    <hyperlink ref="B51" r:id="rId66" location="uuid:serviceCall$23157725"/>
    <hyperlink ref="B56" r:id="rId67" location="uuid:serviceCall$38514511"/>
    <hyperlink ref="B57" r:id="rId68" location="uuid:serviceCall$30529558"/>
    <hyperlink ref="B66" r:id="rId69" location="uuid:serviceCall$31668991"/>
    <hyperlink ref="B78" r:id="rId70" location="uuid:serviceCall$41121275"/>
    <hyperlink ref="B79" r:id="rId71" location="uuid:serviceCall$41288412"/>
    <hyperlink ref="B80" r:id="rId72" location="uuid:serviceCall$41288419"/>
    <hyperlink ref="B81" r:id="rId73" location="uuid:serviceCall$41288420"/>
    <hyperlink ref="B82" r:id="rId74" location="uuid:serviceCall$41913989"/>
    <hyperlink ref="B83" r:id="rId75" location="uuid:serviceCall$42047608"/>
    <hyperlink ref="B84" r:id="rId76" location="uuid:serviceCall$42047624" display="https://smp.sfurf.office/sd/operator/index.jsp;jsessionid=4B56FDB405CD332F2E4AE6AEC0BFEE05 - uuid:serviceCall$42047624"/>
    <hyperlink ref="B85" r:id="rId77" location="uuid:serviceCall$42047626"/>
    <hyperlink ref="B86" r:id="rId78" location="uuid:serviceCall$42047647"/>
    <hyperlink ref="D52" r:id="rId79" display="2019_10\16.10.2019\36144"/>
    <hyperlink ref="D53" r:id="rId80" display="2019_10\16.10.2019\36140"/>
    <hyperlink ref="D54" r:id="rId81" display="2019_10\16.10.2019\36139"/>
    <hyperlink ref="D55" r:id="rId82" display="2019_10\16.10.2019\36122"/>
    <hyperlink ref="D56" r:id="rId83" display="2019_10\16.10.2019\36544"/>
    <hyperlink ref="D57" r:id="rId84" display="2019_10\30.10.2019\28979"/>
    <hyperlink ref="B58" r:id="rId85" location="uuid:serviceCall$24453886"/>
    <hyperlink ref="B59" r:id="rId86" location="uuid:serviceCall$24453862"/>
    <hyperlink ref="D58" r:id="rId87" display="2019_10\16.10.2019\22662"/>
    <hyperlink ref="D59" r:id="rId88" display="2019_10\16.10.2019\22638"/>
    <hyperlink ref="B67" r:id="rId89" location="uuid:serviceCall$24940861"/>
    <hyperlink ref="D60" r:id="rId90" display="2019_10\31.10.2019\37199"/>
    <hyperlink ref="D61" r:id="rId91" display="2019_10\31.10.2019\37196"/>
    <hyperlink ref="D62" r:id="rId92" display="2019_11\15.11.2019\37280"/>
    <hyperlink ref="D63" r:id="rId93" display="2019_10\17.10.2019\37194"/>
    <hyperlink ref="D64" r:id="rId94" display="2019_10\17.10.2019\37189"/>
    <hyperlink ref="D65" r:id="rId95" display="2019_10\17.10.2019\29362"/>
    <hyperlink ref="D66" r:id="rId96" display="2019_10\31.10.2019\29976"/>
    <hyperlink ref="D67" r:id="rId97" display="2019_10\17.10.2019\23137"/>
    <hyperlink ref="D51" r:id="rId98" display="2019_10\15.10.2019\21070"/>
    <hyperlink ref="A58" location="'22662'!A1" display="У-19-22662"/>
    <hyperlink ref="D68" r:id="rId99" display="2019_11\01.11.2019\37850"/>
    <hyperlink ref="D69" r:id="rId100" display="2019_11\01.11.2019\30332"/>
    <hyperlink ref="D70" r:id="rId101" display="2019_10\18.10.2019\30509"/>
    <hyperlink ref="D71" r:id="rId102" display="2019_10\18.10.2019\37857"/>
    <hyperlink ref="D72" r:id="rId103" display="2019_10\18.10.2019\37856"/>
    <hyperlink ref="D73" r:id="rId104" display="2019_11\01.11.2019\37854"/>
    <hyperlink ref="D74" r:id="rId105" display="2019_11\01.11.2019\37843"/>
    <hyperlink ref="D75" r:id="rId106" display="2019_10\18.10.2019\37747"/>
    <hyperlink ref="B75" r:id="rId107" location="uuid:serviceCall$39916354" display="https://smp.sfurf.office/sd/operator/ - uuid:serviceCall$39916354"/>
    <hyperlink ref="B76" r:id="rId108" location="uuid:serviceCall$32452794"/>
    <hyperlink ref="D76" r:id="rId109" display="2019_10\18.10.2019\30675"/>
    <hyperlink ref="B77" r:id="rId110" location="uuid:serviceCall$39916345"/>
    <hyperlink ref="B87" r:id="rId111" location="uuid:serviceCall$42559486"/>
    <hyperlink ref="B88" r:id="rId112" location="uuid:serviceCall$42559479"/>
    <hyperlink ref="B89" r:id="rId113" location="uuid:serviceCall$42559471"/>
    <hyperlink ref="B91" r:id="rId114" location="uuid:serviceCall$42559469"/>
    <hyperlink ref="B92" r:id="rId115" location="uuid:serviceCall$42559467"/>
    <hyperlink ref="B93" r:id="rId116" location="uuid:serviceCall$43416200"/>
    <hyperlink ref="B94" r:id="rId117" location="uuid:serviceCall$43416199"/>
    <hyperlink ref="B95" r:id="rId118" location="uuid:serviceCall$43416197"/>
    <hyperlink ref="B96" r:id="rId119" location="uuid:serviceCall$43416194"/>
    <hyperlink ref="B97" r:id="rId120" location="uuid:serviceCall$43416191"/>
    <hyperlink ref="B98" r:id="rId121" location="uuid:serviceCall$44346295"/>
    <hyperlink ref="B99" r:id="rId122" location="uuid:serviceCall$44346294"/>
    <hyperlink ref="B100" r:id="rId123" location="uuid:serviceCall$44346292"/>
    <hyperlink ref="B101" r:id="rId124" location="uuid:serviceCall$44346291"/>
    <hyperlink ref="B102" r:id="rId125" location="uuid:serviceCall$44346287"/>
    <hyperlink ref="B103" r:id="rId126" location="uuid:serviceCall$44346285"/>
    <hyperlink ref="D79" r:id="rId127" display="2019_11\05.11.2019\38759"/>
    <hyperlink ref="D78" r:id="rId128" display="2019_10\21.10.2019\38722"/>
    <hyperlink ref="D80" r:id="rId129" display="2019_11\05.11.2019\38766"/>
    <hyperlink ref="D81" r:id="rId130" display="2019_10\21.10.2019\38767"/>
    <hyperlink ref="D6" r:id="rId131" display="2019_10\21.10.2019\31807"/>
    <hyperlink ref="D5" r:id="rId132" display="2019_10\21.10.2019\31805"/>
    <hyperlink ref="A5" location="'31805'!A1" display="У-19-31805"/>
    <hyperlink ref="A81" location="'38767'!A1" display="У-19-38767"/>
    <hyperlink ref="A6" location="'31807'!A1" display="У-19-31807"/>
    <hyperlink ref="D11" r:id="rId133" display="2019_10\22.10.2019\18885"/>
    <hyperlink ref="D13" r:id="rId134" display="2019_11\06.11.2019\32569"/>
    <hyperlink ref="D14" r:id="rId135" display="2019_11\20.11.2019\32531"/>
    <hyperlink ref="D15" r:id="rId136" display="2019_10\22.10.2019\32548"/>
    <hyperlink ref="D82" r:id="rId137" display="2019_11\06.11.2019\39542"/>
    <hyperlink ref="D83" r:id="rId138" display="2019_10\22.10.2019\39556"/>
    <hyperlink ref="D84" r:id="rId139" display="2019_10\22.10.2019\39566"/>
    <hyperlink ref="D85" r:id="rId140" display="2019_10\22.10.2019\39567"/>
    <hyperlink ref="D86" r:id="rId141" display="2019_10\22.10.2019\39586"/>
    <hyperlink ref="A78" location="'38722'!A1" display="У-19-38722"/>
    <hyperlink ref="A85" location="'39567'!A1" display="У-19-39567"/>
    <hyperlink ref="A84" location="'39566'!A1" display="У-19-39566"/>
    <hyperlink ref="A86" location="'39586'!A1" display="У-19-39586"/>
    <hyperlink ref="A83" location="'39556'!A1" display="У-19-39556"/>
    <hyperlink ref="D20" r:id="rId142" display="2019_10\23.10.2019\32435"/>
    <hyperlink ref="D21" r:id="rId143" display="2019_10\23.10.2019\32440"/>
    <hyperlink ref="D87" r:id="rId144" display="2019_10\23.10.2019\40009"/>
    <hyperlink ref="D88" r:id="rId145" display="2019_10\23.10.2019\40003"/>
    <hyperlink ref="D89" r:id="rId146" display="2019_11\07.11.2019\39995"/>
    <hyperlink ref="D91" r:id="rId147" display="2019_11\07.11.2019\39993"/>
    <hyperlink ref="D92" r:id="rId148" display="2019_11\07.11.2019\39991"/>
    <hyperlink ref="D24" r:id="rId149" display="2019_10\24.10.2019\26018"/>
    <hyperlink ref="D27" r:id="rId150" display="2019_11\08.11.2019\33028"/>
    <hyperlink ref="D28" r:id="rId151" display="2019_10\24.10.2019\33031"/>
    <hyperlink ref="D29" r:id="rId152" display="2019_11\08.11.2019\33034"/>
    <hyperlink ref="D93" r:id="rId153" display="2019_10\24.10.2019\40776"/>
    <hyperlink ref="D94" r:id="rId154" display="2019_10\24.10.2019\40775"/>
    <hyperlink ref="D95" r:id="rId155" display="2019_11\08.11.2019\40773"/>
    <hyperlink ref="D96" r:id="rId156" display="2019_10\24.10.2019\40770"/>
    <hyperlink ref="D97" r:id="rId157" display="2019_10\24.10.2019\40767"/>
    <hyperlink ref="D33" r:id="rId158" display="2019_11\11.11.2019\34354"/>
    <hyperlink ref="D34" r:id="rId159" display="2019_10\25.10.2019\34358"/>
    <hyperlink ref="D37" r:id="rId160" display="2019_11\11.11.2019\34369"/>
    <hyperlink ref="D98" r:id="rId161" display="2019_10\25.10.2019\41542"/>
    <hyperlink ref="D99" r:id="rId162" display="2019_10\25.10.2019\41541"/>
    <hyperlink ref="D100" r:id="rId163" display="2019_11\11.11.2019\41539"/>
    <hyperlink ref="D101" r:id="rId164" display="2019_11\11.11.2019\41538"/>
    <hyperlink ref="D102" r:id="rId165" display="2019_10\25.10.2019\41534"/>
    <hyperlink ref="D103" r:id="rId166" display="2019_11\11.11.2019\41532"/>
    <hyperlink ref="D4" r:id="rId167" display="2019_10\07.10.2019\30612"/>
    <hyperlink ref="D17" r:id="rId168" display="2019_10\08.10.2019\32608"/>
    <hyperlink ref="D104" r:id="rId169" display="2019_10\25.10.2019\42282"/>
    <hyperlink ref="D45" r:id="rId170" display="2019_10\15.10.2019\35425"/>
    <hyperlink ref="B105" r:id="rId171" location="uuid:serviceCall$36551310"/>
    <hyperlink ref="D105" r:id="rId172" display="2019_10\25.10.2019\34548"/>
    <hyperlink ref="B104" r:id="rId173" location="uuid:serviceCall$45322451"/>
    <hyperlink ref="B106" r:id="rId174" location="uuid:serviceCall$45118387"/>
    <hyperlink ref="B107" r:id="rId175" location="uuid:serviceCall$45118388"/>
    <hyperlink ref="B108" r:id="rId176" location="uuid:serviceCall$45220011"/>
    <hyperlink ref="D38" r:id="rId177" display="2019_10\28.10.2019\34694"/>
    <hyperlink ref="D40" r:id="rId178" display="2019_10\28.10.2019\34683"/>
    <hyperlink ref="D106" r:id="rId179" display="2019_11\12.11.2019\42131"/>
    <hyperlink ref="D107" r:id="rId180" display="2019_11\12.11.2019\42132"/>
    <hyperlink ref="D108" r:id="rId181" display="2019_11\12.11.2019\42151"/>
    <hyperlink ref="B109" r:id="rId182" location="uuid:serviceCall$45897527"/>
    <hyperlink ref="B110" r:id="rId183" location="uuid:serviceCall$45897537"/>
    <hyperlink ref="B111" r:id="rId184" location="uuid:serviceCall$45897547"/>
    <hyperlink ref="B112" r:id="rId185" location="uuid:serviceCall$45897559"/>
    <hyperlink ref="B113" r:id="rId186" location="uuid:serviceCall$45897570"/>
    <hyperlink ref="D46" r:id="rId187" display="2019_11\13.11.2019\35414"/>
    <hyperlink ref="D48" r:id="rId188" display="2019_10\29.10.2019\35394"/>
    <hyperlink ref="D49" r:id="rId189" display="2019_10\29.10.2019\35390"/>
    <hyperlink ref="D50" r:id="rId190" display="2019_10\29.10.2019\35540"/>
    <hyperlink ref="D109" r:id="rId191" display="2019_11\27.11.2019\42961"/>
    <hyperlink ref="D110" r:id="rId192" display="2019_11\27.11.2019\42971"/>
    <hyperlink ref="D111" r:id="rId193" display="2019_11\13.11.2019\42981"/>
    <hyperlink ref="D112" r:id="rId194" display="2019_11\13.11.2019\42993"/>
    <hyperlink ref="D113" r:id="rId195" display="2019_11\13.11.2019\43004"/>
    <hyperlink ref="B114" r:id="rId196" location="uuid:serviceCall$37588862"/>
    <hyperlink ref="B115" r:id="rId197" location="uuid:serviceCall$46838373"/>
    <hyperlink ref="D114" r:id="rId198" display="2019_10\29.10.2019\35778"/>
    <hyperlink ref="D115" r:id="rId199" display="2019_11\13.11.2019\43791"/>
    <hyperlink ref="D42" r:id="rId200" display="2019_10\14.10.2019\27968"/>
    <hyperlink ref="D47" r:id="rId201" display="2019_10\15.10.2019\35398"/>
    <hyperlink ref="D23" r:id="rId202" display="2019_10\10.10.2019\26025"/>
    <hyperlink ref="D18" r:id="rId203" display="2019_10\09.10.2019\25579"/>
    <hyperlink ref="B116" r:id="rId204" location="uuid:serviceCall$46227164"/>
    <hyperlink ref="B117" r:id="rId205" location="uuid:serviceCall$46944908"/>
    <hyperlink ref="B118" r:id="rId206" location="uuid:serviceCall$46944927"/>
    <hyperlink ref="B119" r:id="rId207" location="uuid:serviceCall$46944928"/>
    <hyperlink ref="B120" r:id="rId208" location="uuid:serviceCall$46944935"/>
    <hyperlink ref="B121" r:id="rId209" location="uuid:serviceCall$46944943"/>
    <hyperlink ref="D116" r:id="rId210" display="2019_10\30.10.2019\43304"/>
    <hyperlink ref="D117" r:id="rId211" display="2019_10\30.10.2019\43825"/>
    <hyperlink ref="D118" r:id="rId212" display="2019_11\14.11.2019\43844"/>
    <hyperlink ref="D119" r:id="rId213" display="..\..\2019_11\28.11.2019\43845"/>
    <hyperlink ref="D120" r:id="rId214" display="2019_10\30.10.2019\43852"/>
    <hyperlink ref="D121" r:id="rId215" display="2019_11\14.11.2019\43857"/>
    <hyperlink ref="A118" location="'43844'!A1" display="У-19-43844"/>
    <hyperlink ref="A117" location="'43825'!A1" display="У-19-43825"/>
    <hyperlink ref="A116" location="'43304'!A1" display="У-19-43304"/>
    <hyperlink ref="A119" location="'43845'!A1" display="У-19-43845"/>
    <hyperlink ref="A121" location="'43857'!A1" display="У-19-43857"/>
    <hyperlink ref="A120" location="'43852'!A1" display="У-19-43852"/>
    <hyperlink ref="B122" r:id="rId216" location="uuid:serviceCall$47872702"/>
    <hyperlink ref="D122" r:id="rId217" display="2019_11\15.11.2019\44588"/>
    <hyperlink ref="D123" r:id="rId218" display="2019_11\15.11.2019\44813"/>
    <hyperlink ref="D124" r:id="rId219" display="2019_11\15.11.2019\44845"/>
    <hyperlink ref="D125" r:id="rId220" display="2019_11\15.11.2019\44853"/>
    <hyperlink ref="B123" r:id="rId221" location="uuid:serviceCall$48067363"/>
    <hyperlink ref="B124" r:id="rId222" location="uuid:serviceCall$48158218"/>
    <hyperlink ref="B125" r:id="rId223" location="uuid:serviceCall$48158229"/>
    <hyperlink ref="D3" r:id="rId224" display="2019_10\07.10.2019\17626"/>
    <hyperlink ref="D10" r:id="rId225" display="2019_10\08.10.2019\18264"/>
    <hyperlink ref="B90" r:id="rId226" location="uuid:serviceCall$34005752"/>
    <hyperlink ref="A50" location="'35540'!A1" display="У-19-35540"/>
    <hyperlink ref="A114" location="'35778'!A1" display="У-19-35778"/>
    <hyperlink ref="A105" location="'34548'!A1" display="У-19-34548"/>
    <hyperlink ref="A57" location="'28979'!A1" display="У-19-28979"/>
    <hyperlink ref="B126" r:id="rId227" location="uuid:serviceCall$48158270"/>
    <hyperlink ref="B127" r:id="rId228" location="uuid:serviceCall$48158274"/>
    <hyperlink ref="B128" r:id="rId229" location="uuid:serviceCall$48158278"/>
    <hyperlink ref="B129" r:id="rId230" location="uuid:serviceCall$48158285" display="https://smp.sfurf.office/sd/operator/ - uuid:serviceCall$48158285"/>
    <hyperlink ref="B130" r:id="rId231" location="uuid:serviceCall$48634810" display="https://smp.sfurf.office/sd/operator/ - uuid:serviceCall$48634810"/>
    <hyperlink ref="B131" r:id="rId232" location="uuid:serviceCall$50793155" display="https://smp.sfurf.office/sd/operator/ - uuid:serviceCall$50793155"/>
    <hyperlink ref="B132" r:id="rId233" location="uuid:serviceCall$50793172" display="https://smp.sfurf.office/sd/operator/ - uuid:serviceCall$50793172"/>
    <hyperlink ref="B133" r:id="rId234" location="uuid:serviceCall$50929009" display="https://smp.sfurf.office/sd/operator/ - uuid:serviceCall$50929009"/>
    <hyperlink ref="B134" r:id="rId235" location="uuid:serviceCall$51086616" display="https://smp.sfurf.office/sd/operator/ - uuid:serviceCall$51086616"/>
    <hyperlink ref="B135" r:id="rId236" location="uuid:serviceCall$51086621" display="https://smp.sfurf.office/sd/operator/ - uuid:serviceCall$51086621"/>
    <hyperlink ref="B136" r:id="rId237" location="uuid:serviceCall$49960798" display="https://smp.sfurf.office/sd/operator/ - uuid:serviceCall$49960798"/>
    <hyperlink ref="B137" r:id="rId238" location="uuid:serviceCall$49960800" display="https://smp.sfurf.office/sd/operator/ - uuid:serviceCall$49960800"/>
    <hyperlink ref="B138" r:id="rId239" location="uuid:serviceCall$50160803" display="https://smp.sfurf.office/sd/operator/ - uuid:serviceCall$50160803"/>
    <hyperlink ref="B139" r:id="rId240" location="uuid:serviceCall$50160806" display="https://smp.sfurf.office/sd/operator/ - uuid:serviceCall$50160806"/>
    <hyperlink ref="B140" r:id="rId241" location="uuid:serviceCall$50160812" display="https://smp.sfurf.office/sd/operator/ - uuid:serviceCall$50160812"/>
    <hyperlink ref="B141" r:id="rId242" location="uuid:serviceCall$51384556" display="https://smp.sfurf.office/sd/operator/ - uuid:serviceCall$51384556"/>
    <hyperlink ref="B142" r:id="rId243" location="uuid:serviceCall$51384567" display="https://smp.sfurf.office/sd/operator/ - uuid:serviceCall$51384567"/>
    <hyperlink ref="B143" r:id="rId244" location="uuid:serviceCall$51384572" display="https://smp.sfurf.office/sd/operator/ - uuid:serviceCall$51384572"/>
    <hyperlink ref="B144" r:id="rId245" location="uuid:serviceCall$51384575" display="https://smp.sfurf.office/sd/operator/ - uuid:serviceCall$51384575"/>
    <hyperlink ref="B145" r:id="rId246" location="uuid:serviceCall$51384585" display="https://smp.sfurf.office/sd/operator/ - uuid:serviceCall$51384585"/>
    <hyperlink ref="B146" r:id="rId247" location="uuid:serviceCall$53561856" display="https://smp.sfurf.office/sd/operator/ - uuid:serviceCall$53561856"/>
    <hyperlink ref="B147" r:id="rId248" location="uuid:serviceCall$53561865" display="https://smp.sfurf.office/sd/operator/ - uuid:serviceCall$53561865"/>
    <hyperlink ref="B148" r:id="rId249" location="uuid:serviceCall$53713690" display="https://smp.sfurf.office/sd/operator/ - uuid:serviceCall$53713690"/>
    <hyperlink ref="D126" r:id="rId250" display="2019_11\18.11.2019\44887"/>
    <hyperlink ref="D127" r:id="rId251" display="2019_11\01.11.2019\44891"/>
    <hyperlink ref="D128" r:id="rId252" display="2019_11\18.11.2019\44895"/>
    <hyperlink ref="D129" r:id="rId253" display="2019_11\18.11.2019\44902"/>
    <hyperlink ref="D130" r:id="rId254" display="2019_11\18.11.2019\45273"/>
    <hyperlink ref="A128" location="'44895'!A1" display="У-19-44895"/>
    <hyperlink ref="A127" location="'44891'!A1" display="У-19-44891"/>
    <hyperlink ref="A126" location="'44887'!A1" display="У-19-44887"/>
    <hyperlink ref="D131" r:id="rId255" display="2019_11\05.11.2019\47112"/>
    <hyperlink ref="D132" r:id="rId256" display="2019_11\05.11.2019\47129"/>
    <hyperlink ref="D133" r:id="rId257" display="2019_11\05.11.2019\47166"/>
    <hyperlink ref="D134" r:id="rId258" display="2019_11\05.11.2019\47206"/>
    <hyperlink ref="D135" r:id="rId259" display="2019_11\19.11.2019\47209"/>
    <hyperlink ref="D136" r:id="rId260" display="2019_11\06.11.2019\46325"/>
    <hyperlink ref="D138" r:id="rId261" display="2019_11\20.11.2019\46330"/>
    <hyperlink ref="D139" r:id="rId262" display="2019_11\20.11.2019\46333"/>
    <hyperlink ref="D140" r:id="rId263" display="2019_11\20.11.2019\46339"/>
    <hyperlink ref="D141" r:id="rId264" display="2019_11\07.11.2019\47502"/>
    <hyperlink ref="D142" r:id="rId265" display="2019_11\07.11.2019\47513"/>
    <hyperlink ref="D143" r:id="rId266" display="2019_11\21.11.2019\47518"/>
    <hyperlink ref="D144" r:id="rId267" display="2019_11\21.11.2019\47521"/>
    <hyperlink ref="D145" r:id="rId268" display="2019_11\07.11.2019\47531"/>
    <hyperlink ref="D146" r:id="rId269" display="2019_11\22.11.2019\48948"/>
    <hyperlink ref="A79" location="'38759'!A1" display="У-19-38759"/>
    <hyperlink ref="A80" location="'38766'!A1" display="У-19-38766"/>
    <hyperlink ref="A131" location="'47112'!A1" display="У-19-47112"/>
    <hyperlink ref="A133" location="'47166'!A1" display="У-19-47166"/>
    <hyperlink ref="A134" location="'47206'!A1" display="У-19-47206"/>
    <hyperlink ref="A132" location="'47129'!A1" display="У-19-47129"/>
    <hyperlink ref="A82" location="'39542'!A1" display="У-19-39542"/>
    <hyperlink ref="A137" location="'46327'!A1" display="У-19-46327"/>
    <hyperlink ref="A95" location="'40773'!A1" display="У-19-40773"/>
    <hyperlink ref="B150" r:id="rId270" location="uuid:serviceCall$53414671"/>
    <hyperlink ref="B151" r:id="rId271" location="uuid:serviceCall$53414641"/>
    <hyperlink ref="B152" r:id="rId272" location="uuid:serviceCall$53414682"/>
    <hyperlink ref="B149" r:id="rId273" location="uuid:serviceCall$53204923"/>
    <hyperlink ref="D149" r:id="rId274" display="2019_11\08.11.2019\48715"/>
    <hyperlink ref="D151" r:id="rId275" display="2019_11\08.11.2019\48833"/>
    <hyperlink ref="A149" location="'48715'!A1" display="У-19-48715"/>
    <hyperlink ref="B153" r:id="rId276" location="uuid:serviceCall$54586017"/>
    <hyperlink ref="B154" r:id="rId277" location="uuid:serviceCall$54586024"/>
    <hyperlink ref="B155" r:id="rId278" location="uuid:serviceCall$54586025"/>
    <hyperlink ref="B156" r:id="rId279" location="uuid:serviceCall$54586031"/>
    <hyperlink ref="B157" r:id="rId280" location="uuid:serviceCall$54586035"/>
    <hyperlink ref="B158" r:id="rId281" location="uuid:serviceCall$55070031"/>
    <hyperlink ref="B159" r:id="rId282" location="uuid:serviceCall$55070064"/>
    <hyperlink ref="B160" r:id="rId283" location="uuid:serviceCall$55070065"/>
    <hyperlink ref="B162" r:id="rId284" location="uuid:serviceCall$55967739"/>
    <hyperlink ref="B161" r:id="rId285" location="uuid:serviceCall$55842591"/>
    <hyperlink ref="D153" r:id="rId286" display="2019_11\11.11.2019\49679"/>
    <hyperlink ref="D154" r:id="rId287" display="2019_11\25.11.2019\49686"/>
    <hyperlink ref="D155" r:id="rId288" display="2019_11\11.11.2019\49687"/>
    <hyperlink ref="A101" location="'41538'!A1" display="У-19-41538"/>
    <hyperlink ref="A103" location="'41532'!A1" display="У-19-41532"/>
    <hyperlink ref="A100" location="'41539'!A1" display="У-19-41539"/>
    <hyperlink ref="A107" location="'42132'!A1" display="У-19-42132"/>
    <hyperlink ref="A155" location="'49687'!A1" display="У-19-49687"/>
    <hyperlink ref="A106" location="'42131'!A1" display="У-19-42131"/>
    <hyperlink ref="D158" r:id="rId289" display="2019_11\26.11.2019\50089"/>
    <hyperlink ref="D159" r:id="rId290" display="2019_11\26.11.2019\50122"/>
    <hyperlink ref="D160" r:id="rId291" display="2019_11\12.11.2019\50123"/>
    <hyperlink ref="D161" r:id="rId292" display="2019_11\13.11.2019\50842"/>
    <hyperlink ref="D162" r:id="rId293" display="2019_11\13.11.2019\50889"/>
    <hyperlink ref="D36" r:id="rId294" display="2019_10\11.10.2019\34367"/>
    <hyperlink ref="A109" location="'42961'!A1" display="У-19-42961"/>
    <hyperlink ref="A110" location="'42971'!A1" display="У-19-42971"/>
    <hyperlink ref="A111" location="'42981'!A1" display="У-19-42981"/>
    <hyperlink ref="D163" r:id="rId295" display="2019_11\14.11.2019\36363"/>
    <hyperlink ref="D164" r:id="rId296" display="2019_11\14.11.2019\43499"/>
    <hyperlink ref="D166" r:id="rId297" display="2019_11\14.11.2019\51370"/>
    <hyperlink ref="D167" r:id="rId298" display="2019_11\28.11.2019\51437"/>
    <hyperlink ref="D168" r:id="rId299" display="2019_11/28.11.2019/51569"/>
    <hyperlink ref="B163" r:id="rId300" location="uuid:serviceCall$38305853"/>
    <hyperlink ref="B164" r:id="rId301" location="uuid:serviceCall$46451381"/>
    <hyperlink ref="B166" r:id="rId302" location="uuid:serviceCall$56712020"/>
    <hyperlink ref="B167" r:id="rId303" location="uuid:serviceCall$56712087"/>
    <hyperlink ref="B168" r:id="rId304" location="uuid:serviceCall$56936821"/>
    <hyperlink ref="A112" location="'42993'!A1" display="У-19-42993"/>
    <hyperlink ref="A115" location="'43791'!A1" display="У-19-43791"/>
    <hyperlink ref="A113" location="'43004'!A1" display="У-19-43004"/>
    <hyperlink ref="A161" location="'50842'!A1" display="У-19-50842"/>
    <hyperlink ref="A162" location="'50889'!A1" display="У-19-50889"/>
    <hyperlink ref="A163" location="'36363'!A1" display="У-19-36363"/>
    <hyperlink ref="A164" location="'43499'!A1" display="У-19-43499"/>
    <hyperlink ref="A166" location="'51370'!A1" display="У-19-51370"/>
    <hyperlink ref="B169" r:id="rId305" location="uuid:serviceCall$58113766"/>
    <hyperlink ref="D169" r:id="rId306" display="2019_11\15.11.2019\52556"/>
    <hyperlink ref="D170" r:id="rId307" display="2019_11\29.11.2019\52571"/>
    <hyperlink ref="B170" r:id="rId308" location="uuid:serviceCall$58245713"/>
    <hyperlink ref="A123" location="'44813'!A1" display="У-19-44813"/>
    <hyperlink ref="A124" location="'44845'!A1" display="У-19-44845"/>
    <hyperlink ref="A125" location="'44853'!A1" display="У-19-44853"/>
    <hyperlink ref="A169" location="'52556'!A1" display="У-19-52556"/>
    <hyperlink ref="A122" location="'44588'!A1" display="У-19-44588"/>
    <hyperlink ref="B171" r:id="rId309" location="uuid:serviceCall$58537119"/>
    <hyperlink ref="B172" r:id="rId310" location="uuid:serviceCall$58537120" display="https://smp.sfurf.office/sd/operator/index.jsp;jsessionid=4B56FDB405CD332F2E4AE6AEC0BFEE05 - uuid:serviceCall$58537120"/>
    <hyperlink ref="B173" r:id="rId311" location="uuid:serviceCall$58747473" display="https://smp.sfurf.office/sd/operator/index.jsp;jsessionid=4B56FDB405CD332F2E4AE6AEC0BFEE05 - uuid:serviceCall$58747473"/>
    <hyperlink ref="D183" r:id="rId312" display="2019_11\15.11.2019\55592"/>
    <hyperlink ref="B183" r:id="rId313" location="uuid:serviceCall$61785456"/>
    <hyperlink ref="A183" location="'55592'!A1" display="У-19-55592"/>
    <hyperlink ref="D171" r:id="rId314" display="2019_11\18.11.2019\52840"/>
    <hyperlink ref="D172" r:id="rId315" display="2019_11\18.11.2019\52841"/>
    <hyperlink ref="D173" r:id="rId316" display="2019_11\18.11.2019\53093"/>
    <hyperlink ref="D165" r:id="rId317" display="2019_11/19.11.2019/46264"/>
    <hyperlink ref="D174" r:id="rId318" display="2019_12\03.12.2019\54137"/>
    <hyperlink ref="D175" r:id="rId319" display="2019_11\19.11.2019\54139"/>
    <hyperlink ref="D176" r:id="rId320" display="2019_12\03.12.2019\54150"/>
    <hyperlink ref="D177" r:id="rId321" display="2019_12\03.12.2019\54161"/>
    <hyperlink ref="D178" r:id="rId322" display="2019_12\03.12.2019\54180"/>
    <hyperlink ref="D179" r:id="rId323" display="2019_11/19.11.2019/54236"/>
    <hyperlink ref="D180" r:id="rId324" display="2019_11/19.11.2019/54318"/>
    <hyperlink ref="D181" r:id="rId325" display="2019_11/19.11.2019/54338"/>
    <hyperlink ref="D182" r:id="rId326" display="2019_11/20.11.2019/55576"/>
    <hyperlink ref="D184" r:id="rId327" display="2019_11/20.11.2019/55596"/>
    <hyperlink ref="D185" r:id="rId328" display="2019_11/20.11.2019/55617"/>
    <hyperlink ref="D186" r:id="rId329" display="2019_12\04.12.2019\55619"/>
    <hyperlink ref="D187" r:id="rId330" display="2019_11/21.11.2019/56208"/>
    <hyperlink ref="D188" r:id="rId331" display="2019_12\05.12.2019\56220"/>
    <hyperlink ref="D189" r:id="rId332" display="2019_12\05.12.2019\56271"/>
    <hyperlink ref="D191" r:id="rId333" display="2019_12\05.12.2019\56286"/>
    <hyperlink ref="D190" r:id="rId334" display="2019_11/22.11.2019/56281"/>
    <hyperlink ref="D192" r:id="rId335" display="2019_11/22.11.2019/56289"/>
    <hyperlink ref="D193" r:id="rId336" display="2019_12\06.12.2019\56295"/>
    <hyperlink ref="D194" r:id="rId337" display="2019_11/22.11.2019/56299"/>
    <hyperlink ref="A129" location="'44902'!A1" display="У-19-44902"/>
    <hyperlink ref="A130" location="'45273'!A1" display="У-19-45273"/>
    <hyperlink ref="A171" location="'52840'!A1" display="У-19-52840"/>
    <hyperlink ref="A173" location="'53093'!A1" display="У-19-53093"/>
    <hyperlink ref="A172" location="'52841'!A1" display="У-19-52841"/>
    <hyperlink ref="B165" r:id="rId338" location="uuid:serviceCall$49960737"/>
    <hyperlink ref="B174" r:id="rId339" location="uuid:serviceCall$59947475"/>
    <hyperlink ref="B175" r:id="rId340" location="uuid:serviceCall$59947478"/>
    <hyperlink ref="B176" r:id="rId341" location="uuid:serviceCall$59947493"/>
    <hyperlink ref="B177" r:id="rId342" location="uuid:serviceCall$60034109"/>
    <hyperlink ref="B178" r:id="rId343" location="uuid:serviceCall$60034138"/>
    <hyperlink ref="B179" r:id="rId344" location="uuid:serviceCall$60034161"/>
    <hyperlink ref="B180" r:id="rId345" location="uuid:serviceCall$60247413"/>
    <hyperlink ref="B181" r:id="rId346" location="uuid:serviceCall$60247436"/>
    <hyperlink ref="A165" location="'46264'!A1" display="У-19-46264"/>
    <hyperlink ref="A175" location="'54139'!A1" display="У-19-54139"/>
    <hyperlink ref="A179" location="'54236'!A1" display="У-19-54236"/>
    <hyperlink ref="A180" location="'54318'!A1" display="У-19-54318"/>
    <hyperlink ref="A135" location="'47209'!A1" display="У-19-47209"/>
    <hyperlink ref="B182" r:id="rId347" location="uuid:serviceCall$61785439"/>
    <hyperlink ref="B184" r:id="rId348" location="uuid:serviceCall$61785459"/>
    <hyperlink ref="B185" r:id="rId349" location="uuid:serviceCall$61785480"/>
    <hyperlink ref="B186" r:id="rId350" location="uuid:serviceCall$61785482"/>
    <hyperlink ref="A181" location="'54338'!A1" display="У-19-54338"/>
    <hyperlink ref="A139" location="'46333'!A1" display="У-19-46333"/>
    <hyperlink ref="A138" location="'46330'!A1" display="У-19-46330"/>
    <hyperlink ref="A140" location="'46339'!A1" display="У-19-46339"/>
    <hyperlink ref="A182" location="'55576'!A1" display="У-19-55576"/>
    <hyperlink ref="A185" location="'55617'!A1" display="У-19-55617"/>
    <hyperlink ref="B187" r:id="rId351" location="uuid:serviceCall$62466995"/>
    <hyperlink ref="B188" r:id="rId352" location="uuid:serviceCall$62649507"/>
    <hyperlink ref="A184" location="'55596'!A1" display="У-19-55596"/>
    <hyperlink ref="B189" r:id="rId353" location="uuid:serviceCall$62649558"/>
    <hyperlink ref="B191" r:id="rId354" location="uuid:serviceCall$62649573"/>
    <hyperlink ref="A144" location="'47521'!A1" display="У-19-47521"/>
    <hyperlink ref="A143" location="'47518'!A1" display="У-19-47518"/>
    <hyperlink ref="B195" r:id="rId355" location="uuid:serviceCall$42559460"/>
    <hyperlink ref="D195" r:id="rId356" display="2019_11/21.11.2019/39984"/>
    <hyperlink ref="D196" r:id="rId357" display="2019_11\21.11.2019\55899"/>
    <hyperlink ref="B196" r:id="rId358" location="uuid:serviceCall$62093576"/>
    <hyperlink ref="A187" location="'56208'!A1" display="У-19-56208"/>
    <hyperlink ref="A195" location="'39984'!A1" display="У-19-39984"/>
    <hyperlink ref="A196" location="'55899'!A1" display="У-19-55899"/>
    <hyperlink ref="D147" r:id="rId359" display="2019_11\22.11.2019\48957"/>
    <hyperlink ref="D148" r:id="rId360" display="2019_11\22.11.2019\49082"/>
    <hyperlink ref="D150" r:id="rId361" display="2019_11\22.11.2019\48863"/>
    <hyperlink ref="D152" r:id="rId362" display="2019_11\22.11.2019\48874"/>
    <hyperlink ref="B190" r:id="rId363" location="uuid:serviceCall$62649568"/>
    <hyperlink ref="B192" r:id="rId364" location="uuid:serviceCall$62649576"/>
    <hyperlink ref="B193" r:id="rId365" location="uuid:serviceCall$62649582"/>
    <hyperlink ref="B194" r:id="rId366" location="uuid:serviceCall$62649586"/>
    <hyperlink ref="A194" location="'56299'!A1" display="У-19-56299"/>
    <hyperlink ref="A192" location="'56289'!A1" display="У-19-56289"/>
    <hyperlink ref="A190" location="'56281'!A1" display="У-19-56281"/>
    <hyperlink ref="A147" location="'48957'!A1" display="У-19-48957"/>
    <hyperlink ref="A148" location="'49082'!A1" display="У-19-49082"/>
    <hyperlink ref="A150" location="'48863'!A1" display="У-19-48863"/>
    <hyperlink ref="A152" location="'48874'!A1" display="У-19-48874"/>
    <hyperlink ref="A146" location="'48948'!A1" display="У-19-48948"/>
    <hyperlink ref="D137" r:id="rId367" display="2019_12\04.12.2019\46327"/>
    <hyperlink ref="D199" r:id="rId368" display="2019_11/25.11.2019/58302"/>
    <hyperlink ref="D200" r:id="rId369" display="2019_11/25.11.2019/58323"/>
    <hyperlink ref="D201" r:id="rId370" display="2019_11/25.11.2019/58341"/>
    <hyperlink ref="D202" r:id="rId371" display="2019_11/25.11.2019/58419"/>
    <hyperlink ref="D156" r:id="rId372" display="2019_11\25.11.2019\49692"/>
    <hyperlink ref="D157" r:id="rId373" display="2019_11\25.11.2019\49697"/>
    <hyperlink ref="B199" r:id="rId374" location="uuid:serviceCall$65226138"/>
    <hyperlink ref="B200" r:id="rId375" location="uuid:serviceCall$65226160"/>
    <hyperlink ref="B201" r:id="rId376" location="uuid:serviceCall$65226178"/>
    <hyperlink ref="B202" r:id="rId377" location="uuid:serviceCall$65367084"/>
    <hyperlink ref="D197" r:id="rId378" display="2019_11/26.11.2019/57809"/>
    <hyperlink ref="D198" r:id="rId379" display="2019_11/26.11.2019/57831"/>
    <hyperlink ref="B197" r:id="rId380" location="uuid:serviceCall$64639740"/>
    <hyperlink ref="B198" r:id="rId381" location="uuid:serviceCall$64639762"/>
    <hyperlink ref="D203" r:id="rId382" display="2019_11/27.11.2019/59774"/>
    <hyperlink ref="D204" r:id="rId383" display="2019_11/27.11.2019/59810"/>
    <hyperlink ref="D205" r:id="rId384" display="2019_11/27.11.2019/59824"/>
    <hyperlink ref="D207" r:id="rId385" display="2019_11/27.11.2019/60319"/>
    <hyperlink ref="B203" r:id="rId386" location="uuid:serviceCall$67044910"/>
    <hyperlink ref="B204" r:id="rId387" location="uuid:serviceCall$67044946"/>
    <hyperlink ref="B205" r:id="rId388" location="uuid:serviceCall$67044960"/>
    <hyperlink ref="B207" r:id="rId389" location="uuid:serviceCall$67670077"/>
    <hyperlink ref="A154" location="'49686'!A1" display="У-19-49686"/>
    <hyperlink ref="A156" location="'49692'!A1" display="У-19-49692"/>
    <hyperlink ref="A157" location="'49697'!A1" display="У-19-49697"/>
    <hyperlink ref="A199" location="'58302'!A1" display="У-19-58302"/>
    <hyperlink ref="A201" location="'58341'!A1" display="У-19-58341"/>
    <hyperlink ref="A200" location="'58323'!A1" display="У-19-58323"/>
    <hyperlink ref="A202" location="'58419'!A1" display="У-19-58419"/>
    <hyperlink ref="A158" location="'50089'!A1" display="У-19-50089"/>
    <hyperlink ref="A197" location="'57809'!A1" display="У-19-57809"/>
    <hyperlink ref="A159" location="'50122'!A1" display="У-19-50122"/>
    <hyperlink ref="A198" location="'57831'!A1" display="У-19-57831"/>
    <hyperlink ref="D206" r:id="rId390" display="2019_11\28.11.2019\60237"/>
    <hyperlink ref="D208" r:id="rId391" display="2019_11\28.11.2019\60330"/>
    <hyperlink ref="D209" r:id="rId392" display="2019_11\28.11.2019\60331"/>
    <hyperlink ref="D210" r:id="rId393" display="2019_11\28.11.2019\60339"/>
    <hyperlink ref="B212" r:id="rId394" location="uuid:serviceCall$67670072"/>
    <hyperlink ref="D212" r:id="rId395" display="2019_11\28.11.2019\60314"/>
    <hyperlink ref="B206" r:id="rId396" location="uuid:serviceCall$67547793"/>
    <hyperlink ref="B208" r:id="rId397" location="uuid:serviceCall$67670088"/>
    <hyperlink ref="B209" r:id="rId398" location="uuid:serviceCall$67670089"/>
    <hyperlink ref="B210" r:id="rId399" location="uuid:serviceCall$67670097"/>
    <hyperlink ref="D211" r:id="rId400" display="2019_11\29.11.2019\61003"/>
    <hyperlink ref="B211" r:id="rId401" location="uuid:serviceCall$68503484"/>
    <hyperlink ref="A212" location="'60314'!A1" display="У-19-60314"/>
    <hyperlink ref="D213" r:id="rId402" display="2019_11\27.11.2019\50215"/>
    <hyperlink ref="D214" r:id="rId403" display="2019_11\27.11.2019\58929"/>
    <hyperlink ref="B213" r:id="rId404" location="uuid:serviceCall$55334657"/>
    <hyperlink ref="B214" r:id="rId405" location="uuid:serviceCall$66006440"/>
    <hyperlink ref="B215" r:id="rId406" location="uuid:serviceCall$67670083"/>
    <hyperlink ref="B216" r:id="rId407" location="uuid:serviceCall$67670087"/>
    <hyperlink ref="D216" r:id="rId408" display="2019_11/28.11.2019/60329"/>
    <hyperlink ref="D215" r:id="rId409" display="2019_11\28.11.2019\60326"/>
    <hyperlink ref="B217" r:id="rId410" location="uuid:serviceCall$67811826"/>
    <hyperlink ref="D217" r:id="rId411" display="2019_11/28.11.2019/60365"/>
    <hyperlink ref="B218" r:id="rId412" location="uuid:serviceCall$68784466"/>
    <hyperlink ref="D218" r:id="rId413" display="2019_11/29.11.2019/61262"/>
    <hyperlink ref="B219" r:id="rId414" location="uuid:serviceCall$69003116"/>
    <hyperlink ref="B220" r:id="rId415" location="uuid:serviceCall$69123905"/>
    <hyperlink ref="D219" r:id="rId416" display="2019_12/02.12.2019/61417"/>
    <hyperlink ref="D220" r:id="rId417" display="2019_12/02.12.2019/61506"/>
    <hyperlink ref="D221" r:id="rId418" display="2019_12/03.12.2019/62980"/>
    <hyperlink ref="D222" r:id="rId419" display="2019_12/03.12.2019/62996"/>
    <hyperlink ref="D223" r:id="rId420" display="2019_12/03.12.2019/63068"/>
    <hyperlink ref="D224" r:id="rId421" display="2019_12/04.12.2019/64001"/>
    <hyperlink ref="D225" r:id="rId422" display="2019_12/04.12.2019/64002"/>
    <hyperlink ref="D226" r:id="rId423" display="2019_12/04.12.2019/64007"/>
    <hyperlink ref="D227" r:id="rId424" display="2019_12/04.12.2019/64022"/>
    <hyperlink ref="D228" r:id="rId425" display="2019_12/05.12.2019/64813"/>
    <hyperlink ref="D229" r:id="rId426" display="2019_12/06.12.2019/65730"/>
    <hyperlink ref="D230" r:id="rId427" display="2019_12/06.12.2019/65746"/>
    <hyperlink ref="D231" r:id="rId428" display="2019_12/06.12.2019/65747"/>
    <hyperlink ref="B221" r:id="rId429" location="uuid:serviceCall$70993572"/>
    <hyperlink ref="B222" r:id="rId430" location="uuid:serviceCall$70993588"/>
    <hyperlink ref="B223" r:id="rId431" location="uuid:serviceCall$71072671"/>
    <hyperlink ref="B224" r:id="rId432" location="uuid:serviceCall$72341776"/>
    <hyperlink ref="B225" r:id="rId433" location="uuid:serviceCall$72341777"/>
    <hyperlink ref="B226" r:id="rId434" location="uuid:serviceCall$72341784"/>
    <hyperlink ref="B227" r:id="rId435" location="uuid:serviceCall$72482415"/>
    <hyperlink ref="B228" r:id="rId436" location="uuid:serviceCall$73612039"/>
    <hyperlink ref="B229" r:id="rId437" location="uuid:serviceCall$74707681"/>
    <hyperlink ref="B230" r:id="rId438" location="uuid:serviceCall$74707697"/>
    <hyperlink ref="B231" r:id="rId439" location="uuid:serviceCall$74707698"/>
    <hyperlink ref="A168" location="'51569'!A1" display="У-19-51569"/>
    <hyperlink ref="B232" r:id="rId440" location="uuid:serviceCall$75837045"/>
    <hyperlink ref="B233" r:id="rId441" location="uuid:serviceCall$75898213"/>
    <hyperlink ref="D232" r:id="rId442" display="2019_12\10.12.2019\66592"/>
    <hyperlink ref="D233" r:id="rId443" display="2019_12\10.12.2019\66660"/>
    <hyperlink ref="B281" r:id="rId444" location="uuid:serviceCall$65226117"/>
    <hyperlink ref="B249" r:id="rId445" location="uuid:serviceCall$65226156"/>
    <hyperlink ref="B247" r:id="rId446" location="uuid:serviceCall$64488775"/>
    <hyperlink ref="B248" r:id="rId447" location="uuid:serviceCall$64639713"/>
    <hyperlink ref="B284" r:id="rId448" location="uuid:serviceCall$66902597"/>
    <hyperlink ref="B261" r:id="rId449" location="uuid:serviceCall$67044911"/>
    <hyperlink ref="B262" r:id="rId450" location="uuid:serviceCall$67044973"/>
    <hyperlink ref="B250" r:id="rId451" location="uuid:serviceCall$67183713"/>
    <hyperlink ref="B254" r:id="rId452" location="uuid:serviceCall$67811847"/>
    <hyperlink ref="B265" r:id="rId453" location="uuid:serviceCall$68503479"/>
    <hyperlink ref="B266" r:id="rId454" location="uuid:serviceCall$68598804"/>
    <hyperlink ref="D234" r:id="rId455" display="2019_12\09.12.2019\49635"/>
    <hyperlink ref="D235" r:id="rId456" display="2019_12\09.12.2019\52919"/>
    <hyperlink ref="D238" r:id="rId457" display="2019_12\09.12.2019\57718"/>
    <hyperlink ref="D246" r:id="rId458" display="2019_12\09.12.2019\53078"/>
    <hyperlink ref="D249" r:id="rId459" display="2019_12\09.12.2019\58319"/>
    <hyperlink ref="D256" r:id="rId460" display="2019_12\09.12.2019\66336"/>
    <hyperlink ref="D257" r:id="rId461" display="2019_12\09.12.2019\66345"/>
    <hyperlink ref="D268" r:id="rId462" display="2019_12\09.12.2019\67302"/>
    <hyperlink ref="D269" r:id="rId463" display="2019_12\09.12.2019\67458"/>
    <hyperlink ref="D270" r:id="rId464" display="2019_12\09.12.2019\67460"/>
    <hyperlink ref="D275" r:id="rId465" display="2019_12\09.12.2019\53072"/>
    <hyperlink ref="D276" r:id="rId466" display="2019_12\09.12.2019\53076"/>
    <hyperlink ref="D280" r:id="rId467" display="2019_12\09.12.2019\58110"/>
    <hyperlink ref="D281" r:id="rId468" display="2019_12\09.12.2019\58281"/>
    <hyperlink ref="D267" r:id="rId469" display="2019_12\10.12.2019\67283"/>
    <hyperlink ref="D236" r:id="rId470" display="2019_12\09.12.2019\53049"/>
    <hyperlink ref="D239" r:id="rId471" display="2019_12/10.12.2019/58469"/>
    <hyperlink ref="D242" r:id="rId472" display="2019_12/10.12.2019/67143"/>
    <hyperlink ref="D247" r:id="rId473" display="2019_12\10.12.2019\57744"/>
    <hyperlink ref="D248" r:id="rId474" display="2019_12/10.12.2019/57782"/>
    <hyperlink ref="D261" r:id="rId475" display="2019_12/11.12.2019/59775"/>
    <hyperlink ref="D277" r:id="rId476" display="2019_12\10.12.2019\54117"/>
    <hyperlink ref="D278" r:id="rId477" display="2019_12/10.12.2019/54166"/>
    <hyperlink ref="D279" r:id="rId478" display="2019_12\10.12.2019\57880"/>
    <hyperlink ref="D288" r:id="rId479" display="2019_12/10.12.2019/68276"/>
    <hyperlink ref="D262" r:id="rId480" display="2019_12/11.12.2019/59837"/>
    <hyperlink ref="D271" r:id="rId481" display="2019_12/11.12.2019/68473"/>
    <hyperlink ref="D272" r:id="rId482" display="2019_12/11.12.2019/68548"/>
    <hyperlink ref="D240" r:id="rId483" display="2019_12/11.12.2019/58519"/>
    <hyperlink ref="D243" r:id="rId484" display="2019_12\11.12.2019\67958"/>
    <hyperlink ref="D283" r:id="rId485" display="2019_12/11.12.2019/58906"/>
    <hyperlink ref="D284" r:id="rId486" display="2019_12\11.12.2019\59761"/>
    <hyperlink ref="D250" r:id="rId487" display="2019_12/11.12.2019/59875"/>
    <hyperlink ref="D241" r:id="rId488" display="2019_12/12.12.2019/60483"/>
    <hyperlink ref="D244" r:id="rId489" display="2019_12/12.12.2019/69444"/>
    <hyperlink ref="D285" r:id="rId490" display="2019_12/12.12.2019/60138"/>
    <hyperlink ref="D286" r:id="rId491" display="2019_12\12.12.2019\60341"/>
    <hyperlink ref="D289" r:id="rId492" display="2019_12\12.12.2019\69403"/>
    <hyperlink ref="D290" r:id="rId493" display="2019_12\12.12.2019\69727"/>
    <hyperlink ref="D291" r:id="rId494" display="2019_12\12.12.2019\69728"/>
    <hyperlink ref="D251" r:id="rId495" display="2019_12\12.12.2019\60328"/>
    <hyperlink ref="D252" r:id="rId496" display="2019_12\12.12.2019\60346"/>
    <hyperlink ref="D253" r:id="rId497" display="2019_12\12.12.2019\60362"/>
    <hyperlink ref="D254" r:id="rId498" display="2019_12\12.12.2019\60381"/>
    <hyperlink ref="D260" r:id="rId499" display="2019_12/12.12.2019/55244"/>
    <hyperlink ref="D263" r:id="rId500" display="2019_12\12.12.2019\59980"/>
    <hyperlink ref="D264" r:id="rId501" display="2019_12\12.12.2019\60129"/>
    <hyperlink ref="D292" r:id="rId502" display="2019_12/13.12.2019/69999"/>
    <hyperlink ref="D258" r:id="rId503" display="2019_12/13.12.2019/69430"/>
    <hyperlink ref="D259" r:id="rId504" display="2019_12\13.12.2019\69922"/>
    <hyperlink ref="D255" r:id="rId505" display="2019_12\13.12.2019\61027"/>
    <hyperlink ref="D274" r:id="rId506" display="2019_12\13.12.2019\52402"/>
    <hyperlink ref="D287" r:id="rId507" display="2019_12\13.12.2019\60598"/>
    <hyperlink ref="D265" r:id="rId508" display="2019_12/13.12.2019/60998"/>
    <hyperlink ref="D266" r:id="rId509" display="2019_12\13.12.2019\61023"/>
    <hyperlink ref="D273" r:id="rId510" display="2019_12\13.12.2019\70802"/>
    <hyperlink ref="D293" r:id="rId511" display="2019_12/16.12.2019/56847"/>
    <hyperlink ref="D294" r:id="rId512" display="2019_12/16.12.2019/70373"/>
    <hyperlink ref="D353" r:id="rId513" display="2019_12/16.12.2019/57025"/>
    <hyperlink ref="D354" r:id="rId514" display="2019_12/16.12.2019/61737"/>
    <hyperlink ref="D298" r:id="rId515" display="2019_12\16.12.2019\62063"/>
    <hyperlink ref="D309" r:id="rId516" display="2019_12/16.12.2019/71715"/>
    <hyperlink ref="D334" r:id="rId517" display="2019_12/16.12.2019/53663"/>
    <hyperlink ref="D335" r:id="rId518" display="2019_12\16.12.2019\61675"/>
    <hyperlink ref="D297" r:id="rId519" display="2019_12/16.12.2019/61930"/>
    <hyperlink ref="D310" r:id="rId520" display="2019_12\16.12.2019\71719"/>
    <hyperlink ref="D343" r:id="rId521" display="2019_12\16.12.2019\71260"/>
    <hyperlink ref="D367" r:id="rId522" display="2019_12\16.12.2019\61717"/>
    <hyperlink ref="D295" r:id="rId523" display="2019_12/16.12.2019/49620"/>
    <hyperlink ref="D316" r:id="rId524" display="2019_12/16.12.2019/61612"/>
    <hyperlink ref="D344" r:id="rId525" display="2019_12/16.12.2019/71272"/>
    <hyperlink ref="D368" r:id="rId526" display="2019_12\16.12.2019\70198"/>
    <hyperlink ref="D315" r:id="rId527" display="2019_12\16.12.2019\61387"/>
    <hyperlink ref="D325" r:id="rId528" display="2019_12\16.12.2019\70080"/>
    <hyperlink ref="D326" r:id="rId529" display="2019_12/16.12.2019/70087"/>
    <hyperlink ref="D327" r:id="rId530" display="2019_12\16.12.2019\70169"/>
    <hyperlink ref="D328" r:id="rId531" display="2019_12\16.12.2019\70507"/>
    <hyperlink ref="D366" r:id="rId532" display="2019_12/17.12.2019/70844"/>
    <hyperlink ref="D369" r:id="rId533" display="2019_12/17.12.2019/70843"/>
    <hyperlink ref="D370" r:id="rId534" display="2019_12/17.12.2019/62750"/>
    <hyperlink ref="D371" r:id="rId535" display="2019_12/17.12.2019/62786"/>
    <hyperlink ref="D336" r:id="rId536" display="2019_12\17.12.2019\62461"/>
    <hyperlink ref="D337" r:id="rId537" display="2019_12\17.12.2019\63081"/>
    <hyperlink ref="D338" r:id="rId538" display="2019_12\17.12.2019\63146"/>
    <hyperlink ref="D355" r:id="rId539" display="2019_12\17.12.2019\62803"/>
    <hyperlink ref="D356" r:id="rId540" display="2019_12/17.12.2019/62804"/>
    <hyperlink ref="D362" r:id="rId541" display="2019_12/17.12.2019/71201"/>
    <hyperlink ref="D329" r:id="rId542" display="2019_12\17.12.2019\71892"/>
    <hyperlink ref="D296" r:id="rId543" display="2019_12/17.12.2019/54196"/>
    <hyperlink ref="D301" r:id="rId544" display="2019_12\17.12.2019\63880"/>
    <hyperlink ref="D302" r:id="rId545" display="2019_12\17.12.2019\63885"/>
    <hyperlink ref="D307" r:id="rId546" display="2019_12\17.12.2019\71147"/>
    <hyperlink ref="D308" r:id="rId547" display="2019_12\17.12.2019\71208"/>
    <hyperlink ref="D346" r:id="rId548" display="2019_12/17.12.2019/71393"/>
    <hyperlink ref="D319" r:id="rId549" display="2019_12\17.12.2019\62661"/>
    <hyperlink ref="D318" r:id="rId550" display="2019_12/17.12.2019/62659"/>
    <hyperlink ref="D372" r:id="rId551" display="2019_12\18.12.2019\71974"/>
    <hyperlink ref="D373" r:id="rId552" display="2019_12\18.12.2019\72036"/>
    <hyperlink ref="D374" r:id="rId553" display="2019_12\18.12.2019\71930"/>
    <hyperlink ref="D317" r:id="rId554" display="2019_12/17.12.2019/62654"/>
    <hyperlink ref="D345" r:id="rId555" display="2019_12/17.12.2019/71353"/>
    <hyperlink ref="D339" r:id="rId556" display="2019_12\18.12.2019\63463"/>
    <hyperlink ref="D299" r:id="rId557" display="2019_12/18.12.2019/63593"/>
    <hyperlink ref="D300" r:id="rId558" display="2019_12\18.12.2019\63600"/>
    <hyperlink ref="D357" r:id="rId559" display="2019_12/18.12.2019/63946"/>
    <hyperlink ref="D363" r:id="rId560" display="2019_12/18.12.2019/72368"/>
    <hyperlink ref="D340" r:id="rId561" display="2019_12/18.12.2019/63734"/>
    <hyperlink ref="D375" r:id="rId562" display="2019_12/18.12.2019/64041"/>
    <hyperlink ref="D303" r:id="rId563" display="2019_12\18.12.2019\64038"/>
    <hyperlink ref="D321" r:id="rId564" display="2019_12\18.12.2019\64278"/>
    <hyperlink ref="D351" r:id="rId565" display="2019_12/18.12.2019/73375"/>
    <hyperlink ref="D383" r:id="rId566" display="2019_12\19.12.2019\72890"/>
    <hyperlink ref="D358" r:id="rId567" display="2019_12/19.12.2019/64753"/>
    <hyperlink ref="D320" r:id="rId568" display="2019_12/18.12.2019/63919"/>
    <hyperlink ref="D312" r:id="rId569" display="2019_12/18.12.2019/73215"/>
    <hyperlink ref="D376" r:id="rId570" display="2019_12/18.12.2019/71922"/>
    <hyperlink ref="D331" r:id="rId571" display="2019_12/18.12.2019/72900"/>
    <hyperlink ref="D342" r:id="rId572" display="2019_12\19.12.2019\64815"/>
    <hyperlink ref="D377" r:id="rId573" display="2019_12/19.12.2019/65185"/>
    <hyperlink ref="D378" r:id="rId574" display="2019_12/19.12.2019/65196"/>
    <hyperlink ref="D330" r:id="rId575" display="2019_12\18.12.2019\71897"/>
    <hyperlink ref="D304" r:id="rId576" display="2019_12/19.12.2019/65371"/>
    <hyperlink ref="D381" r:id="rId577" display="2019_12/19.12.2019/72868"/>
    <hyperlink ref="D311" r:id="rId578" display="2019_12/19.12.2019/73199"/>
    <hyperlink ref="D313" r:id="rId579" display="2019_12/19.12.2019/73379"/>
    <hyperlink ref="D322" r:id="rId580" display="2019_12/19.12.2019/64836"/>
    <hyperlink ref="D323" r:id="rId581" display="2019_12/19.12.2019/65449"/>
    <hyperlink ref="D332" r:id="rId582" display="2019_12/19.12.2019/73186"/>
    <hyperlink ref="D341" r:id="rId583" display="2019_12/19.12.2019/64814"/>
    <hyperlink ref="D347" r:id="rId584" display="2019_12/19.12.2019/73081"/>
    <hyperlink ref="D348" r:id="rId585" display="2019_12/19.12.2019/73301"/>
    <hyperlink ref="D349" r:id="rId586" display="2019_12/19.12.2019/73318"/>
    <hyperlink ref="D350" r:id="rId587" display="2019_12/19.12.2019/73360"/>
    <hyperlink ref="D352" r:id="rId588" display="2019_12/19.12.2019/55198"/>
    <hyperlink ref="D364" r:id="rId589" display="2019_12/19.12.2019/73133"/>
    <hyperlink ref="D384" r:id="rId590" display="2019_12/19.12.2019/72908"/>
    <hyperlink ref="D305" r:id="rId591" display="2019_12/20.12.2019/65903"/>
    <hyperlink ref="D306" r:id="rId592" display="2019_12/20.12.2019/65914"/>
    <hyperlink ref="D314" r:id="rId593" display="2019_12/20.12.2019/74332"/>
    <hyperlink ref="D324" r:id="rId594" display="2019_12/20.12.2019/65884"/>
    <hyperlink ref="D333" r:id="rId595" display="2019_12/20.12.2019/74795"/>
    <hyperlink ref="D359" r:id="rId596" display="2019_12/20.12.2019/65688"/>
    <hyperlink ref="D365" r:id="rId597" display="2019_12/20.12.2019/73942"/>
    <hyperlink ref="D379" r:id="rId598" display="2019_12/20.12.2019/65782"/>
    <hyperlink ref="D380" r:id="rId599" display="2019_12/20.12.2019/65795"/>
    <hyperlink ref="D385" r:id="rId600" display="2019_12/20.12.2019/73578"/>
    <hyperlink ref="D386" r:id="rId601" display="2019_12/20.12.2019/73579"/>
    <hyperlink ref="D422" r:id="rId602" display="2019_12/23.12.2019/66351"/>
    <hyperlink ref="D436" r:id="rId603" display="2019_12/23.12.2019/74592"/>
    <hyperlink ref="D388" r:id="rId604" display="2019_12/23.12.2019/66158"/>
    <hyperlink ref="D389" r:id="rId605" display="2019_12/23.12.2019/66160"/>
    <hyperlink ref="D401" r:id="rId606" display="2019_12/23.12.2019/74824"/>
    <hyperlink ref="D465" r:id="rId607" display="2019_12/23.12.2019/74372"/>
    <hyperlink ref="D481" r:id="rId608" display="2019_12/23.12.2019/66340"/>
    <hyperlink ref="D485" r:id="rId609" display="2019_12/23.12.2019/67308"/>
    <hyperlink ref="D495" r:id="rId610" display="2019_12/23.12.2019/74396"/>
    <hyperlink ref="D456" r:id="rId611" display="2019_12/23.12.2019/66986"/>
    <hyperlink ref="D509" r:id="rId612" display="2019_12/23.12.2019/57811"/>
    <hyperlink ref="D511" r:id="rId613" display="2019_12/24.12.2019/67344"/>
    <hyperlink ref="D512" r:id="rId614" display="2019_12/24.12.2019/67356"/>
    <hyperlink ref="D482" r:id="rId615" display="2019_12/24.12.2019/67166"/>
    <hyperlink ref="D483" r:id="rId616" display="2019_12/24.12.2019/67241"/>
    <hyperlink ref="D484" r:id="rId617" display="2019_12/24.12.2019/67243"/>
    <hyperlink ref="D421" r:id="rId618" display="2019_12/23.12.2019/66274"/>
    <hyperlink ref="D419" r:id="rId619" display="2019_12/24.12.2019/59170"/>
    <hyperlink ref="D455" r:id="rId620" display="2019_12/23.12.2019/66500"/>
    <hyperlink ref="D510" r:id="rId621" display="2019_12/24.12.2019/75945"/>
    <hyperlink ref="D390" r:id="rId622" display="2019_12/24.12.2019/66407"/>
    <hyperlink ref="D403" r:id="rId623" display="2019_12/24.12.2019/75139"/>
    <hyperlink ref="D539" r:id="rId624" display="2019_12\24.12.2019\67016"/>
    <hyperlink ref="D424" r:id="rId625" display="2019_12\24.12.2019\68356"/>
    <hyperlink ref="D423" r:id="rId626" display="2019_12/24.12.2019/68354"/>
    <hyperlink ref="D438" r:id="rId627" display="2019_12\24.12.2019\75443"/>
    <hyperlink ref="D497" r:id="rId628" display="2019_12/24.12.2019/75566"/>
    <hyperlink ref="D391" r:id="rId629" display="2019_12\24.12.2019\66570"/>
    <hyperlink ref="D394" r:id="rId630" display="2019_12/24.12.2019/68112"/>
    <hyperlink ref="D404" r:id="rId631" display="2019_12/24.12.2019/75140"/>
    <hyperlink ref="D405" r:id="rId632" display="2019_12/24.12.2019/75141"/>
    <hyperlink ref="D498" r:id="rId633" display="2019_12\24.12.2019\75623"/>
    <hyperlink ref="D466" r:id="rId634" display="2019_12/24.12.2019/75361"/>
    <hyperlink ref="D467" r:id="rId635" display="2019_12/24.12.2019/75413"/>
    <hyperlink ref="D457" r:id="rId636" display="2019_12/24.12.2019/67690"/>
    <hyperlink ref="D496" r:id="rId637" display="2019_12\24.12.2019\75555"/>
    <hyperlink ref="D513" r:id="rId638" display="2019_12/24.12.2019/66937"/>
    <hyperlink ref="D514" r:id="rId639" display="2019_12/24.12.2019/67151"/>
    <hyperlink ref="D402" r:id="rId640" display="2019_12/24.12.2019/75138"/>
    <hyperlink ref="D530" r:id="rId641" display="2019_12/24.12.2019/76213"/>
    <hyperlink ref="D499" r:id="rId642" display="2019_12/24.12.2019/75634"/>
    <hyperlink ref="D531" r:id="rId643" display="2019_12\24.12.2019\76214"/>
    <hyperlink ref="D540" r:id="rId644" display="2019_12/25.12.2019/68633"/>
    <hyperlink ref="D515" r:id="rId645" display="2019_12/24.12.2019/67950"/>
    <hyperlink ref="D541" r:id="rId646" display="2019_12/25.12.2019/76597"/>
    <hyperlink ref="D542" r:id="rId647" display="2019_12/25.12.2019/76887"/>
    <hyperlink ref="D418" r:id="rId648" display="2019_12/25.12.2019/58552"/>
    <hyperlink ref="D425" r:id="rId649" display="2019_12/25.12.2019/68567"/>
    <hyperlink ref="D426" r:id="rId650" display="2019_12/25.12.2019/68575"/>
    <hyperlink ref="D440" r:id="rId651" display="2019_12/25.12.2019/76369"/>
    <hyperlink ref="D458" r:id="rId652" display="2019_12/25.12.2019/68372"/>
    <hyperlink ref="D516" r:id="rId653" display="2019_12\25.12.2019\68075"/>
    <hyperlink ref="D500" r:id="rId654" display="2019_12/25.12.2019/76459"/>
    <hyperlink ref="D392" r:id="rId655" display="2019_12/25.12.2019/68042"/>
    <hyperlink ref="D393" r:id="rId656" display="2019_12/25.12.2019/68043"/>
    <hyperlink ref="D395" r:id="rId657" display="2019_12/25.12.2019/68463"/>
    <hyperlink ref="D407" r:id="rId658" display="2019_12/25.12.2019/76197"/>
    <hyperlink ref="D518" r:id="rId659" display="2019_12\25.12.2019\69187"/>
    <hyperlink ref="D517" r:id="rId660" display="2019_12/25.12.2019/68967"/>
    <hyperlink ref="D533" r:id="rId661" display="2019_12/25.12.2019/77403"/>
    <hyperlink ref="D468" r:id="rId662" display="2019_12/25.12.2019/76326"/>
    <hyperlink ref="D480" r:id="rId663" display="2019_12\25.12.2019\59201"/>
    <hyperlink ref="D469" r:id="rId664" display="2019_12/25.12.2019/76332"/>
    <hyperlink ref="D486" r:id="rId665" display="2019_12/25.12.2019/68452"/>
    <hyperlink ref="D454" r:id="rId666" display="2019_12/25.12.2019/58619"/>
    <hyperlink ref="D543" r:id="rId667" display="2019_12/26.12.2019/77649"/>
    <hyperlink ref="D544" r:id="rId668" display="2019_12/26.12.2019/69250"/>
    <hyperlink ref="D545" r:id="rId669" display="2019_12/26.12.2019/55760"/>
    <hyperlink ref="D487" r:id="rId670" display="2019_12/26.12.2019/68983"/>
    <hyperlink ref="D489" r:id="rId671" display="2019_12/26.12.2019/69945"/>
    <hyperlink ref="D417" r:id="rId672" display="2019_12/26.12.2019/55919"/>
    <hyperlink ref="D427" r:id="rId673" display="2019_12/26.12.2019/69707"/>
    <hyperlink ref="D428" r:id="rId674" display="2019_12/26.12.2019/69816"/>
    <hyperlink ref="D441" r:id="rId675" display="2019_12/26.12.2019/77094"/>
    <hyperlink ref="D443" r:id="rId676" display="2019_12/26.12.2019/77108"/>
    <hyperlink ref="D397" r:id="rId677" display="2019_12/26.12.2019/69710"/>
    <hyperlink ref="D409" r:id="rId678" display="2019_12\26.12.2019\76835"/>
    <hyperlink ref="D396" r:id="rId679" display="2019_12/26.12.2019/69441"/>
    <hyperlink ref="D488" r:id="rId680" display="2019_12/26.12.2019/69550"/>
    <hyperlink ref="D471" r:id="rId681" display="2019_12/26.12.2019/77058"/>
    <hyperlink ref="D442" r:id="rId682" display="2019_12/26.12.2019/77100"/>
    <hyperlink ref="D546" r:id="rId683" display="2019_12/26.12.2019/77623"/>
    <hyperlink ref="D536" r:id="rId684" display="2019_12/26.12.2019/78242"/>
    <hyperlink ref="D387" r:id="rId685" display="2019_12/27.12.2019/61067"/>
    <hyperlink ref="D520" r:id="rId686" display="2019_12\26.12.2019\69530"/>
    <hyperlink ref="D459" r:id="rId687" display="2019_12/26.12.2019/69367"/>
    <hyperlink ref="D547" r:id="rId688" display="2019_12/27.12.2019/70779"/>
    <hyperlink ref="D472" r:id="rId689" display="2019_12/26.12.2019/77071"/>
    <hyperlink ref="D519" r:id="rId690" display="2019_12/26.12.2019/69449"/>
    <hyperlink ref="D502" r:id="rId691" display="2019_12/26.12.2019/77359"/>
    <hyperlink ref="D503" r:id="rId692" display="2019_12/26.12.2019/77368"/>
    <hyperlink ref="D470" r:id="rId693" display="2019_12/26.12.2019/77035"/>
    <hyperlink ref="D521" r:id="rId694" display="2019_12/26.12.2019/69700"/>
    <hyperlink ref="D398" r:id="rId695" display="2019_12/27.12.2019/69852"/>
    <hyperlink ref="D411" r:id="rId696" display="2019_12/27.12.2019/77901"/>
    <hyperlink ref="D534" r:id="rId697" display="2019_12/27.12.2019/77545"/>
    <hyperlink ref="D523" r:id="rId698" display="2019_12/27.12.2019/70085"/>
    <hyperlink ref="D504" r:id="rId699" display="2019_12/27.12.2019/78319"/>
    <hyperlink ref="D461" r:id="rId700" display="2019_12/27.12.2019/70687"/>
    <hyperlink ref="D522" r:id="rId701" display="2019_12\27.12.2019\70039"/>
    <hyperlink ref="D548" r:id="rId702" display="2019_12\27.12.2019\78382"/>
    <hyperlink ref="D473" r:id="rId703" display="2019_12/27.12.2019/78031"/>
    <hyperlink ref="D444" r:id="rId704" display="2019_12/27.12.2019/78175"/>
    <hyperlink ref="D410" r:id="rId705" display="2019_12/27.12.2019/77898"/>
    <hyperlink ref="D524" r:id="rId706" display="2019_12\30.12.2019\70444"/>
    <hyperlink ref="D474" r:id="rId707" display="2019_12/27.12.2019/78076"/>
    <hyperlink ref="D445" r:id="rId708" display="2019_12/27.12.2019/78181"/>
    <hyperlink ref="D505" r:id="rId709" display="2019_12/30.12.2019/79057"/>
    <hyperlink ref="D475" r:id="rId710" display="2019_12/27.12.2019/78077"/>
    <hyperlink ref="D549" r:id="rId711" display="2019_12/30.12.2019/70186"/>
    <hyperlink ref="D430" r:id="rId712" display="2019_12/30.12.2019/70683"/>
    <hyperlink ref="D431" r:id="rId713" display="2019_12/30.12.2019/71263"/>
    <hyperlink ref="D490" r:id="rId714" display="2019_12/30.12.2019/70619"/>
    <hyperlink ref="D527" r:id="rId715" display="2019_12/30.12.2019/71679"/>
    <hyperlink ref="D432" r:id="rId716" display="2019_12/30.12.2019/71275"/>
    <hyperlink ref="D446" r:id="rId717" display="2019_12/30.12.2019/78933"/>
    <hyperlink ref="D447" r:id="rId718" display="2019_12/30.12.2019/78934"/>
    <hyperlink ref="D448" r:id="rId719" display="2019_12/30.12.2019/78936"/>
    <hyperlink ref="D550" r:id="rId720" display="2019_12/31.12.2019/80041"/>
    <hyperlink ref="D551" r:id="rId721" display="2019_12/31.12.2019/80031"/>
    <hyperlink ref="D412" r:id="rId722" display="2019_12/30.12.2019/78668"/>
    <hyperlink ref="D413" r:id="rId723" display="2019_12/30.12.2019/78673"/>
    <hyperlink ref="D414" r:id="rId724" display="2019_12/30.12.2019/78674"/>
    <hyperlink ref="D525" r:id="rId725" display="2019_12/30.12.2019/70638"/>
    <hyperlink ref="D537" r:id="rId726" display="2019_12/30.12.2019/79851"/>
    <hyperlink ref="D538" r:id="rId727" display="2019_12/30.12.2019/79853"/>
    <hyperlink ref="D460" r:id="rId728" display="2019_12/30.12.2019/70436"/>
    <hyperlink ref="D462" r:id="rId729" display="2019_12/30.12.2019/71068"/>
    <hyperlink ref="D491" r:id="rId730" display="2019_12/31.12.2019/71599"/>
    <hyperlink ref="D492" r:id="rId731" display="2019_12/31.12.2019/71746"/>
    <hyperlink ref="D493" r:id="rId732" display="2019_12/31.12.2019/72068"/>
    <hyperlink ref="D506" r:id="rId733" display="2019_12/31.12.2019/79902"/>
    <hyperlink ref="D508" r:id="rId734" display="2019_12/31.12.2019/79909"/>
    <hyperlink ref="D463" r:id="rId735" display="2019_12/31.12.2019/72185"/>
    <hyperlink ref="D476" r:id="rId736" display="2019_12/31.12.2019/79596"/>
    <hyperlink ref="D400" r:id="rId737" display="2019_12/30.12.2019/71714"/>
    <hyperlink ref="D552" r:id="rId738" display="2019_12\30.12.2019\70184"/>
    <hyperlink ref="D477" r:id="rId739" display="2019_12/31.12.2019/79597"/>
    <hyperlink ref="D479" r:id="rId740" display="2019_12/31.12.2019/79602"/>
    <hyperlink ref="D553" r:id="rId741" display="2019_12/31.12.2019/80032"/>
    <hyperlink ref="D399" r:id="rId742" display="2019_12/31.12.2019/71132"/>
    <hyperlink ref="D526" r:id="rId743" display="2019_12/31.12.2019/70896"/>
    <hyperlink ref="D478" r:id="rId744" display="2019_12/31.12.2019/79598"/>
    <hyperlink ref="D416" r:id="rId745" display="2019_12/31.12.2019/79307"/>
    <hyperlink ref="D529" r:id="rId746" display="2019_12/31.12.2019/72208"/>
    <hyperlink ref="D415" r:id="rId747" display="2019_12/31.12.2019/79306"/>
    <hyperlink ref="D433" r:id="rId748" display="2019_12/31.12.2019/71356"/>
    <hyperlink ref="D434" r:id="rId749" display="2019_12/31.12.2019/71378"/>
    <hyperlink ref="D449" r:id="rId750" display="2019_12/31.12.2019/79778"/>
    <hyperlink ref="D450" r:id="rId751" display="2019_12/31.12.2019/79787"/>
    <hyperlink ref="D528" r:id="rId752" display="2019_12/31.12.2019/72131"/>
    <hyperlink ref="D554" r:id="rId753" display="2019_12/31.12.2019/80323"/>
    <hyperlink ref="D555" r:id="rId754" display="2020_01/09.01.2020/80605"/>
    <hyperlink ref="D451" r:id="rId755" display="2019_12\31.12.2019\79789"/>
    <hyperlink ref="D452" r:id="rId756" display="2019_12\31.12.2019\79792"/>
    <hyperlink ref="D453" r:id="rId757" display="2019_12/31.12.2019/79793"/>
    <hyperlink ref="D557" r:id="rId758" display="2019_12/31.12.2019/80331"/>
    <hyperlink ref="D558" r:id="rId759" display="2019_12/31.12.2019/80333"/>
    <hyperlink ref="D559" r:id="rId760" display="2019_12/31.12.2019/80324"/>
    <hyperlink ref="D507" r:id="rId761" display="2019_12/31.12.2019/79907"/>
    <hyperlink ref="D588" r:id="rId762" display="2019_12\31.12.2019\71156"/>
    <hyperlink ref="D556" r:id="rId763" display="2020_01/09.01.2020/80247"/>
    <hyperlink ref="D644" r:id="rId764" display="2020_01/09.01.2020/80427"/>
    <hyperlink ref="D645" r:id="rId765" display="2020_01/09.01.2020/80426"/>
    <hyperlink ref="D646" r:id="rId766" display="2020_01/09.01.2020/80425"/>
    <hyperlink ref="D647" r:id="rId767" display="2020_01/10.01.2020/81093"/>
    <hyperlink ref="D621" r:id="rId768" display="2020_01/09.01.2020/72938"/>
    <hyperlink ref="D622" r:id="rId769" display="2020_01\09.01.2020\72940"/>
    <hyperlink ref="D632" r:id="rId770" display="2020_01/09.01.2020/81219"/>
    <hyperlink ref="D633" r:id="rId771" display="2020_01\09.01.2020\81222"/>
    <hyperlink ref="D589" r:id="rId772" display="2020_01/09.01.2020/72337"/>
    <hyperlink ref="D590" r:id="rId773" display="2020_01/09.01.2020/73198"/>
    <hyperlink ref="D605" r:id="rId774" display="2020_01/09.01.2020/80103"/>
    <hyperlink ref="D606" r:id="rId775" display="2020_01/09.01.2020/80106"/>
    <hyperlink ref="D608" r:id="rId776" display="2020_01/09.01.2020/81467"/>
    <hyperlink ref="D561" r:id="rId777" display="2020_01/09.01.2020/73041"/>
    <hyperlink ref="D562" r:id="rId778" display="2020_01/09.01.2020/73194"/>
    <hyperlink ref="D575" r:id="rId779" display="2020_01/09.01.2020/80453"/>
    <hyperlink ref="D617" r:id="rId780" display="2020_01/10.01.2020/64467"/>
    <hyperlink ref="D494" r:id="rId781" display="2020_01/10.01.2020/73365"/>
    <hyperlink ref="D631" r:id="rId782" display="2020_01/09.01.2020/81213"/>
    <hyperlink ref="D565" r:id="rId783" display="2020_01/09.01.2020/73376"/>
    <hyperlink ref="D574" r:id="rId784" display="2020_01/09.01.2020/80444"/>
    <hyperlink ref="D576" r:id="rId785" display="2020_01\09.01.2020\80454"/>
    <hyperlink ref="D664" r:id="rId786" display="2020_01\09.01.2020\80675"/>
    <hyperlink ref="D564" r:id="rId787" display="2020_01/10.01.2020/73338"/>
    <hyperlink ref="D592" r:id="rId788" display="2020_01\10.01.2020\73387"/>
    <hyperlink ref="D591" r:id="rId789" display="2020_01/10.01.2020/73385"/>
    <hyperlink ref="D593" r:id="rId790" display="2020_01/10.01.2020/73388"/>
    <hyperlink ref="D623" r:id="rId791" display="2020_01/10.01.2020/73748"/>
    <hyperlink ref="D649" r:id="rId792" display="2020_01/10.01.2020/73367"/>
    <hyperlink ref="D650" r:id="rId793" display="2020_01/10.01.2020/73368"/>
    <hyperlink ref="D680" r:id="rId794" display="2020_01/10.01.2020/81084"/>
    <hyperlink ref="D634" r:id="rId795" display="2020_01\10.01.2020\81926"/>
    <hyperlink ref="D675" r:id="rId796" display="2020_01\10.01.2020\73089"/>
    <hyperlink ref="D651" r:id="rId797" display="2020_01/10.01.2020/73371"/>
    <hyperlink ref="D665" r:id="rId798" display="2020_01\10.01.2020\81542"/>
    <hyperlink ref="D678" r:id="rId799" display="2020_01/10.01.2020/81347"/>
    <hyperlink ref="D666" r:id="rId800" display="2020_01/10.01.2020/81556"/>
    <hyperlink ref="D560" r:id="rId801" display="2020_01/13.01.2020/65867"/>
    <hyperlink ref="D566" r:id="rId802" display="2020_01/13.01.2020/74132"/>
    <hyperlink ref="D579" r:id="rId803" display="2020_01/13.01.2020/82286"/>
    <hyperlink ref="D580" r:id="rId804" display="2020_01/13.01.2020/82293"/>
    <hyperlink ref="D594" r:id="rId805" display="2020_01/13.01.2020/74319"/>
    <hyperlink ref="D609" r:id="rId806" display="2020_01/13.01.2020/81860"/>
    <hyperlink ref="D610" r:id="rId807" display="2020_01/13.01.2020/81866"/>
    <hyperlink ref="D618" r:id="rId808" display="2020_01\13.01.2020\66025"/>
    <hyperlink ref="D688" r:id="rId809" display="2020_01/13.01.2020/74317"/>
    <hyperlink ref="D636" r:id="rId810" display="2020_01\13.01.2020\82960"/>
    <hyperlink ref="D616" r:id="rId811" display="2020_01\14.01.2020\61953"/>
    <hyperlink ref="D619" r:id="rId812" display="2020_01/14.01.2020/67152"/>
    <hyperlink ref="D637" r:id="rId813" display="2020_01/14.01.2020/83847"/>
    <hyperlink ref="D668" r:id="rId814" display="2020_01\13.01.2020\82856"/>
    <hyperlink ref="D652" r:id="rId815" display="2020_01/13.01.2020/73977"/>
    <hyperlink ref="D655" r:id="rId816" display="2020_01\13.01.2020\74799"/>
    <hyperlink ref="D667" r:id="rId817" display="2020_01\13.01.2020\82752"/>
    <hyperlink ref="D567" r:id="rId818" display="2020_01\14.01.2020\74580"/>
    <hyperlink ref="D581" r:id="rId819" display="2020_01/14.01.2020/82895"/>
    <hyperlink ref="D689" r:id="rId820" display="2020_01/14.01.2020/74420"/>
    <hyperlink ref="D690" r:id="rId821" display="2020_01/14.01.2020/83185"/>
    <hyperlink ref="D595" r:id="rId822" display="2020_01/14.01.2020/74822"/>
    <hyperlink ref="D596" r:id="rId823" display="2020_01/14.01.2020/74826"/>
    <hyperlink ref="D611" r:id="rId824" display="2020_01\14.01.2020\82484"/>
    <hyperlink ref="D653" r:id="rId825" display="2020_01\14.01.2020\74506"/>
    <hyperlink ref="D654" r:id="rId826" display="2020_01\14.01.2020\74642"/>
    <hyperlink ref="D669" r:id="rId827" display="2020_01\14.01.2020\82980"/>
    <hyperlink ref="D691" r:id="rId828" display="2019_01/14.01.2019/75457"/>
    <hyperlink ref="D568" r:id="rId829" display="2020_01/15.01.2020/75447"/>
    <hyperlink ref="D569" r:id="rId830" display="2020_01/15.01.2020/75449"/>
    <hyperlink ref="D570" r:id="rId831" display="2020_01/15.01.2020/75453"/>
    <hyperlink ref="D582" r:id="rId832" display="2020_01/15.01.2020/83634"/>
    <hyperlink ref="D583" r:id="rId833" display="2020_01/15.01.2020/83637"/>
    <hyperlink ref="D584" r:id="rId834" display="2020_01\15.01.2020\83660"/>
    <hyperlink ref="D624" r:id="rId835" display="2020_01/15.01.2020/76221"/>
    <hyperlink ref="D625" r:id="rId836" display="2020_01\15.01.2020\76232"/>
    <hyperlink ref="D626" r:id="rId837" display="2020_01/15.01.2020/76234"/>
    <hyperlink ref="D638" r:id="rId838" display="2020_01/15.01.2020/84467"/>
    <hyperlink ref="D639" r:id="rId839" display="2020_01/15.01.2020/84475"/>
    <hyperlink ref="D640" r:id="rId840" display="2020_01/15.01.2020/84501"/>
    <hyperlink ref="D597" r:id="rId841" display="2020_01\15.01.2020\75054"/>
    <hyperlink ref="D598" r:id="rId842" display="2020_01/15.01.2020/75071"/>
    <hyperlink ref="D599" r:id="rId843" display="2020_01/15.01.2020/75143"/>
    <hyperlink ref="D612" r:id="rId844" display="2020_01\15.01.2020\83390"/>
    <hyperlink ref="D613" r:id="rId845" display="2020_01\15.01.2020\83401"/>
    <hyperlink ref="D585" r:id="rId846" display="2020_01/15.01.2020/83757"/>
    <hyperlink ref="D586" r:id="rId847" display="2020_01/15.01.2020/83760"/>
    <hyperlink ref="D692" r:id="rId848" display="2020_01/15.01.2020/83278"/>
    <hyperlink ref="D693" r:id="rId849" display="2020_01/15.01.2020/75500"/>
    <hyperlink ref="D694" r:id="rId850" display="2020_01/15.01.2020/76175"/>
    <hyperlink ref="D695" r:id="rId851" display="2020_01/15.01.2020/66379"/>
    <hyperlink ref="D656" r:id="rId852" display="2020_01/15.01.2020/75547"/>
    <hyperlink ref="D657" r:id="rId853" display="2020_01\15.01.2020\75649"/>
    <hyperlink ref="D670" r:id="rId854" display="2020_01\15.01.2020\83906"/>
    <hyperlink ref="D658" r:id="rId855" display="2020_01/16.01.2020/76456"/>
    <hyperlink ref="D629" r:id="rId856" display="2020_01/16.01.2020/77345"/>
    <hyperlink ref="D630" r:id="rId857" display="2020_01/16.01.2020/77409"/>
    <hyperlink ref="D641" r:id="rId858" display="2020_01/16.01.2020/85422"/>
    <hyperlink ref="D642" r:id="rId859" display="2020_01/16.01.2020/85426"/>
    <hyperlink ref="D643" r:id="rId860" display="2020_01/16.01.2020/85428"/>
    <hyperlink ref="D571" r:id="rId861" display="2020_01/16.01.2020/76375"/>
    <hyperlink ref="D572" r:id="rId862" display="2020_01/16.01.2020/76377"/>
    <hyperlink ref="D587" r:id="rId863" display="2020_01/16.01.2020/84785"/>
    <hyperlink ref="D600" r:id="rId864" display="2020_01/16.01.2020/76195"/>
    <hyperlink ref="D532" r:id="rId865" display="2020_01/16.01.2020/77343"/>
    <hyperlink ref="D696" r:id="rId866" display="2020_01\16.01.2020\85029"/>
    <hyperlink ref="D697" r:id="rId867" display="2020_01/16.01.2020/76634"/>
    <hyperlink ref="D659" r:id="rId868" display="2020_01\16.01.2020\76460"/>
    <hyperlink ref="D660" r:id="rId869" display="2020_01\16.01.2020\76463"/>
    <hyperlink ref="D671" r:id="rId870" display="2020_01\16.01.2020\84904"/>
    <hyperlink ref="D672" r:id="rId871" display="2020_01\16.01.2020\84914"/>
    <hyperlink ref="D673" r:id="rId872" display="2020_01/16.01.2020/84917"/>
    <hyperlink ref="D674" r:id="rId873" display="2020_01\16.01.2020\84922"/>
    <hyperlink ref="D601" r:id="rId874" display="2020_01\16.01.2020\76196"/>
    <hyperlink ref="D614" r:id="rId875" display="2020_01/16.01.2020/84486"/>
    <hyperlink ref="D615" r:id="rId876" display="2020_01\16.01.2020\84488"/>
    <hyperlink ref="D620" r:id="rId877" display="2020_01/17.01.2020/69356"/>
    <hyperlink ref="D627" r:id="rId878" display="2020_01\17.01.2020\77075"/>
    <hyperlink ref="D628" r:id="rId879" display="2020_01/17.01.2020/77082"/>
    <hyperlink ref="D684" r:id="rId880" display="2020_01/17.01.2020/85190"/>
    <hyperlink ref="D573" r:id="rId881" display="2020_01/17.01.2020/77099"/>
    <hyperlink ref="D685" r:id="rId882" display="2020_01/17.01.2020/78121"/>
    <hyperlink ref="D686" r:id="rId883" display="2020_01/17.01.2020/85417"/>
    <hyperlink ref="D687" r:id="rId884" display="2020_01/17.01.2020/85423"/>
    <hyperlink ref="D535" r:id="rId885" display="2020_01/17.01.2020/78240"/>
    <hyperlink ref="D777" r:id="rId886" display="2020_01/17.01.2020/78246"/>
    <hyperlink ref="D778" r:id="rId887" display="2020_01/17.01.2020/77632"/>
    <hyperlink ref="D779" r:id="rId888" display="2020_01/17.01.2020/85789"/>
    <hyperlink ref="D602" r:id="rId889" display="2020_01/17.01.2020/76827"/>
    <hyperlink ref="D681" r:id="rId890" display="2020_01/17.01.2020/64290"/>
    <hyperlink ref="D682" r:id="rId891" display="2020_01/17.01.2020/85296"/>
    <hyperlink ref="D683" r:id="rId892" display="2020_01/17.01.2020/85298"/>
    <hyperlink ref="D603" r:id="rId893" display="2020_01/17.01.2020/76831"/>
    <hyperlink ref="D661" r:id="rId894" display="2020_01/17.01.2020/77344"/>
    <hyperlink ref="D662" r:id="rId895" display="2020_01/17.01.2020/77355"/>
    <hyperlink ref="D663" r:id="rId896" display="2020_01/17.01.2020/78245"/>
    <hyperlink ref="D712" r:id="rId897" display="2020_01/20.01.2020/85898"/>
    <hyperlink ref="D716" r:id="rId898" display="2020_01/20.01.2020/73712"/>
    <hyperlink ref="D717" r:id="rId899" display="2020_01/20.01.2020/77551"/>
    <hyperlink ref="D699" r:id="rId900" display="2020_01/20.01.2020/77881"/>
    <hyperlink ref="D700" r:id="rId901" display="2020_01\20.01.2020\77899"/>
    <hyperlink ref="D711" r:id="rId902" display="2020_01\20.01.2020\85897"/>
    <hyperlink ref="D749" r:id="rId903" display="2020_01/20.01.2020/86130"/>
    <hyperlink ref="D740" r:id="rId904" display="2020_01/20.01.2020/78346"/>
    <hyperlink ref="D762" r:id="rId905" display="2020_01/20.01.2020/77543"/>
    <hyperlink ref="D763" r:id="rId906" display="2020_01/20.01.2020/78162"/>
    <hyperlink ref="D764" r:id="rId907" display="2020_01/20.01.2020/78179"/>
    <hyperlink ref="D765" r:id="rId908" display="2020_01/21.01.2020/79044"/>
    <hyperlink ref="D781" r:id="rId909" display="2020_01/20.01.2020/78378"/>
    <hyperlink ref="D782" r:id="rId910" display="2020_01\20.01.2020\78380"/>
    <hyperlink ref="D793" r:id="rId911" display="2020_01\20.01.2020\86074"/>
    <hyperlink ref="D741" r:id="rId912" display="2020_01/20.01.2020/78309"/>
    <hyperlink ref="D750" r:id="rId913" display="2020_01/20.01.2020/86131"/>
    <hyperlink ref="D742" r:id="rId914" display="2020_01/21.01.2020/79053"/>
    <hyperlink ref="D743" r:id="rId915" display="2020_01\21.01.2020\79087"/>
    <hyperlink ref="D720" r:id="rId916" display="2020_01/21.01.2020/79859"/>
    <hyperlink ref="D721" r:id="rId917" display="2020_01\21.01.2020\79861"/>
    <hyperlink ref="D730" r:id="rId918" display="2020_01\21.01.2020\87965"/>
    <hyperlink ref="D731" r:id="rId919" display="2020_01\21.01.2020\87979"/>
    <hyperlink ref="D698" r:id="rId920" display="2020_01/21.01.2020/71720"/>
    <hyperlink ref="D713" r:id="rId921" display="2020_01/21.01.2020/86479"/>
    <hyperlink ref="D794" r:id="rId922" display="2020_01/21.01.2020/86730"/>
    <hyperlink ref="D753" r:id="rId923" display="2020_01/21.01.2020/87172"/>
    <hyperlink ref="D751" r:id="rId924" display="2020_01\21.01.2020\87146"/>
    <hyperlink ref="D752" r:id="rId925" display="2020_01/21.01.2020/87161"/>
    <hyperlink ref="D718" r:id="rId926" display="2020_01/22.01.2020/79420"/>
    <hyperlink ref="D735" r:id="rId927" display="2020_01\22.01.2020\88647"/>
    <hyperlink ref="D701" r:id="rId928" display="2020_01/22.01.2020/79203"/>
    <hyperlink ref="D702" r:id="rId929" display="2020_01/22.01.2020/79294"/>
    <hyperlink ref="D703" r:id="rId930" display="2020_01/22.01.2020/79309"/>
    <hyperlink ref="D796" r:id="rId931" display="2020_01\21.01.2020\87496"/>
    <hyperlink ref="D766" r:id="rId932" display="2020_01/21.01.2020/79110"/>
    <hyperlink ref="D734" r:id="rId933" display="2020_01/22.01.2020/88641"/>
    <hyperlink ref="D719" r:id="rId934" display="2020_01/22.01.2020/79461"/>
    <hyperlink ref="D795" r:id="rId935" display="2020_01/21.01.2020/86974"/>
    <hyperlink ref="D714" r:id="rId936" display="2020_01\22.01.2020\87436"/>
    <hyperlink ref="D745" r:id="rId937" display="2020_01\22.01.2020\80189"/>
    <hyperlink ref="D732" r:id="rId938" display="2020_01/22.01.2020/88639"/>
    <hyperlink ref="D784" r:id="rId939" display="2020_01/21.01.2020/79905"/>
    <hyperlink ref="D772" r:id="rId940" display="2020_01/21.01.2020/86917"/>
    <hyperlink ref="D767" r:id="rId941" display="2020_01/22.01.2020/79805"/>
    <hyperlink ref="D773" r:id="rId942" display="2020_01/22.01.2020/87759"/>
    <hyperlink ref="D744" r:id="rId943" display="2020_01/22.01.2020/79903"/>
    <hyperlink ref="D755" r:id="rId944" display="2020_01/22.01.2020/87796"/>
    <hyperlink ref="D757" r:id="rId945" display="2020_01/22.01.2020/87825"/>
    <hyperlink ref="D729" r:id="rId946" display="2020_01/21.01.2020/87964"/>
    <hyperlink ref="D774" r:id="rId947" display="2020_01/22.01.2020/87763"/>
    <hyperlink ref="D783" r:id="rId948" display="2020_01/22.01.2020/79856"/>
    <hyperlink ref="D761" r:id="rId949" display="2020_01\22.01.2020\62799"/>
    <hyperlink ref="D775" r:id="rId950" display="2020_01/22.01.2020/87766"/>
    <hyperlink ref="D754" r:id="rId951" display="2020_01\22.01.2020\87793"/>
    <hyperlink ref="D756" r:id="rId952" display="2020_01/22.01.2020/87809"/>
    <hyperlink ref="D722" r:id="rId953" display="2020_01/23.01.2020/81229"/>
    <hyperlink ref="D723" r:id="rId954" display="2020_01/23.01.2020/81252"/>
    <hyperlink ref="D737" r:id="rId955" display="2020_01\23.01.2020\89372"/>
    <hyperlink ref="D797" r:id="rId956" display="2020_01/22.01.2020/88638"/>
    <hyperlink ref="D746" r:id="rId957" display="2020_01/23.01.2020/80679"/>
    <hyperlink ref="D758" r:id="rId958" display="2020_01/23.01.2020/88992"/>
    <hyperlink ref="D768" r:id="rId959" display="2020_01/23.01.2020/80445"/>
    <hyperlink ref="D704" r:id="rId960" display="2020_01/23.01.2020/80101"/>
    <hyperlink ref="D707" r:id="rId961" display="2020_01/23.01.2020/81188"/>
    <hyperlink ref="D786" r:id="rId962" display="2020_01\23.01.2020\80931"/>
    <hyperlink ref="D798" r:id="rId963" display="2020_01\23.01.2020\88905"/>
    <hyperlink ref="D769" r:id="rId964" display="2020_01/23.01.2020/80815"/>
    <hyperlink ref="D733" r:id="rId965" display="2020_01/22.01.2020/88640"/>
    <hyperlink ref="D715" r:id="rId966" display="2020_01/23.01.2020/88410"/>
    <hyperlink ref="D747" r:id="rId967" display="2020_01/24.01.2020/81541"/>
    <hyperlink ref="D705" r:id="rId968" display="2020_01/24.01.2020/80960"/>
    <hyperlink ref="D760" r:id="rId969" display="2020_01/24.01.2020/89494"/>
    <hyperlink ref="D785" r:id="rId970" display="2020_01/23.01.2020/80927"/>
    <hyperlink ref="D724" r:id="rId971" display="2020_01/24.01.2020/81937"/>
    <hyperlink ref="D725" r:id="rId972" display="2020_01\24.01.2020\81962"/>
    <hyperlink ref="D739" r:id="rId973" display="2020_01/24.01.2020/89633"/>
    <hyperlink ref="D780" r:id="rId974" display="2020_01/23.01.2020/76094"/>
    <hyperlink ref="D759" r:id="rId975" display="2020_01\23.01.2020\88969"/>
    <hyperlink ref="D770" r:id="rId976" display="2020_01\24.01.2020\81417"/>
    <hyperlink ref="D771" r:id="rId977" display="2020_01/24.01.2020/81423"/>
    <hyperlink ref="D787" r:id="rId978" display="2020_01\24.01.2020\81035"/>
    <hyperlink ref="D788" r:id="rId979" display="2020_01/24.01.2020/81079"/>
    <hyperlink ref="D736" r:id="rId980" display="2020_01/23.01.2020/89368"/>
    <hyperlink ref="D726" r:id="rId981" display="2020_01\27.01.2020\82946"/>
    <hyperlink ref="D727" r:id="rId982" display="2020_01\27.01.2020\82964"/>
    <hyperlink ref="D728" r:id="rId983" display="2020_01\27.01.2020\82977"/>
    <hyperlink ref="D799" r:id="rId984" display="2020_01/24.01.2020/89186"/>
    <hyperlink ref="D776" r:id="rId985" display="2020_01/24.01.2020/89334"/>
    <hyperlink ref="D738" r:id="rId986" display="2020_01/24.01.2020/89630"/>
    <hyperlink ref="D708" r:id="rId987" display="2020_01/27.01.2020/81820"/>
    <hyperlink ref="D709" r:id="rId988" display="2020_01\27.01.2020\81822"/>
    <hyperlink ref="D710" r:id="rId989" display="2020_01\27.01.2020\81864"/>
    <hyperlink ref="D809" r:id="rId990" display="2020_01\27.01.2020\89679"/>
    <hyperlink ref="D848" r:id="rId991" display="2020_01/27.01.2020/82317"/>
    <hyperlink ref="D849" r:id="rId992" display="2020_01\27.01.2020\82326"/>
    <hyperlink ref="D850" r:id="rId993" display="2020_01\27.01.2020\82354"/>
    <hyperlink ref="D860" r:id="rId994" display="2020_01/27.01.2020/89974"/>
    <hyperlink ref="D834" r:id="rId995" display="2020_01\27.01.2020\82854"/>
    <hyperlink ref="D790" r:id="rId996" display="2020_01/27.01.2020/83178"/>
    <hyperlink ref="D789" r:id="rId997" display="2020_01/27.01.2020/82196"/>
    <hyperlink ref="D818" r:id="rId998" display="2020_01/28.01.2020/78556"/>
    <hyperlink ref="D821" r:id="rId999" display="2020_01\28.01.2020\83854"/>
    <hyperlink ref="D826" r:id="rId1000" display="2020_01\28.01.2020\90484"/>
    <hyperlink ref="D827" r:id="rId1001" display="2020_01/28.01.2020/90486"/>
    <hyperlink ref="D859" r:id="rId1002" display="2020_01/27.01.2020/89969"/>
    <hyperlink ref="D791" r:id="rId1003" display="2020_01/27.01.2020/83190"/>
    <hyperlink ref="D833" r:id="rId1004" display="2020_01\27.01.2020\82851"/>
    <hyperlink ref="D873" r:id="rId1005" display="2020_01/27.01.2020/90337"/>
    <hyperlink ref="D851" r:id="rId1006" display="2020_01\28.01.2020\82913"/>
    <hyperlink ref="D852" r:id="rId1007" display="2020_01\28.01.2020\82925"/>
    <hyperlink ref="D803" r:id="rId1008" display="2020_01\28.01.2020\82558"/>
    <hyperlink ref="D804" r:id="rId1009" display="2020_01\28.01.2020\82560"/>
    <hyperlink ref="D810" r:id="rId1010" display="2020_01\28.01.2020\90491"/>
    <hyperlink ref="D811" r:id="rId1011" display="2020_01\28.01.2020\90494"/>
    <hyperlink ref="D812" r:id="rId1012" display="2020_01\28.01.2020\90708"/>
    <hyperlink ref="D861" r:id="rId1013" display="2020_01/28.01.2020/90717"/>
    <hyperlink ref="D862" r:id="rId1014" display="2020_01\28.01.2020\90728"/>
    <hyperlink ref="D864" r:id="rId1015" display="2020_01\28.01.2020\83183"/>
    <hyperlink ref="D867" r:id="rId1016" display="2020_01\28.01.2020\83721"/>
    <hyperlink ref="D874" r:id="rId1017" display="2020_01\28.01.2020\90732"/>
    <hyperlink ref="D875" r:id="rId1018" display="2020_01\28.01.2020\90815"/>
    <hyperlink ref="D835" r:id="rId1019" display="2020_01/28.01.2020/82974"/>
    <hyperlink ref="D836" r:id="rId1020" display="2020_01\28.01.2020\82978"/>
    <hyperlink ref="D843" r:id="rId1021" display="2020_01\28.01.2020\90981"/>
    <hyperlink ref="D844" r:id="rId1022" display="2020_01/28.01.2020/91032"/>
    <hyperlink ref="D853" r:id="rId1023" display="2020_01/29.01.2020/83264"/>
    <hyperlink ref="D876" r:id="rId1024" display="2020_01\29.01.2020\91853"/>
    <hyperlink ref="D819" r:id="rId1025" display="2020_01\29.01.2020\83302"/>
    <hyperlink ref="D820" r:id="rId1026" display="2020_01\29.01.2020\83308"/>
    <hyperlink ref="D822" r:id="rId1027" display="2020_01\29.01.2020\84493"/>
    <hyperlink ref="D805" r:id="rId1028" display="2020_01\29.01.2020\83393"/>
    <hyperlink ref="D806" r:id="rId1029" display="2020_01\29.01.2020\83400"/>
    <hyperlink ref="D813" r:id="rId1030" display="2020_01\29.01.2020\91533"/>
    <hyperlink ref="D847" r:id="rId1031" display="2020_01\29.01.2020\75840"/>
    <hyperlink ref="D868" r:id="rId1032" display="2020_01/29.01.2020/84596"/>
    <hyperlink ref="D837" r:id="rId1033" display="2020_01\29.01.2020\83935"/>
    <hyperlink ref="D838" r:id="rId1034" display="2020_01\29.01.2020\83972"/>
    <hyperlink ref="D839" r:id="rId1035" display="2020_01\29.01.2020\83973"/>
    <hyperlink ref="D814" r:id="rId1036" display="2020_01\29.01.2020\91537"/>
    <hyperlink ref="D865" r:id="rId1037" display="2020_01\29.01.2020\83266"/>
    <hyperlink ref="D866" r:id="rId1038" display="2020_01\29.01.2020\83273"/>
    <hyperlink ref="D828" r:id="rId1039" display="2020_01\29.01.2020\91765"/>
    <hyperlink ref="D824" r:id="rId1040" display="2020_01/30.01.2020/85424"/>
    <hyperlink ref="D825" r:id="rId1041" display="2020_01\30.01.2020\85429"/>
    <hyperlink ref="D830" r:id="rId1042" display="2020_01/30.01.2020/0-915"/>
    <hyperlink ref="D854" r:id="rId1043" display="2020_01\30.01.2020\84787"/>
    <hyperlink ref="D855" r:id="rId1044" display="2020_01\30.01.2020\84788"/>
    <hyperlink ref="D856" r:id="rId1045" display="2020_01\30.01.2020\84790"/>
    <hyperlink ref="D792" r:id="rId1046" display="2020_01\30.01.2020\84764"/>
    <hyperlink ref="D869" r:id="rId1047" display="2020_01\30.01.2020\85032"/>
    <hyperlink ref="D870" r:id="rId1048" display="2020_01\30.01.2020\85034"/>
    <hyperlink ref="D840" r:id="rId1049" display="2020_01/30.01.2020/84268"/>
    <hyperlink ref="D845" r:id="rId1050" display="2020_01\30.01.2020\20-54"/>
    <hyperlink ref="D807" r:id="rId1051" display="2020_01\30.01.2020\84409"/>
    <hyperlink ref="D808" r:id="rId1052" display="2020_01\30.01.2020\84558"/>
    <hyperlink ref="D871" r:id="rId1053" display="2020_01\31.01.2020\85802"/>
    <hyperlink ref="D877" r:id="rId1054" display="2020_01/31.01.2020/0-957"/>
    <hyperlink ref="D823" r:id="rId1055" display="2020_01\31.01.2020\85184"/>
    <hyperlink ref="D829" r:id="rId1056" display="2020_01\31.01.2020\20-92"/>
    <hyperlink ref="D832" r:id="rId1057" display="2020_01/31.01.2020/0-926"/>
    <hyperlink ref="D857" r:id="rId1058" display="2020_01/31.01.2020/85292"/>
    <hyperlink ref="D858" r:id="rId1059" display="2020_01/31.01.2020/85385"/>
    <hyperlink ref="D863" r:id="rId1060" display="2020_01/31.01.2020/0-598"/>
    <hyperlink ref="D841" r:id="rId1061" display="2020_01\31.01.2020\85558"/>
    <hyperlink ref="D842" r:id="rId1062" display="2020_01\31.01.2020\85562"/>
    <hyperlink ref="D846" r:id="rId1063" display="2020_01\31.01.2020\0-719"/>
    <hyperlink ref="D801" r:id="rId1064" display="2020_01\31.01.2020\68505"/>
    <hyperlink ref="D872" r:id="rId1065" display="2020_01/31.01.2020/86045"/>
    <hyperlink ref="D802" r:id="rId1066" display="2020_01\31.01.2020\77890"/>
    <hyperlink ref="D815" r:id="rId1067" display="2020_01\31.01.2020\0-202"/>
    <hyperlink ref="D816" r:id="rId1068" display="2020_01\31.01.2020\0-207"/>
    <hyperlink ref="D817" r:id="rId1069" display="2020_01\30.01.2020\0-497"/>
    <hyperlink ref="D919" r:id="rId1070" display="2020_02\03.02.2020\81991"/>
    <hyperlink ref="D921" r:id="rId1071" display="2020_02\03.02.2020\86818"/>
    <hyperlink ref="D928" r:id="rId1072" display="2020_02\03.02.2020\-1183"/>
    <hyperlink ref="D879" r:id="rId1073" display="2020_02\03.02.2020\86154"/>
    <hyperlink ref="D880" r:id="rId1074" display="2020_02\03.02.2020\86281"/>
    <hyperlink ref="D889" r:id="rId1075" display="2020_02\03.02.2020\-1852"/>
    <hyperlink ref="D892" r:id="rId1076" display="2020_02\03.02.2020\-1836"/>
    <hyperlink ref="D831" r:id="rId1077" display="2020_01/31.01.2020/0-919"/>
    <hyperlink ref="D891" r:id="rId1078" display="2020_02\03.02.2020\-1833"/>
    <hyperlink ref="D933" r:id="rId1079" display="2020_02/03.02.2020/86774"/>
    <hyperlink ref="D942" r:id="rId1080" display="2020_02/03.02.2020/-2083"/>
    <hyperlink ref="D898" r:id="rId1081" display="2020_02\03.02.2020\86052"/>
    <hyperlink ref="D899" r:id="rId1082" display="2020_02\03.02.2020\86059"/>
    <hyperlink ref="D909" r:id="rId1083" display="2020_02\03.02.2020\-1665"/>
    <hyperlink ref="D910" r:id="rId1084" display="2020_02\03.02.2020\-1667"/>
    <hyperlink ref="D911" r:id="rId1085" display="2020_02\03.02.2020\-1692"/>
    <hyperlink ref="D912" r:id="rId1086" display="2020_02\03.02.2020\-1702"/>
    <hyperlink ref="D890" r:id="rId1087" display="2020_02\03.02.2020\-1831"/>
    <hyperlink ref="D887" r:id="rId1088" display="2020_01/31.01.2020/20-70"/>
    <hyperlink ref="D947" r:id="rId1089" display="2020_02\03.02.2020\85896"/>
    <hyperlink ref="D950" r:id="rId1090" display="2020_02\03.02.2020\87086"/>
    <hyperlink ref="D958" r:id="rId1091" display="2020_02\03.02.2020\-1136"/>
    <hyperlink ref="D888" r:id="rId1092" display="2020_01/31.01.2020/0-724"/>
    <hyperlink ref="D922" r:id="rId1093" display="2020_02\04.02.2020\87971"/>
    <hyperlink ref="D923" r:id="rId1094" display="2020_02/04.02.2020/87984"/>
    <hyperlink ref="D930" r:id="rId1095" display="2020_02/04.02.2020/-3112"/>
    <hyperlink ref="D918" r:id="rId1096" display="2020_02\05.02.2020\80050"/>
    <hyperlink ref="D924" r:id="rId1097" display="2020_02\05.02.2020\88207"/>
    <hyperlink ref="D929" r:id="rId1098" display="2020_02\05.02.2020\-3092"/>
    <hyperlink ref="D900" r:id="rId1099" display="2020_02\04.02.2020\86933"/>
    <hyperlink ref="D901" r:id="rId1100" display="2020_02\04.02.2020\86993"/>
    <hyperlink ref="D881" r:id="rId1101" display="2020_02\04.02.2020\87152"/>
    <hyperlink ref="D882" r:id="rId1102" display="2020_02\04.02.2020\87622"/>
    <hyperlink ref="D893" r:id="rId1103" display="2020_02\04.02.2020\-2650"/>
    <hyperlink ref="D948" r:id="rId1104" display="2020_02\04.02.2020\86580"/>
    <hyperlink ref="D949" r:id="rId1105" display="2020_02\04.02.2020\86581"/>
    <hyperlink ref="D961" r:id="rId1106" display="2020_02\04.02.2020\-2119"/>
    <hyperlink ref="D959" r:id="rId1107" display="2020_02/03.02.2020/-1137"/>
    <hyperlink ref="D902" r:id="rId1108" display="2020_02/04.02.2020/86995"/>
    <hyperlink ref="D941" r:id="rId1109" display="2020_02\03.02.2020\-2067"/>
    <hyperlink ref="D932" r:id="rId1110" display="2020_02/03.02.2020/86347"/>
    <hyperlink ref="D931" r:id="rId1111" display="2020_02\04.02.2020\79890"/>
    <hyperlink ref="D934" r:id="rId1112" display="2020_02\04.02.2020\87480"/>
    <hyperlink ref="D960" r:id="rId1113" display="2020_02/04.02.2020/-2082"/>
    <hyperlink ref="D913" r:id="rId1114" display="2020_02/04.02.2020/-2457"/>
    <hyperlink ref="D951" r:id="rId1115" display="2020_02\05.02.2020\87427"/>
    <hyperlink ref="D952" r:id="rId1116" display="2020_02\05.02.2020\87433"/>
    <hyperlink ref="D953" r:id="rId1117" display="2020_02\05.02.2020\87439"/>
    <hyperlink ref="D883" r:id="rId1118" display="2020_02/05.02.2020/87668"/>
    <hyperlink ref="D884" r:id="rId1119" display="2020_02/05.02.2020/87810"/>
    <hyperlink ref="D903" r:id="rId1120" display="2020_02\05.02.2020\87758"/>
    <hyperlink ref="D904" r:id="rId1121" display="2020_02\05.02.2020\87764"/>
    <hyperlink ref="D937" r:id="rId1122" display="2020_02\05.02.2020\88742"/>
    <hyperlink ref="D944" r:id="rId1123" display="2020_02\05.02.2020\-3654"/>
    <hyperlink ref="D945" r:id="rId1124" display="2020_02\05.02.2020\-3658"/>
    <hyperlink ref="D935" r:id="rId1125" display="2020_02\05.02.2020\88560"/>
    <hyperlink ref="D943" r:id="rId1126" display="2020_02/05.02.2020/-3652"/>
    <hyperlink ref="D915" r:id="rId1127" display="2020_02\05.02.2020\-3743"/>
    <hyperlink ref="D914" r:id="rId1128" display="2020_02\05.02.2020\-3736"/>
    <hyperlink ref="D962" r:id="rId1129" display="2020_02/05.02.2020/-3503"/>
    <hyperlink ref="D963" r:id="rId1130" display="2020_02\05.02.2020\-3518"/>
    <hyperlink ref="D964" r:id="rId1131" display="2020_02/05.02.2020/-3524"/>
    <hyperlink ref="D916" r:id="rId1132" display="2020_02\05.02.2020\-3753"/>
    <hyperlink ref="D965" r:id="rId1133" display="2020_02\05.02.2020\-3527"/>
    <hyperlink ref="D966" r:id="rId1134" display="2020_02/05.02.2020/-3529"/>
    <hyperlink ref="D926" r:id="rId1135" display="2020_02/06.02.2020/89371"/>
    <hyperlink ref="D878" r:id="rId1136" display="2020_02/06.02.2020/80715"/>
    <hyperlink ref="D894" r:id="rId1137" display="2020_02\06.02.2020\-4348"/>
    <hyperlink ref="D896" r:id="rId1138" display="2020_02\06.02.2020\-4407"/>
    <hyperlink ref="D885" r:id="rId1139" display="2020_02\06.02.2020\88942"/>
    <hyperlink ref="D936" r:id="rId1140" display="2020_02\06.02.2020\88579"/>
    <hyperlink ref="D938" r:id="rId1141" display="2020_02\06.02.2020\88904"/>
    <hyperlink ref="D946" r:id="rId1142" display="2020_02\06.02.2020\-4485"/>
    <hyperlink ref="D905" r:id="rId1143" display="2020_02\06.02.2020\88811"/>
    <hyperlink ref="D906" r:id="rId1144" display="2020_02\06.02.2020\88812"/>
    <hyperlink ref="D954" r:id="rId1145" display="2020_02/06.02.2020/88411"/>
    <hyperlink ref="D955" r:id="rId1146" display="2020_02/06.02.2020/88771"/>
    <hyperlink ref="D927" r:id="rId1147" display="2020_02\07.02.2020\89626"/>
    <hyperlink ref="D907" r:id="rId1148" display="2020_02/07.02.2020/89355"/>
    <hyperlink ref="D886" r:id="rId1149" display="2020_02/07.02.2020/89489"/>
    <hyperlink ref="D939" r:id="rId1150" display="2020_02/07.02.2020/89636"/>
    <hyperlink ref="D967" r:id="rId1151" display="2020_02/06.02.2020/-4114"/>
    <hyperlink ref="D956" r:id="rId1152" display="2020_02\07.02.2020\89023"/>
    <hyperlink ref="D957" r:id="rId1153" display="2020_02\07.02.2020\89041"/>
    <hyperlink ref="D968" r:id="rId1154" display="2020_02\07.02.2020\-4874"/>
    <hyperlink ref="D895" r:id="rId1155" display="2020_02\06.02.2020\-4382"/>
    <hyperlink ref="D917" r:id="rId1156" display="2020_02\07.02.2020\-4996"/>
    <hyperlink ref="D925" r:id="rId1157" display="2020_02\06.02.2020\89370"/>
    <hyperlink ref="D986" r:id="rId1158" display="2020_02/12.02.2020/91775"/>
    <hyperlink ref="D993" r:id="rId1159" display="2020_02/12.02.2020/-8165"/>
    <hyperlink ref="D984" r:id="rId1160" display="2020_02\10.02.2020\90553"/>
    <hyperlink ref="D985" r:id="rId1161" display="2020_02\10.02.2020\90567"/>
    <hyperlink ref="D991" r:id="rId1162" display="2020_02\10.02.2020\-6122"/>
    <hyperlink ref="D1013" r:id="rId1163" display="2020_02\10.02.2020\89955"/>
    <hyperlink ref="D1014" r:id="rId1164" display="2020_02/10.02.2020/90149"/>
    <hyperlink ref="D995" r:id="rId1165" display="2020_02\07.02.2020\89491"/>
    <hyperlink ref="D897" r:id="rId1166" display="2020_02\07.02.2020\-5154"/>
    <hyperlink ref="D1015" r:id="rId1167" display="2020_02\11.02.2020\90695"/>
    <hyperlink ref="D1016" r:id="rId1168" display="2020_02\11.02.2020\90696"/>
    <hyperlink ref="D1017" r:id="rId1169" display="2020_02\11.02.2020\90745"/>
    <hyperlink ref="D980" r:id="rId1170" display="2020_02\11.02.2020\83850"/>
    <hyperlink ref="D981" r:id="rId1171" display="2020_02\11.02.2020\87798"/>
    <hyperlink ref="D982" r:id="rId1172" display="2020_02\11.02.2020\90485"/>
    <hyperlink ref="D983" r:id="rId1173" display="2020_02\11.02.2020\90488"/>
    <hyperlink ref="D992" r:id="rId1174" display="2020_02\11.02.2020\-7125"/>
    <hyperlink ref="D1003" r:id="rId1175" display="2020_02\07.02.2020\-5163"/>
    <hyperlink ref="D1024" r:id="rId1176" display="2020_02\10.02.2020\90388"/>
    <hyperlink ref="D1025" r:id="rId1177" display="2020_02\10.02.2020\90493"/>
    <hyperlink ref="D1032" r:id="rId1178" display="2020_02\10.02.2020\-7122"/>
    <hyperlink ref="D1033" r:id="rId1179" display="2020_02\10.02.2020\-7150"/>
    <hyperlink ref="D1004" r:id="rId1180" display="2020_02/10.02.2020/-6804"/>
    <hyperlink ref="D1005" r:id="rId1181" display="2020_02/10.02.2020/-6833"/>
    <hyperlink ref="D997" r:id="rId1182" display="2020_02/10.02.2020/90157"/>
    <hyperlink ref="D969" r:id="rId1183" display="2020_02\10.02.2020\89678"/>
    <hyperlink ref="D970" r:id="rId1184" display="2020_02\10.02.2020\89680"/>
    <hyperlink ref="D975" r:id="rId1185" display="2020_02\10.02.2020\-6175"/>
    <hyperlink ref="D1041" r:id="rId1186" display="2020_02/10.02.2020/-7037"/>
    <hyperlink ref="D1036" r:id="rId1187" display="2020_02/11.02.2020/-8067"/>
    <hyperlink ref="D1037" r:id="rId1188" display="2020_02/11.02.2020/-8106"/>
    <hyperlink ref="D1035" r:id="rId1189" display="2020_02/11.02.2020/-8032"/>
    <hyperlink ref="D1026" r:id="rId1190" display="2020_02/11.02.2020/90630"/>
    <hyperlink ref="D1027" r:id="rId1191" display="2020_02/11.02.2020/90703"/>
    <hyperlink ref="D1028" r:id="rId1192" display="2020_02/11.02.2020/90733"/>
    <hyperlink ref="D1034" r:id="rId1193" display="2020_02/11.02.2020/-8031"/>
    <hyperlink ref="D971" r:id="rId1194" display="2020_02/11.02.2020/90336"/>
    <hyperlink ref="D972" r:id="rId1195" display="2020_02/11.02.2020/90716"/>
    <hyperlink ref="D973" r:id="rId1196" display="2020_02/11.02.2020/91417"/>
    <hyperlink ref="D1021" r:id="rId1197" display="2020_02\11.02.2020\-7498"/>
    <hyperlink ref="D976" r:id="rId1198" display="2020_02\11.02.2020\-7252"/>
    <hyperlink ref="D977" r:id="rId1199" display="2020_02\11.02.2020\-7253"/>
    <hyperlink ref="D998" r:id="rId1200" display="2020_02\11.02.2020\90949"/>
    <hyperlink ref="D1007" r:id="rId1201" display="2020_02/11.02.2020/-7596"/>
    <hyperlink ref="D1039" r:id="rId1202" display="2020_02/10.02.2020/-6171"/>
    <hyperlink ref="D996" r:id="rId1203" display="2020_02\10.02.2020\90151"/>
    <hyperlink ref="D1048" r:id="rId1204" display="2020_02\11.02.2020\-6912"/>
    <hyperlink ref="D1047" r:id="rId1205" display="2020_02\11.02.2020\-6871"/>
    <hyperlink ref="D1006" r:id="rId1206" display="2020_02/10.02.2020/-6835"/>
    <hyperlink ref="D1043" r:id="rId1207" display="2020_02/11.02.2020/90554"/>
    <hyperlink ref="D1044" r:id="rId1208" display="2020_02/11.02.2020/91056"/>
    <hyperlink ref="D1000" r:id="rId1209" display="2020_02/11.02.2020/90972"/>
    <hyperlink ref="D1008" r:id="rId1210" display="2020_02/11.02.2020/-7623"/>
    <hyperlink ref="D1018" r:id="rId1211" display="2020_02\12.02.2020\91825"/>
    <hyperlink ref="D1019" r:id="rId1212" display="2020_02\12.02.2020\91832"/>
    <hyperlink ref="D1022" r:id="rId1213" display="2020_02/12.02.2020/-8550"/>
    <hyperlink ref="D1023" r:id="rId1214" display="2020_02\12.02.2020\-8552"/>
    <hyperlink ref="D1030" r:id="rId1215" display="2020_02\12.02.2020\91739"/>
    <hyperlink ref="D1038" r:id="rId1216" display="2020_02\12.02.2020\-8117"/>
    <hyperlink ref="D1029" r:id="rId1217" display="2020_02/12.02.2020/91012"/>
    <hyperlink ref="D994" r:id="rId1218" display="2020_02\12.02.2020\-8166"/>
    <hyperlink ref="D1045" r:id="rId1219" display="2020_02/11.02.2020/-6453"/>
    <hyperlink ref="D1020" r:id="rId1220" display="2020_02\11.02.2020\-7482"/>
    <hyperlink ref="D974" r:id="rId1221" display="2020_02\12.02.2020\91451"/>
    <hyperlink ref="D979" r:id="rId1222" display="2020_02/12.02.2020/-8358"/>
    <hyperlink ref="D1050" r:id="rId1223" display="2020_02/12.02.2020/91133"/>
    <hyperlink ref="D1001" r:id="rId1224" display="2020_02\12.02.2020\91849"/>
    <hyperlink ref="D1051" r:id="rId1225" display="2020_02/12.02.2020/91185"/>
    <hyperlink ref="D1002" r:id="rId1226" display="2020_02/12.02.2020/91852"/>
    <hyperlink ref="D1009" r:id="rId1227" display="2020_02/12.02.2020/-8682"/>
    <hyperlink ref="D999" r:id="rId1228" display="2020_02/11.02.2020/90958"/>
    <hyperlink ref="D1012" r:id="rId1229" display="2020_02/12.02.2020/-8763"/>
    <hyperlink ref="D1052" r:id="rId1230" display="2020_02\12.02.2020\-8294"/>
    <hyperlink ref="D1055" r:id="rId1231" display="2020_02/12.02.2020/-8296"/>
    <hyperlink ref="D1010" r:id="rId1232" display="2020_02/12.02.2020/-8689"/>
    <hyperlink ref="D978" r:id="rId1233" display="2020_02/12.02.2020/-8339"/>
    <hyperlink ref="D1011" r:id="rId1234" display="2020_02/12.02.2020/-8756"/>
    <hyperlink ref="D1059" r:id="rId1235" display="2020_02/18.02.2020/-3110"/>
    <hyperlink ref="D1060" r:id="rId1236" display="2020_02/18.02.2020/-3120"/>
    <hyperlink ref="D1066" r:id="rId1237" display="2020_02/18.02.2020/11365"/>
    <hyperlink ref="D1067" r:id="rId1238" display="2020_02/18.02.2020/11402"/>
    <hyperlink ref="D1069" r:id="rId1239" display="2020_02/18.02.2020/11637"/>
    <hyperlink ref="D1087" r:id="rId1240" display="2020_02\18.02.2020\-2373"/>
    <hyperlink ref="D1118" r:id="rId1241" display="2020_02\18.02.2020\-2086"/>
    <hyperlink ref="D1119" r:id="rId1242" display="2020_02/18.02.2020/-2153"/>
    <hyperlink ref="D1130" r:id="rId1243" display="2020_02/18.02.2020/11241"/>
    <hyperlink ref="D1131" r:id="rId1244" display="2020_02\18.02.2020\11586"/>
    <hyperlink ref="D1074" r:id="rId1245" display="2020_02\18.02.2020\90349"/>
    <hyperlink ref="D1084" r:id="rId1246" display="2020_02\18.02.2020\11347"/>
    <hyperlink ref="D1076" r:id="rId1247" display="2020_02/18.02.2020/-2638"/>
    <hyperlink ref="D1077" r:id="rId1248" display="2020_02/18.02.2020/-2642"/>
    <hyperlink ref="D1056" r:id="rId1249" display="2020_02/19.02.2020/-3078"/>
    <hyperlink ref="D1106" r:id="rId1250" display="2020_02/19.02.2020/-3651"/>
    <hyperlink ref="D1107" r:id="rId1251" display="2020_02\19.02.2020\-3657"/>
    <hyperlink ref="D1089" r:id="rId1252" display="2020_02/19.02.2020/-3742"/>
    <hyperlink ref="D1090" r:id="rId1253" display="2020_02/19.02.2020/-3749"/>
    <hyperlink ref="D1094" r:id="rId1254" display="2020_02/19.02.2020/-4263"/>
    <hyperlink ref="D1075" r:id="rId1255" display="2020_02/19.02.2020/91660"/>
    <hyperlink ref="D1078" r:id="rId1256" display="2020_02/19.02.2020/-3835"/>
    <hyperlink ref="D1079" r:id="rId1257" display="2020_02/19.02.2020/-3896"/>
    <hyperlink ref="D1120" r:id="rId1258" display="2020_02/19.02.2020/-3857"/>
    <hyperlink ref="D1121" r:id="rId1259" display="2020_02/19.02.2020/-3901"/>
    <hyperlink ref="D1122" r:id="rId1260" display="2020_02/19.02.2020/-4045"/>
    <hyperlink ref="D1057" r:id="rId1261" display="2020_02/19.02.2020/-3084"/>
    <hyperlink ref="D1058" r:id="rId1262" display="2020_02\19.02.2020\-3086"/>
    <hyperlink ref="D1068" r:id="rId1263" display="2020_02\19.02.2020\11703"/>
    <hyperlink ref="D1070" r:id="rId1264" display="2020_02\19.02.2020\12152"/>
    <hyperlink ref="D1085" r:id="rId1265" display="2020_02/19.02.2020/12060"/>
    <hyperlink ref="D1091" r:id="rId1266" display="2020_02/20.02.2020/-4210"/>
    <hyperlink ref="D1092" r:id="rId1267" display="2020_02/20.02.2020/-4212"/>
    <hyperlink ref="D1093" r:id="rId1268" display="2020_02/20.02.2020/-4213"/>
    <hyperlink ref="D1099" r:id="rId1269" display="2020_02/20.02.2020/12601"/>
    <hyperlink ref="D1109" r:id="rId1270" display="2020_02/20.02.2020/-4451"/>
    <hyperlink ref="D1110" r:id="rId1271" display="2020_02/20.02.2020/-4452"/>
    <hyperlink ref="D1080" r:id="rId1272" display="2020_02/20.02.2020/-4386"/>
    <hyperlink ref="D1081" r:id="rId1273" display="2020_02/20.02.2020/-4448"/>
    <hyperlink ref="D1086" r:id="rId1274" display="2020_02\20.02.2020\13374"/>
    <hyperlink ref="D1100" r:id="rId1275" display="2020_02/20.02.2020/13062"/>
    <hyperlink ref="D1061" r:id="rId1276" display="2020_02/20.02.2020/-3964"/>
    <hyperlink ref="D1062" r:id="rId1277" display="2020_02\20.02.2020\-3966"/>
    <hyperlink ref="D1071" r:id="rId1278" display="2020_02\20.02.2020\12775"/>
    <hyperlink ref="D1123" r:id="rId1279" display="2020_02\20.02.2020\-4119"/>
    <hyperlink ref="D1124" r:id="rId1280" display="2020_02\20.02.2020\-4129"/>
    <hyperlink ref="D1132" r:id="rId1281" display="2020_02/20.02.2020/12694"/>
    <hyperlink ref="D1116" r:id="rId1282" display="2020_02/20.02.2020/13081"/>
    <hyperlink ref="D1095" r:id="rId1283" display="2020_02/21.02.2020/-4976"/>
    <hyperlink ref="D1096" r:id="rId1284" display="2020_02/21.02.2020/-4977"/>
    <hyperlink ref="D1097" r:id="rId1285" display="2020_02/21.02.2020/-4993"/>
    <hyperlink ref="D1082" r:id="rId1286" display="2020_02\21.02.2020\-5100"/>
    <hyperlink ref="D1083" r:id="rId1287" display="2020_02\21.02.2020\-5147"/>
    <hyperlink ref="D1103" r:id="rId1288" display="2020_02/21.02.2020/14514"/>
    <hyperlink ref="D1102" r:id="rId1289" display="2020_02/21.02.2020/14049"/>
    <hyperlink ref="D1063" r:id="rId1290" display="2020_02/21.02.2020/-5755"/>
    <hyperlink ref="D1072" r:id="rId1291" display="2020_02\21.02.2020\13872"/>
    <hyperlink ref="D1073" r:id="rId1292" display="2020_02/21.02.2020/14541"/>
    <hyperlink ref="D1104" r:id="rId1293" display="2020_02\21.02.2020\89586"/>
    <hyperlink ref="D1111" r:id="rId1294" display="2020_02/21.02.2020/-5211"/>
    <hyperlink ref="D1117" r:id="rId1295" display="2020_02\21.02.2020\13844"/>
    <hyperlink ref="D1101" r:id="rId1296" display="2020_02/21.02.2020/13985"/>
    <hyperlink ref="D1125" r:id="rId1297" display="2020_02/21.02.2020/-4869"/>
    <hyperlink ref="D1126" r:id="rId1298" display="2020_02\21.02.2020\-4871"/>
    <hyperlink ref="D1133" r:id="rId1299" display="2020_02\21.02.2020\13901"/>
    <hyperlink ref="D1152" r:id="rId1300" display="2020_02/25.02.2020/-6431"/>
    <hyperlink ref="D1153" r:id="rId1301" display="2020_02/25.02.2020/-6613"/>
    <hyperlink ref="D1154" r:id="rId1302" display="2020_02/25.02.2020/-6625"/>
    <hyperlink ref="D1162" r:id="rId1303" display="2020_02/25.02.2020/14417"/>
    <hyperlink ref="D1163" r:id="rId1304" display="2020_02/25.02.2020/14427"/>
    <hyperlink ref="D1135" r:id="rId1305" display="2020_02/25.02.2020/-6318"/>
    <hyperlink ref="D1136" r:id="rId1306" display="2020_02/25.02.2020/-6891"/>
    <hyperlink ref="D1064" r:id="rId1307" display="2020_02/25.02.2020/-6121"/>
    <hyperlink ref="D1172" r:id="rId1308" display="2020_02/25.02.2020/14441"/>
    <hyperlink ref="D1173" r:id="rId1309" display="2020_02/25.02.2020/15094"/>
    <hyperlink ref="D1112" r:id="rId1310" display="2020_02/25.02.2020/-7175"/>
    <hyperlink ref="D1113" r:id="rId1311" display="2020_02/25.02.2020/-7182"/>
    <hyperlink ref="D1127" r:id="rId1312" display="2020_02/25.02.2020/-6262"/>
    <hyperlink ref="D1128" r:id="rId1313" display="2020_02/25.02.2020/-6176"/>
    <hyperlink ref="D1129" r:id="rId1314" display="2020_02/25.02.2020/-6178"/>
    <hyperlink ref="D1174" r:id="rId1315" display="2020_02/25.02.2020/15584"/>
    <hyperlink ref="D1175" r:id="rId1316" display="2020_02/25.02.2020/14539"/>
    <hyperlink ref="D1177" r:id="rId1317" display="2020_02/26.02.2020/-7989"/>
    <hyperlink ref="D1178" r:id="rId1318" display="2020_02/26.02.2020/-8053"/>
    <hyperlink ref="D1179" r:id="rId1319" display="2020_02/26.02.2020/-8136"/>
    <hyperlink ref="D1137" r:id="rId1320" display="2020_02/26.02.2020/-7584"/>
    <hyperlink ref="D1138" r:id="rId1321" display="2020_02/26.02.2020/-7611"/>
    <hyperlink ref="D1202" r:id="rId1322" display="2020_02/26.02.2020/-7120"/>
    <hyperlink ref="D1203" r:id="rId1323" display="2020_02\26.02.2020\-7123"/>
    <hyperlink ref="D1204" r:id="rId1324" display="2020_02/26.02.2020/-7126"/>
    <hyperlink ref="D1213" r:id="rId1325" display="2020_02/26.02.2020/16179"/>
    <hyperlink ref="D1155" r:id="rId1326" display="2020_02/26.02.2020/-7484"/>
    <hyperlink ref="D1145" r:id="rId1327" display="2020_02/25.02.2020/14407"/>
    <hyperlink ref="D1226" r:id="rId1328" display="2020_02/25.02.2020/14531"/>
    <hyperlink ref="D1156" r:id="rId1329" display="2020_02\26.02.2020\-7516"/>
    <hyperlink ref="D1194" r:id="rId1330" display="2020_02/26.02.2020/16115"/>
    <hyperlink ref="D1134" r:id="rId1331" display="2020_02/26.02.2020/-2329"/>
    <hyperlink ref="D1166" r:id="rId1332" display="2020_02/26.02.2020/16350"/>
    <hyperlink ref="D1146" r:id="rId1333" display="2020_02/26.02.2020/15425"/>
    <hyperlink ref="D1147" r:id="rId1334" display="2020_02/26.02.2020/15507"/>
    <hyperlink ref="D1148" r:id="rId1335" display="2020_02/26.02.2020/15823"/>
    <hyperlink ref="D1218" r:id="rId1336" display="2020_02\26.02.2020\-7249"/>
    <hyperlink ref="D1219" r:id="rId1337" display="2020_02\26.02.2020\-7254"/>
    <hyperlink ref="D1220" r:id="rId1338" display="2020_02/26.02.2020/-7351"/>
    <hyperlink ref="D1228" r:id="rId1339" display="2020_02\26.02.2020\15949"/>
    <hyperlink ref="D1164" r:id="rId1340" display="2020_02\26.02.2020\15311"/>
    <hyperlink ref="D1205" r:id="rId1341" display="2020_02/27.02.2020/-8271"/>
    <hyperlink ref="D1206" r:id="rId1342" display="2020_02/27.02.2020/-8272"/>
    <hyperlink ref="D1207" r:id="rId1343" display="2020_02/27.02.2020/-8273"/>
    <hyperlink ref="D1214" r:id="rId1344" display="2020_02/27.02.2020/16278"/>
    <hyperlink ref="D1139" r:id="rId1345" display="2020_02/26.02.2020/-7626"/>
    <hyperlink ref="D1180" r:id="rId1346" display="2020_02/27.02.2020/-8983"/>
    <hyperlink ref="D1182" r:id="rId1347" display="2020_02/27.02.2020/-8999"/>
    <hyperlink ref="D1195" r:id="rId1348" display="2020_02/27.02.2020/16240"/>
    <hyperlink ref="D1196" r:id="rId1349" display="2020_02/27.02.2020/16606"/>
    <hyperlink ref="D1157" r:id="rId1350" display="2020_02/27.02.2020/-8530"/>
    <hyperlink ref="D1158" r:id="rId1351" display="2020_02/27.02.2020/-8540"/>
    <hyperlink ref="D1167" r:id="rId1352" display="2020_02/27.02.2020/16402"/>
    <hyperlink ref="D1168" r:id="rId1353" display="2020_02/27.02.2020/16823"/>
    <hyperlink ref="D1229" r:id="rId1354" display="2020_02/27.02.2020/16590"/>
    <hyperlink ref="D1230" r:id="rId1355" display="2020_02/27.02.2020/16668"/>
    <hyperlink ref="D1221" r:id="rId1356" display="2020_02\27.02.2020\-8337"/>
    <hyperlink ref="D1222" r:id="rId1357" display="2020_02\27.02.2020\-8338"/>
    <hyperlink ref="D1223" r:id="rId1358" display="2020_02\27.02.2020\-8343"/>
    <hyperlink ref="D1140" r:id="rId1359" display="2020_02\27.02.2020\-8685"/>
    <hyperlink ref="D1141" r:id="rId1360" display="2020_02\27.02.2020\-8978"/>
    <hyperlink ref="D1149" r:id="rId1361" display="2020_02\27.02.2020\16797"/>
    <hyperlink ref="D1181" r:id="rId1362" display="2020_02/27.02.2020/-8996"/>
    <hyperlink ref="D1169" r:id="rId1363" display="2020_02/27.02.2020/16934"/>
    <hyperlink ref="D1215" r:id="rId1364" display="2020_02/27.02.2020/17274"/>
    <hyperlink ref="D1183" r:id="rId1365" display="2020_02/28.02.2020/-9834"/>
    <hyperlink ref="D1224" r:id="rId1366" display="2020_02\28.02.2020\-9689"/>
    <hyperlink ref="D1225" r:id="rId1367" display="2020_02\28.02.2020\-9696"/>
    <hyperlink ref="D1159" r:id="rId1368" display="2020_02/28.02.2020/-9644"/>
    <hyperlink ref="D1160" r:id="rId1369" display="2020_02/28.02.2020/-9676"/>
    <hyperlink ref="D1170" r:id="rId1370" display="2020_02/28.02.2020/17577"/>
    <hyperlink ref="D1208" r:id="rId1371" display="2020_02/28.02.2020/-9170"/>
    <hyperlink ref="D1209" r:id="rId1372" display="2020_02/28.02.2020/-9181"/>
    <hyperlink ref="D1216" r:id="rId1373" display="2020_02/28.02.2020/17456"/>
    <hyperlink ref="D1217" r:id="rId1374" display="2020_02/28.02.2020/17791"/>
    <hyperlink ref="D1184" r:id="rId1375" display="2020_02/28.02.2020/-9839"/>
    <hyperlink ref="D1199" r:id="rId1376" display="2020_02/28.02.2020/17586"/>
    <hyperlink ref="D1200" r:id="rId1377" display="2020_02/28.02.2020/17763"/>
    <hyperlink ref="D1201" r:id="rId1378" display="2020_02/28.02.2020/18010"/>
    <hyperlink ref="D1142" r:id="rId1379" display="2020_02\28.02.2020\-9746"/>
    <hyperlink ref="D1143" r:id="rId1380" display="2020_02\28.02.2020\-9747"/>
    <hyperlink ref="D1151" r:id="rId1381" display="2020_02/28.02.2020/17886"/>
    <hyperlink ref="D1232" r:id="rId1382" display="2020_03/02.03.2020/20-88"/>
    <hyperlink ref="D1250" r:id="rId1383" display="2020_03/02.03.2020/10541"/>
    <hyperlink ref="D1251" r:id="rId1384" display="2020_03/02.03.2020/10574"/>
    <hyperlink ref="D1295" r:id="rId1385" display="2020_03/02.03.2020/18550"/>
    <hyperlink ref="D1241" r:id="rId1386" display="2020_03/02.03.2020/10088"/>
    <hyperlink ref="D1243" r:id="rId1387" display="2020_03\02.03.2020\10090"/>
    <hyperlink ref="D1293" r:id="rId1388" display="2020_03\02.03.2020\18177"/>
    <hyperlink ref="D1236" r:id="rId1389" display="2020_03\02.03.2020\-9820"/>
    <hyperlink ref="D1237" r:id="rId1390" display="2020_03\02.03.2020\-9825"/>
    <hyperlink ref="D1290" r:id="rId1391" display="2020_03/02.03.2020/18043"/>
    <hyperlink ref="D1294" r:id="rId1392" display="2020_03/02.03.2020/18367"/>
    <hyperlink ref="D1300" r:id="rId1393" display="2020_03/02.03.2020/19059"/>
    <hyperlink ref="D1244" r:id="rId1394" display="2020_03\02.03.2020\10174"/>
    <hyperlink ref="D1245" r:id="rId1395" display="2020_03\02.03.2020\10239"/>
    <hyperlink ref="D1291" r:id="rId1396" display="2020_03\02.03.2020\18053"/>
    <hyperlink ref="D1246" r:id="rId1397" display="2020_03/03.03.2020/10312"/>
    <hyperlink ref="D1249" r:id="rId1398" display="2020_03\03.03.2020\10441"/>
    <hyperlink ref="D1304" r:id="rId1399" display="2020_03\03.03.2020\19346"/>
    <hyperlink ref="D1242" r:id="rId1400" display="2020_03/03.03.2020/10089"/>
    <hyperlink ref="D1254" r:id="rId1401" display="2020_03\03.03.2020\10778"/>
    <hyperlink ref="D1258" r:id="rId1402" display="2020_03\03.03.2020\10979"/>
    <hyperlink ref="D1233" r:id="rId1403" display="2020_03\03.03.2020\-2466"/>
    <hyperlink ref="D1238" r:id="rId1404" display="2020_03\03.03.2020\-9924"/>
    <hyperlink ref="D1239" r:id="rId1405" display="2020_03/02.03.2020/10029"/>
    <hyperlink ref="D1240" r:id="rId1406" display="2020_03\02.03.2020\10031"/>
    <hyperlink ref="D1292" r:id="rId1407" display="2020_03/02.03.2020/18075"/>
    <hyperlink ref="D1298" r:id="rId1408" display="2020_03/02.03.2020/18760"/>
    <hyperlink ref="D1234" r:id="rId1409" display="2020_03/03.03.2020/-5785"/>
    <hyperlink ref="D1306" r:id="rId1410" display="2020_03/03.03.2020/19557"/>
    <hyperlink ref="D1302" r:id="rId1411" display="2020_03/03.03.2020/19104"/>
    <hyperlink ref="D1257" r:id="rId1412" display="2020_03/03.03.2020/10977"/>
    <hyperlink ref="D1299" r:id="rId1413" display="2020_03\03.03.2020\18846"/>
    <hyperlink ref="D1301" r:id="rId1414" display="2020_03/03.03.2020/19078"/>
    <hyperlink ref="D1259" r:id="rId1415" display="2020_03/03.03.2020/11061"/>
    <hyperlink ref="D1247" r:id="rId1416" display="2020_03/03.03.2020/10345"/>
    <hyperlink ref="D1248" r:id="rId1417" display="2020_03/03.03.2020/10420"/>
    <hyperlink ref="D1255" r:id="rId1418" display="2020_03/03.03.2020/10820"/>
    <hyperlink ref="D1303" r:id="rId1419" display="2020_03\03.03.2020\19212"/>
    <hyperlink ref="D1309" r:id="rId1420" display="2020_03/04.03.2020/20136"/>
    <hyperlink ref="D1256" r:id="rId1421" display="2020_03/04.03.2020/10878"/>
    <hyperlink ref="D1262" r:id="rId1422" display="2020_03/04.03.2020/11303"/>
    <hyperlink ref="D1263" r:id="rId1423" display="2020_03/04.03.2020/11386"/>
    <hyperlink ref="D1307" r:id="rId1424" display="2020_03/04.03.2020/19888"/>
    <hyperlink ref="D1253" r:id="rId1425" display="2020_03/04.03.2020/10692"/>
    <hyperlink ref="D1261" r:id="rId1426" display="2020_03/04.03.2020/11136"/>
    <hyperlink ref="D1266" r:id="rId1427" display="2020_03/04.03.2020/11546"/>
    <hyperlink ref="D1308" r:id="rId1428" display="2020_03/04.03.2020/20042"/>
    <hyperlink ref="D1310" r:id="rId1429" display="2020_03/04.03.2020/20319"/>
    <hyperlink ref="D1260" r:id="rId1430" display="2020_03\04.03.2020\11095"/>
    <hyperlink ref="D1264" r:id="rId1431" display="2020_03/04.03.2020/11415"/>
    <hyperlink ref="D1270" r:id="rId1432" display="2020_03\04.03.2020\12026"/>
    <hyperlink ref="D1312" r:id="rId1433" display="2020_03\04.03.2020\20380"/>
    <hyperlink ref="D1252" r:id="rId1434" display="2020_03\04.03.2020\10658"/>
    <hyperlink ref="D1267" r:id="rId1435" display="2020_03/04.03.2020/11642"/>
    <hyperlink ref="D1318" r:id="rId1436" display="2020_03\04.03.2020\21364"/>
    <hyperlink ref="D1265" r:id="rId1437" display="2020_03/04.03.2020/11441"/>
    <hyperlink ref="D1273" r:id="rId1438" display="2020_03\05.03.2020\12427"/>
    <hyperlink ref="D1275" r:id="rId1439" display="2020_03\05.03.2020\12493"/>
    <hyperlink ref="D1276" r:id="rId1440" display="2020_03\05.03.2020\12602"/>
    <hyperlink ref="D1320" r:id="rId1441" display="2020_03\05.03.2020\21444"/>
    <hyperlink ref="D1277" r:id="rId1442" display="2020_03/05.03.2020/12646"/>
    <hyperlink ref="D1316" r:id="rId1443" display="2020_03/05.03.2020/20749"/>
    <hyperlink ref="D1268" r:id="rId1444" display="2020_03/05.03.2020/11801"/>
    <hyperlink ref="D1272" r:id="rId1445" display="2020_03\05.03.2020\12316"/>
    <hyperlink ref="D1278" r:id="rId1446" display="2020_03\05.03.2020\12654"/>
    <hyperlink ref="D1314" r:id="rId1447" display="2020_03\05.03.2020\20709"/>
    <hyperlink ref="D1315" r:id="rId1448" display="2020_03\05.03.2020\20711"/>
    <hyperlink ref="D1269" r:id="rId1449" display="2020_03\05.03.2020\11996"/>
    <hyperlink ref="D1274" r:id="rId1450" display="2020_03/05.03.2020/12478"/>
    <hyperlink ref="D1324" r:id="rId1451" display="2020_03\05.03.2020\21863"/>
    <hyperlink ref="D1323" r:id="rId1452" display="2020_03\05.03.2020\21608"/>
    <hyperlink ref="D1317" r:id="rId1453" display="2020_03\05.03.2020\21335"/>
    <hyperlink ref="D1321" r:id="rId1454" display="2020_03\05.03.2020\21504"/>
    <hyperlink ref="D1271" r:id="rId1455" display="2020_03/05.03.2020/12287"/>
    <hyperlink ref="D1280" r:id="rId1456" display="2020_03/06.03.2020/12979"/>
    <hyperlink ref="D1284" r:id="rId1457" display="2020_03/06.03.2020/13220"/>
    <hyperlink ref="D1322" r:id="rId1458" display="2020_03/06.03.2020/21703"/>
    <hyperlink ref="D1327" r:id="rId1459" display="2020_03/06.03.2020/22446"/>
    <hyperlink ref="D1328" r:id="rId1460" display="2020_03/06.03.2020/22453"/>
    <hyperlink ref="D1286" r:id="rId1461" display="2020_03/06.03.2020/13408"/>
    <hyperlink ref="D1281" r:id="rId1462" display="2020_03/06.03.2020/13129"/>
    <hyperlink ref="D1288" r:id="rId1463" display="2020_03/06.03.2020/13617"/>
    <hyperlink ref="D1326" r:id="rId1464" display="2020_03/06.03.2020/22441"/>
    <hyperlink ref="D1283" r:id="rId1465" display="2020_03\06.03.2020\13163"/>
    <hyperlink ref="D1285" r:id="rId1466" display="2020_03\06.03.2020\13332"/>
    <hyperlink ref="D1287" r:id="rId1467" display="2020_03\06.03.2020\13546"/>
    <hyperlink ref="D1325" r:id="rId1468" display="2020_03\06.03.2020\22129"/>
    <hyperlink ref="D1329" r:id="rId1469" display="2020_03\06.03.2020\22578"/>
    <hyperlink ref="D1332" r:id="rId1470" display="2020_03\06.03.2020\23162"/>
    <hyperlink ref="D1279" r:id="rId1471" display="2020_03\06.03.2020\12953"/>
    <hyperlink ref="D1282" r:id="rId1472" display="2020_03\06.03.2020\13153"/>
    <hyperlink ref="D1289" r:id="rId1473" display="2020_03\06.03.2020\14148"/>
    <hyperlink ref="D1331" r:id="rId1474" display="2020_03\06.03.2020\22965"/>
    <hyperlink ref="D1338" r:id="rId1475" display="2020_03/10.03.2020/13611"/>
    <hyperlink ref="D1343" r:id="rId1476" display="2020_03\10.03.2020\14120"/>
    <hyperlink ref="D1374" r:id="rId1477" display="2020_03\10.03.2020\23012"/>
    <hyperlink ref="D1337" r:id="rId1478" display="2020_03/10.03.2020/-9818"/>
    <hyperlink ref="D1347" r:id="rId1479" display="2020_03\10.03.2020\14560"/>
    <hyperlink ref="D1339" r:id="rId1480" display="2020_03\10.03.2020\13639"/>
    <hyperlink ref="D1378" r:id="rId1481" display="2020_03/10.03.2020/23255"/>
    <hyperlink ref="D1340" r:id="rId1482" display="2020_03/10.03.2020/13717"/>
    <hyperlink ref="D1341" r:id="rId1483" display="2020_03/10.03.2020/13856"/>
    <hyperlink ref="D1345" r:id="rId1484" display="2020_03/11.03.2020/14332"/>
    <hyperlink ref="D1352" r:id="rId1485" display="2020_03\11.03.2020\14941"/>
    <hyperlink ref="D1381" r:id="rId1486" display="2020_03\11.03.2020\23773"/>
    <hyperlink ref="D1385" r:id="rId1487" display="2020_03\11.03.2020\24090"/>
    <hyperlink ref="D1387" r:id="rId1488" display="2020_03\11.03.2020\24282"/>
    <hyperlink ref="D1356" r:id="rId1489" display="2020_03\12.03.2020\15491"/>
    <hyperlink ref="D1360" r:id="rId1490" display="2020_03/12.03.2020/15743"/>
    <hyperlink ref="D1364" r:id="rId1491" display="2020_03/12.03.2020/16439"/>
    <hyperlink ref="D1393" r:id="rId1492" display="2020_03/12.03.2020/24911"/>
    <hyperlink ref="D1342" r:id="rId1493" display="2020_03/10.03.2020/13865"/>
    <hyperlink ref="D1376" r:id="rId1494" display="2020_03\10.03.2020\23224"/>
    <hyperlink ref="D1344" r:id="rId1495" display="2020_03/11.03.2020/14307"/>
    <hyperlink ref="D1334" r:id="rId1496" display="2020_03/10.03.2020/-5754"/>
    <hyperlink ref="D1351" r:id="rId1497" display="2020_03/11.03.2020/14909"/>
    <hyperlink ref="D1354" r:id="rId1498" display="2020_03\11.03.2020\14971"/>
    <hyperlink ref="D1349" r:id="rId1499" display="2020_03/11.03.2020/14887"/>
    <hyperlink ref="D1375" r:id="rId1500" display="2020_03/10.03.2020/23088"/>
    <hyperlink ref="D1350" r:id="rId1501" display="2020_03\11.03.2020\14902"/>
    <hyperlink ref="D1353" r:id="rId1502" display="2020_03\11.03.2020\14955"/>
    <hyperlink ref="D1377" r:id="rId1503" display="2020_03/11.03.2020/23308"/>
    <hyperlink ref="D1383" r:id="rId1504" display="2020_03\11.03.2020\24021"/>
    <hyperlink ref="D1384" r:id="rId1505" display="2020_03\11.03.2020\24069"/>
    <hyperlink ref="D1382" r:id="rId1506" display="2020_03/11.03.2020/23928"/>
    <hyperlink ref="D1346" r:id="rId1507" display="2020_03/11.03.2020/14540"/>
    <hyperlink ref="D1348" r:id="rId1508" display="2020_03/11.03.2020/14693"/>
    <hyperlink ref="D1336" r:id="rId1509" display="2020_03/12.03.2020/-7500"/>
    <hyperlink ref="D1391" r:id="rId1510" display="2020_03/12.03.2020/24563"/>
    <hyperlink ref="D1386" r:id="rId1511" display="2020_03/12.03.2020/24235"/>
    <hyperlink ref="D1362" r:id="rId1512" display="2020_03\12.03.2020\16077"/>
    <hyperlink ref="D1333" r:id="rId1513" display="2020_03\12.03.2020\-2409"/>
    <hyperlink ref="D1358" r:id="rId1514" display="2020_03\12.03.2020\15605"/>
    <hyperlink ref="D1390" r:id="rId1515" display="2020_03/11.03.2020/24526"/>
    <hyperlink ref="D1355" r:id="rId1516" display="2020_03\12.03.2020\15224"/>
    <hyperlink ref="D1359" r:id="rId1517" display="2020_03\12.03.2020\15620"/>
    <hyperlink ref="D1357" r:id="rId1518" display="2020_03/12.03.2020/15515"/>
    <hyperlink ref="D1363" r:id="rId1519" display="2020_03/12.03.2020/16129"/>
    <hyperlink ref="D1389" r:id="rId1520" display="2020_03/12.03.2020/24465"/>
    <hyperlink ref="D1365" r:id="rId1521" display="2020_03/13.03.2020/16526"/>
    <hyperlink ref="D1372" r:id="rId1522" display="2020_03/13.03.2020/17364"/>
    <hyperlink ref="D1401" r:id="rId1523" display="2020_03\13.03.2020\25483"/>
    <hyperlink ref="D1366" r:id="rId1524" display="2020_03/13.03.2020/16542"/>
    <hyperlink ref="D1371" r:id="rId1525" display="2020_03/13.03.2020/17355"/>
    <hyperlink ref="D1370" r:id="rId1526" display="2020_03/13.03.2020/17305"/>
    <hyperlink ref="D1400" r:id="rId1527" display="2020_03/13.03.2020/25408"/>
    <hyperlink ref="D1405" r:id="rId1528" display="2020_03\13.03.2020\25984"/>
    <hyperlink ref="D1367" r:id="rId1529" display="2020_03/13.03.2020/16640"/>
    <hyperlink ref="D1402" r:id="rId1530" display="2020_03/13.03.2020/25493"/>
    <hyperlink ref="D1403" r:id="rId1531" display="2020_03/13.03.2020/25497"/>
    <hyperlink ref="D1407" r:id="rId1532" display="2020_03/13.03.2020/25747"/>
    <hyperlink ref="D1361" r:id="rId1533" display="2020_03/12.03.2020/15862"/>
    <hyperlink ref="D1368" r:id="rId1534" display="2020_03\13.03.2020\16833"/>
    <hyperlink ref="D1406" r:id="rId1535" display="2020_03\13.03.2020\26196"/>
    <hyperlink ref="D1397" r:id="rId1536" display="2020_03\13.03.2020\25312"/>
    <hyperlink ref="D1404" r:id="rId1537" display="2020_03\13.03.2020\25577"/>
    <hyperlink ref="D1412" r:id="rId1538" display="2020_03/16.03.2020/17371"/>
    <hyperlink ref="D1417" r:id="rId1539" display="2020_03/16.03.2020/17887"/>
    <hyperlink ref="D1458" r:id="rId1540" display="2020_03/16.03.2020/26133"/>
    <hyperlink ref="D1463" r:id="rId1541" display="2020_03/16.03.2020/26932"/>
    <hyperlink ref="D1413" r:id="rId1542" display="2020_03\16.03.2020\17574"/>
    <hyperlink ref="D1415" r:id="rId1543" display="2020_03\16.03.2020\17668"/>
    <hyperlink ref="D1418" r:id="rId1544" display="2020_03\16.03.2020\17935"/>
    <hyperlink ref="D1461" r:id="rId1545" display="2020_03\16.03.2020\26736"/>
    <hyperlink ref="D1410" r:id="rId1546" display="2020_03\16.03.2020\17196"/>
    <hyperlink ref="D1414" r:id="rId1547" display="2020_03\16.03.2020\17646"/>
    <hyperlink ref="D1411" r:id="rId1548" display="2020_03/16.03.2020/17357"/>
    <hyperlink ref="D1416" r:id="rId1549" display="2020_03\16.03.2020\17712"/>
    <hyperlink ref="D1462" r:id="rId1550" display="2020_03\16.03.2020\26756"/>
    <hyperlink ref="D1459" r:id="rId1551" display="2020_03/16.03.2020/26141"/>
    <hyperlink ref="D1335" r:id="rId1552" display="2020_03/13.03.2020/-7358"/>
    <hyperlink ref="D1421" r:id="rId1553" display="2020_03/17.03.2020/18163"/>
    <hyperlink ref="D1423" r:id="rId1554" display="2020_03/17.03.2020/18226"/>
    <hyperlink ref="D1425" r:id="rId1555" display="2020_03/17.03.2020/18769"/>
    <hyperlink ref="D1420" r:id="rId1556" display="2020_03/17.03.2020/18131"/>
    <hyperlink ref="D1429" r:id="rId1557" display="2020_03/17.03.2020/19160"/>
    <hyperlink ref="D1464" r:id="rId1558" display="2020_03\17.03.2020\27072"/>
    <hyperlink ref="D1469" r:id="rId1559" display="2020_03\17.03.2020\27300"/>
    <hyperlink ref="D1470" r:id="rId1560" display="2020_03/17.03.2020/27323"/>
    <hyperlink ref="D1409" r:id="rId1561" display="2020_03\17.03.2020\10034"/>
    <hyperlink ref="D1419" r:id="rId1562" display="2020_03\17.03.2020\18062"/>
    <hyperlink ref="D1422" r:id="rId1563" display="2020_03\17.03.2020\18209"/>
    <hyperlink ref="D1494" r:id="rId1564" display="2020_03\17.03.2020\27009"/>
    <hyperlink ref="D1495" r:id="rId1565" display="2020_03/16.03.2020/26545"/>
    <hyperlink ref="D1467" r:id="rId1566" display="2020_03/17.03.2020/27207"/>
    <hyperlink ref="D1468" r:id="rId1567" display="2020_03\17.03.2020\27276"/>
    <hyperlink ref="D1424" r:id="rId1568" display="2020_03/17.03.2020/18363"/>
    <hyperlink ref="D1496" r:id="rId1569" display="2020_03/17.03.2020/27724"/>
    <hyperlink ref="D1426" r:id="rId1570" display="2020_03\18.03.2020\18829"/>
    <hyperlink ref="D1434" r:id="rId1571" display="2020_03/18.03.2020/19551"/>
    <hyperlink ref="D1474" r:id="rId1572" display="2020_03\18.03.2020\28165"/>
    <hyperlink ref="D1475" r:id="rId1573" display="2020_03/18.03.2020/28365"/>
    <hyperlink ref="D1482" r:id="rId1574" display="2020_03/18.03.2020/28846"/>
    <hyperlink ref="D1430" r:id="rId1575" display="2020_03\18.03.2020\19166"/>
    <hyperlink ref="D1437" r:id="rId1576" display="2020_03\18.03.2020\19684"/>
    <hyperlink ref="D1472" r:id="rId1577" display="2020_03/18.03.2020/27948"/>
    <hyperlink ref="D1408" r:id="rId1578" display="2020_03\18.03.2020\-5660"/>
    <hyperlink ref="D1431" r:id="rId1579" display="2020_03\18.03.2020\19318"/>
    <hyperlink ref="D1432" r:id="rId1580" display="2020_03\18.03.2020\19363"/>
    <hyperlink ref="D1473" r:id="rId1581" display="2020_03\18.03.2020\28075"/>
    <hyperlink ref="D1477" r:id="rId1582" display="2020_03\18.03.2020\28401"/>
    <hyperlink ref="D1428" r:id="rId1583" display="2020_03/18.03.2020/19035"/>
    <hyperlink ref="D1433" r:id="rId1584" display="2020_03\18.03.2020\19464"/>
    <hyperlink ref="D1445" r:id="rId1585" display="2020_03\18.03.2020\20448"/>
    <hyperlink ref="D1476" r:id="rId1586" display="2020_03/18.03.2020/28399"/>
    <hyperlink ref="D1427" r:id="rId1587" display="2020_03/18.03.2020/18991"/>
    <hyperlink ref="D1450" r:id="rId1588" display="2020_03\19.03.2020\21060"/>
    <hyperlink ref="D1435" r:id="rId1589" display="2020_03\19.03.2020\19633"/>
    <hyperlink ref="D1440" r:id="rId1590" display="2020_03/19.03.2020/19970"/>
    <hyperlink ref="D1479" r:id="rId1591" display="2020_03/19.03.2020/28587"/>
    <hyperlink ref="D1486" r:id="rId1592" display="2020_03/19.03.2020/29315"/>
    <hyperlink ref="D1439" r:id="rId1593" display="2020_03\19.03.2020\19960"/>
    <hyperlink ref="D1454" r:id="rId1594" display="2020_03\19.03.2020\21388"/>
    <hyperlink ref="D1480" r:id="rId1595" display="2020_03\19.03.2020\28662"/>
    <hyperlink ref="D1483" r:id="rId1596" display="2020_03\19.03.2020\28874"/>
    <hyperlink ref="D1484" r:id="rId1597" display="2020_03\19.03.2020\29017"/>
    <hyperlink ref="D1438" r:id="rId1598" display="2020_03\19.03.2020\19748"/>
    <hyperlink ref="D1443" r:id="rId1599" display="2020_03/19.03.2020/20363"/>
    <hyperlink ref="D1444" r:id="rId1600" display="2020_03/19.03.2020/20372"/>
    <hyperlink ref="D1485" r:id="rId1601" display="2020_03/19.03.2020/29019"/>
    <hyperlink ref="D1436" r:id="rId1602" display="2020_03/19.03.2020/19657"/>
    <hyperlink ref="D1442" r:id="rId1603" display="2020_03/19.03.2020/20049"/>
    <hyperlink ref="D1446" r:id="rId1604" display="2020_03/19.03.2020/20546"/>
    <hyperlink ref="D1478" r:id="rId1605" display="2020_03/19.03.2020/28529"/>
    <hyperlink ref="D1481" r:id="rId1606" display="2020_03\19.03.2020\28703"/>
    <hyperlink ref="D1441" r:id="rId1607" display="2020_03/19.03.2020/19981"/>
    <hyperlink ref="D1449" r:id="rId1608" display="2020_03/20.03.2020/20954"/>
    <hyperlink ref="D1452" r:id="rId1609" display="2020_03\20.03.2020\21190"/>
    <hyperlink ref="D1456" r:id="rId1610" display="2020_03\20.03.2020\21808"/>
    <hyperlink ref="D1492" r:id="rId1611" display="2020_03\20.03.2020\30217"/>
    <hyperlink ref="D1453" r:id="rId1612" display="2020_03\20.03.2020\21267"/>
    <hyperlink ref="D1491" r:id="rId1613" display="2020_03\20.03.2020\30049"/>
    <hyperlink ref="D1447" r:id="rId1614" display="2020_03\20.03.2020\20649"/>
    <hyperlink ref="D1448" r:id="rId1615" display="2020_03\20.03.2020\20694"/>
    <hyperlink ref="D1451" r:id="rId1616" display="2020_03/20.03.2020/21127"/>
    <hyperlink ref="D1455" r:id="rId1617" display="2020_03/20.03.2020/21498"/>
    <hyperlink ref="D1506" r:id="rId1618" display="2020_03/23.03.2020/21817"/>
    <hyperlink ref="D1518" r:id="rId1619" display="2020_03\23.03.2020\22878"/>
    <hyperlink ref="D1519" r:id="rId1620" display="2020_03\23.03.2020\22894"/>
    <hyperlink ref="D1507" r:id="rId1621" display="2020_03\23.03.2020\21828"/>
    <hyperlink ref="D1516" r:id="rId1622" display="2020_03/23.03.2020/22729"/>
    <hyperlink ref="D1569" r:id="rId1623" display="2020_03/23.03.2020/31140"/>
    <hyperlink ref="D1509" r:id="rId1624" display="2020_03/23.03.2020/22110"/>
    <hyperlink ref="D1510" r:id="rId1625" display="2020_03/23.03.2020/22168"/>
    <hyperlink ref="D1520" r:id="rId1626" display="2020_03/23.03.2020/22982"/>
    <hyperlink ref="D1573" r:id="rId1627" display="2020_03\23.03.2020\31455"/>
    <hyperlink ref="D1503" r:id="rId1628" display="2020_03/23.03.2020/21680"/>
    <hyperlink ref="D1508" r:id="rId1629" display="2020_03/23.03.2020/21923"/>
    <hyperlink ref="D1511" r:id="rId1630" display="2020_03\23.03.2020\22321"/>
    <hyperlink ref="D1560" r:id="rId1631" display="2020_03\23.03.2020\30647"/>
    <hyperlink ref="D1561" r:id="rId1632" display="2020_03\23.03.2020\30659"/>
    <hyperlink ref="D1565" r:id="rId1633" display="2020_03\23.03.2020\30825"/>
    <hyperlink ref="D1567" r:id="rId1634" display="2020_03\23.03.2020\30951"/>
    <hyperlink ref="D1513" r:id="rId1635" display="2020_03/23.03.2020/22554"/>
    <hyperlink ref="D1568" r:id="rId1636" display="2020_03\23.03.2020\30984"/>
    <hyperlink ref="D1505" r:id="rId1637" display="2020_03/23.03.2020/21746"/>
    <hyperlink ref="D1504" r:id="rId1638" display="2020_03\23.03.2020\21691"/>
    <hyperlink ref="D1512" r:id="rId1639" display="2020_03\23.03.2020\22476"/>
    <hyperlink ref="D1515" r:id="rId1640" display="2020_03\23.03.2020\22697"/>
    <hyperlink ref="D1562" r:id="rId1641" display="2020_03\23.03.2020\30767"/>
    <hyperlink ref="D1563" r:id="rId1642" display="2020_03\23.03.2020\30815"/>
    <hyperlink ref="D1571" r:id="rId1643" display="2020_03\23.03.2020\31252"/>
    <hyperlink ref="D1528" r:id="rId1644" display="2020_03/25.03.2020/23560"/>
    <hyperlink ref="D1530" r:id="rId1645" display="2020_03/25.03.2020/23780"/>
    <hyperlink ref="D1539" r:id="rId1646" display="2020_03/25.03.2020/24410"/>
    <hyperlink ref="D1596" r:id="rId1647" display="2020_03/25.03.2020/33242"/>
    <hyperlink ref="D1521" r:id="rId1648" display="2020_03\24.03.2020\23172"/>
    <hyperlink ref="D1578" r:id="rId1649" display="2020_03\24.03.2020\32016"/>
    <hyperlink ref="D1595" r:id="rId1650" display="2020_03\24.03.2020\33217"/>
    <hyperlink ref="D1497" r:id="rId1651" display="2020_03\24.03.2020\13421"/>
    <hyperlink ref="D1577" r:id="rId1652" display="2020_03\24.03.2020\32000"/>
    <hyperlink ref="D1579" r:id="rId1653" display="2020_03\24.03.2020\32068"/>
    <hyperlink ref="D1498" r:id="rId1654" display="2020_03\24.03.2020\14146"/>
    <hyperlink ref="D1575" r:id="rId1655" display="2020_03\24.03.2020\31856"/>
    <hyperlink ref="D1580" r:id="rId1656" display="2020_03\24.03.2020\32338"/>
    <hyperlink ref="D1517" r:id="rId1657" display="2020_03\24.03.2020\22838"/>
    <hyperlink ref="D1527" r:id="rId1658" display="2020_03\24.03.2020\23533"/>
    <hyperlink ref="D1514" r:id="rId1659" display="2020_03\24.03.2020\22684"/>
    <hyperlink ref="D1522" r:id="rId1660" display="2020_03\24.03.2020\23442"/>
    <hyperlink ref="D1572" r:id="rId1661" display="2020_03\24.03.2020\31445"/>
    <hyperlink ref="D1583" r:id="rId1662" display="2020_03\24.03.2020\32474"/>
    <hyperlink ref="D1525" r:id="rId1663" display="2020_03/25.03.2020/23490"/>
    <hyperlink ref="D1524" r:id="rId1664" display="2020_03/25.03.2020/23458"/>
    <hyperlink ref="D1526" r:id="rId1665" display="2020_03/25.03.2020/23511"/>
    <hyperlink ref="D1499" r:id="rId1666" display="2020_03/25.03.2020/15346"/>
    <hyperlink ref="D1531" r:id="rId1667" display="2020_03/25.03.2020/23946"/>
    <hyperlink ref="D1533" r:id="rId1668" display="2020_03/25.03.2020/24006"/>
    <hyperlink ref="D1585" r:id="rId1669" display="2020_03/25.03.2020/32591"/>
    <hyperlink ref="D1592" r:id="rId1670" display="2020_03/25.03.2020/33148"/>
    <hyperlink ref="D1586" r:id="rId1671" display="2020_03/25.03.2020/32667"/>
    <hyperlink ref="D1600" r:id="rId1672" display="2020_03\25.03.2020\33592"/>
    <hyperlink ref="D1523" r:id="rId1673" display="2020_03/25.03.2020/23444"/>
    <hyperlink ref="D1529" r:id="rId1674" display="2020_03/25.03.2020/23643"/>
    <hyperlink ref="D1584" r:id="rId1675" display="2020_03/25.03.2020/32583"/>
    <hyperlink ref="D1588" r:id="rId1676" display="2020_03/25.03.2020/32917"/>
    <hyperlink ref="D1598" r:id="rId1677" display="2020_03/25.03.2020/33392"/>
    <hyperlink ref="D1599" r:id="rId1678" display="2020_03\25.03.2020\33449"/>
    <hyperlink ref="D1532" r:id="rId1679" display="2020_03/25.03.2020/23965"/>
    <hyperlink ref="D1534" r:id="rId1680" display="2020_03/26.03.2020/24120"/>
    <hyperlink ref="D1537" r:id="rId1681" display="2020_03\26.03.2020\24259"/>
    <hyperlink ref="D1545" r:id="rId1682" display="2020_03/26.03.2020/24850"/>
    <hyperlink ref="D1606" r:id="rId1683" display="2020_03\26.03.2020\34351"/>
    <hyperlink ref="D1538" r:id="rId1684" display="2020_03\26.03.2020\24350"/>
    <hyperlink ref="D1541" r:id="rId1685" display="2020_03\26.03.2020\24635"/>
    <hyperlink ref="D1543" r:id="rId1686" display="2020_03\26.03.2020\24746"/>
    <hyperlink ref="D1544" r:id="rId1687" display="2020_03/26.03.2020/24849"/>
    <hyperlink ref="D1547" r:id="rId1688" display="2020_03\26.03.2020\24867"/>
    <hyperlink ref="D1548" r:id="rId1689" display="2020_03\26.03.2020\24869"/>
    <hyperlink ref="D1591" r:id="rId1690" display="2020_03/25.03.2020/33097"/>
    <hyperlink ref="D1581" r:id="rId1691" display="2020_03/25.03.2020/32456"/>
    <hyperlink ref="D1540" r:id="rId1692" display="2020_03/26.03.2020/24628"/>
    <hyperlink ref="D1542" r:id="rId1693" display="2020_03/26.03.2020/24709"/>
    <hyperlink ref="D1555" r:id="rId1694" display="2020_03\26.03.2020\25684"/>
    <hyperlink ref="D1609" r:id="rId1695" display="2020_03/26.03.2020/34416"/>
    <hyperlink ref="D1535" r:id="rId1696" display="2020_03/26.03.2020/24216"/>
    <hyperlink ref="D1536" r:id="rId1697" display="2020_03/26.03.2020/24258"/>
    <hyperlink ref="D1604" r:id="rId1698" display="2020_03/26.03.2020/34161"/>
    <hyperlink ref="D1620" r:id="rId1699" display="2020_03/26.03.2020/35080"/>
    <hyperlink ref="D1552" r:id="rId1700" display="2020_03/27.03.2020/25404"/>
    <hyperlink ref="D1558" r:id="rId1701" display="2020_03\27.03.2020\25846"/>
    <hyperlink ref="D1549" r:id="rId1702" display="2020_03\27.03.2020\25162"/>
    <hyperlink ref="D1557" r:id="rId1703" display="2020_03\27.03.2020\25720"/>
    <hyperlink ref="D1500" r:id="rId1704" display="2020_03/27.03.2020/16914"/>
    <hyperlink ref="D1501" r:id="rId1705" display="2020_03\27.03.2020\16971"/>
    <hyperlink ref="D1546" r:id="rId1706" display="2020_03/26.03.2020/24861"/>
    <hyperlink ref="D1550" r:id="rId1707" display="2020_03\27.03.2020\25176"/>
    <hyperlink ref="D1553" r:id="rId1708" display="2020_03\27.03.2020\25467"/>
    <hyperlink ref="D1554" r:id="rId1709" display="2020_03\27.03.2020\25621"/>
    <hyperlink ref="D1618" r:id="rId1710" display="2020_03/27.03.2020/35013"/>
    <hyperlink ref="D1622" r:id="rId1711" display="2020_03\27.03.2020\35256"/>
    <hyperlink ref="D1551" r:id="rId1712" display="2020_03/27.03.2020/25400"/>
    <hyperlink ref="D1556" r:id="rId1713" display="2020_03/27.03.2020/25686"/>
    <hyperlink ref="D1611" r:id="rId1714" display="2020_03/27.03.2020/34639"/>
    <hyperlink ref="D1615" r:id="rId1715" display="2020_03\27.03.2020\34891"/>
    <hyperlink ref="D1617" r:id="rId1716" display="2020_03/27.03.2020/34996"/>
    <hyperlink ref="D1633" r:id="rId1717" display="2020_04\06.04.2020\26265"/>
    <hyperlink ref="D1642" r:id="rId1718" display="2020_04\06.04.2020\26926"/>
    <hyperlink ref="D1649" r:id="rId1719" display="2020_04\06.04.2020\27701"/>
    <hyperlink ref="D1674" r:id="rId1720" display="2020_04\06.04.2020\35388"/>
    <hyperlink ref="D1683" r:id="rId1721" display="2020_04\06.04.2020\35995"/>
    <hyperlink ref="D1690" r:id="rId1722" display="2020_04\06.04.2020\36629"/>
    <hyperlink ref="D1691" r:id="rId1723" display="2020_04\06.04.2020\36773"/>
    <hyperlink ref="D1630" r:id="rId1724" display="2020_04/06.04.2020/26185"/>
    <hyperlink ref="D1637" r:id="rId1725" display="2020_04\06.04.2020\26518"/>
    <hyperlink ref="D1638" r:id="rId1726" display="2020_04/06.04.2020/26735"/>
    <hyperlink ref="D1680" r:id="rId1727" display="2020_05/06.05.2020/35934"/>
    <hyperlink ref="D1636" r:id="rId1728" display="2020_04/06.04.2020/26440"/>
    <hyperlink ref="D1644" r:id="rId1729" display="2020_04\06.04.2020\26970"/>
    <hyperlink ref="D1671" r:id="rId1730" display="2020_04/06.04.2020/35309"/>
    <hyperlink ref="D1640" r:id="rId1731" display="2020_04\06.04.2020\26767"/>
    <hyperlink ref="D1676" r:id="rId1732" display="2020_04\06.04.2020\35734"/>
    <hyperlink ref="D1678" r:id="rId1733" display="2020_04\06.04.2020\35883"/>
    <hyperlink ref="D1631" r:id="rId1734" display="2020_04\06.04.2020\26217"/>
    <hyperlink ref="D1635" r:id="rId1735" display="2020_04/06.04.2020/26357"/>
    <hyperlink ref="D1639" r:id="rId1736" display="2020_04/06.04.2020/26757"/>
    <hyperlink ref="D1689" r:id="rId1737" display="2020_04/06.04.2020/36589"/>
    <hyperlink ref="D1634" r:id="rId1738" display="2020_04/06.04.2020/26304"/>
    <hyperlink ref="D1641" r:id="rId1739" display="2020_04\06.04.2020\26821"/>
    <hyperlink ref="D1677" r:id="rId1740" display="2020_04/06.04.2020/35869"/>
    <hyperlink ref="D1632" r:id="rId1741" display="2020_04/06.04.2020/26233"/>
    <hyperlink ref="D1673" r:id="rId1742" display="2020_04\06.04.2020\35383"/>
    <hyperlink ref="D1627" r:id="rId1743" display="2020_04\07.04.2020\18736"/>
    <hyperlink ref="D1653" r:id="rId1744" display="2020_04\07.04.2020\27877"/>
    <hyperlink ref="D1643" r:id="rId1745" display="2020_04/07.04.2020/27007"/>
    <hyperlink ref="D1651" r:id="rId1746" display="2020_04\07.04.2020\27712"/>
    <hyperlink ref="D1685" r:id="rId1747" display="2020_04\07.04.2020\36216"/>
    <hyperlink ref="D1687" r:id="rId1748" display="2020_04/07.04.2020/36277"/>
    <hyperlink ref="D1647" r:id="rId1749" display="2020_04\07.04.2020\27673"/>
    <hyperlink ref="D1652" r:id="rId1750" display="2020_04\07.04.2020\27772"/>
    <hyperlink ref="D1648" r:id="rId1751" display="2020_04\07.04.2020\27691"/>
    <hyperlink ref="D1686" r:id="rId1752" display="2020_04/07.04.2020/36270"/>
    <hyperlink ref="D1702" r:id="rId1753" display="2020_04/07.04.2020/37393"/>
    <hyperlink ref="D1626" r:id="rId1754" display="2020_04/07.04.2020/18717"/>
    <hyperlink ref="D1645" r:id="rId1755" display="2020_04/07.04.2020/27310"/>
    <hyperlink ref="D1688" r:id="rId1756" display="2020_04\07.04.2020\36339"/>
    <hyperlink ref="D1708" r:id="rId1757" display="2020_04\07.04.2020\37884"/>
    <hyperlink ref="D1696" r:id="rId1758" display="2020_04/07.04.2020/37022"/>
    <hyperlink ref="D1650" r:id="rId1759" display="2020_04/07.04.2020/27707"/>
    <hyperlink ref="D1659" r:id="rId1760" display="2020_04/07.04.2020/28262"/>
    <hyperlink ref="D1692" r:id="rId1761" display="2020_04/07.04.2020/36818"/>
    <hyperlink ref="D1694" r:id="rId1762" display="2020_04/07.04.2020/36975"/>
    <hyperlink ref="D1695" r:id="rId1763" display="2020_04/07.04.2020/36938"/>
    <hyperlink ref="D1656" r:id="rId1764" display="2020_04/08.04.2020/28072"/>
    <hyperlink ref="D1660" r:id="rId1765" display="2020_04/08.04.2020/28306"/>
    <hyperlink ref="D1705" r:id="rId1766" display="2020_04\08.04.2020\37550"/>
    <hyperlink ref="D1629" r:id="rId1767" display="2020_04\08.04.2020\19283"/>
    <hyperlink ref="D1658" r:id="rId1768" display="2020_04\08.04.2020\28182"/>
    <hyperlink ref="D1699" r:id="rId1769" display="2020_04\08.04.2020\37150"/>
    <hyperlink ref="D1706" r:id="rId1770" display="2020_04\08.04.2020\37625"/>
    <hyperlink ref="D1713" r:id="rId1771" display="2020_04\08.04.2020\38407"/>
    <hyperlink ref="D1707" r:id="rId1772" display="2020_04/08.04.2020/37879"/>
    <hyperlink ref="D1661" r:id="rId1773" display="2020_04/08.04.2020/28382"/>
    <hyperlink ref="D1662" r:id="rId1774" display="2020_04/08.04.2020/28389"/>
    <hyperlink ref="D1717" r:id="rId1775" display="2020_04/07.04.2020/27668"/>
    <hyperlink ref="D1718" r:id="rId1776" display="2020_04/06.04.2020/26380"/>
    <hyperlink ref="D1654" r:id="rId1777" display="2020_04/08.04.2020/27970"/>
    <hyperlink ref="D1704" r:id="rId1778" display="2020_04/08.04.2020/37546"/>
    <hyperlink ref="D1628" r:id="rId1779" display="2020_04\08.04.2020\19208"/>
    <hyperlink ref="D1655" r:id="rId1780" display="2020_04\08.04.2020\27991"/>
    <hyperlink ref="D1675" r:id="rId1781" display="2020_04/06.04.2020/35732"/>
    <hyperlink ref="D1719" r:id="rId1782" display="2020_04/06.04.2020/26398"/>
    <hyperlink ref="D1657" r:id="rId1783" display="2020_04/08.04.2020/28076"/>
    <hyperlink ref="D1697" r:id="rId1784" display="2020_04/08.04.2020/37089"/>
    <hyperlink ref="D1664" r:id="rId1785" display="2020_04/09.04.2020/28742"/>
    <hyperlink ref="D1668" r:id="rId1786" display="2020_04\09.04.2020\29390"/>
    <hyperlink ref="D1669" r:id="rId1787" display="2020_04\09.04.2020\29487"/>
    <hyperlink ref="D1714" r:id="rId1788" display="2020_04/09.04.2020/38442"/>
    <hyperlink ref="D1716" r:id="rId1789" display="2020_04/09.04.2020/39326"/>
    <hyperlink ref="D1663" r:id="rId1790" display="2020_04/09.04.2020/28690"/>
    <hyperlink ref="D1665" r:id="rId1791" display="2020_04/09.04.2020/28799"/>
    <hyperlink ref="D1667" r:id="rId1792" display="2020_04/09.04.2020/28814"/>
    <hyperlink ref="D1715" r:id="rId1793" display="2020_04/09.04.2020/38492"/>
    <hyperlink ref="D1703" r:id="rId1794" display="2020_04/08.04.2020/37447"/>
    <hyperlink ref="D1693" r:id="rId1795" display="2020_04/07.04.2020/36920"/>
    <hyperlink ref="D1646" r:id="rId1796" display="2020_04/07.04.2020/27434"/>
    <hyperlink ref="D1711" r:id="rId1797" display="2020_04/08.04.2020/38309"/>
    <hyperlink ref="D1720" r:id="rId1798" display="2020_04/08.04.2020/28210"/>
    <hyperlink ref="D1666" r:id="rId1799" display="2020_04/09.04.2020/28808"/>
    <hyperlink ref="D1834" r:id="rId1800" display="2020_05/07.05.2020/27275"/>
    <hyperlink ref="D1836" r:id="rId1801" display="2020_05\08.05.2020\28503"/>
    <hyperlink ref="D1843" r:id="rId1802" display="2020_05/08.05.2020/37251"/>
    <hyperlink ref="D1844" r:id="rId1803" display="2020_05/08.05.2020/37284"/>
    <hyperlink ref="D1845" r:id="rId1804" display="2020_05\08.05.2020\37454"/>
    <hyperlink ref="D1765" r:id="rId1805" display="2020_05/12.05.2020/38597"/>
    <hyperlink ref="D1732" r:id="rId1806" display="2020_05/12.05.2020/29542"/>
    <hyperlink ref="D1727" r:id="rId1807" display="2020_05\12.05.2020\29121"/>
    <hyperlink ref="D1730" r:id="rId1808" display="2020_05/12.05.2020/29317"/>
    <hyperlink ref="D1772" r:id="rId1809" display="2020_05/12.05.2020/39160"/>
    <hyperlink ref="D1684" r:id="rId1810" display="2020_05\06.05.2020\36005"/>
    <hyperlink ref="D1847" r:id="rId1811" display="2020_05/08.05.2020/38887"/>
    <hyperlink ref="D1740" r:id="rId1812" display="2020_05/13.05.2020/30387"/>
    <hyperlink ref="D1840" r:id="rId1813" display="2020_05/07.05.2020/36237"/>
    <hyperlink ref="D1774" r:id="rId1814" display="2020_05/13.05.2020/39174"/>
    <hyperlink ref="D1745" r:id="rId1815" display="2020_05/13.05.2020/30955"/>
    <hyperlink ref="D1735" r:id="rId1816" display="2020_05/13.05.2020/29727"/>
    <hyperlink ref="D1762" r:id="rId1817" display="2020_05\12.05.2020\38119"/>
    <hyperlink ref="D1790" r:id="rId1818" display="2020_05/13.05.2020/40204"/>
    <hyperlink ref="D1734" r:id="rId1819" display="2020_05/13.05.2020/29721"/>
    <hyperlink ref="D1731" r:id="rId1820" display="2020_05/13.05.2020/29586"/>
    <hyperlink ref="D1724" r:id="rId1821" display="2020_05/12.05.2020/28646"/>
    <hyperlink ref="D1723" r:id="rId1822" display="2020_05/13.05.2020/25388"/>
    <hyperlink ref="D1741" r:id="rId1823" display="2020_05\13.05.2020\30413"/>
    <hyperlink ref="D1729" r:id="rId1824" display="2020_05/12.05.2020/29222"/>
    <hyperlink ref="D1786" r:id="rId1825" display="2020_05\13.05.2020\39980"/>
    <hyperlink ref="D1784" r:id="rId1826" display="2020_05/13.05.2020/39809"/>
    <hyperlink ref="D1788" r:id="rId1827" display="2020_05/13.05.2020/40148"/>
    <hyperlink ref="D1789" r:id="rId1828" display="2020_05/13.05.2020/40163"/>
    <hyperlink ref="D1736" r:id="rId1829" display="2020_05/13.05.2020/29951"/>
    <hyperlink ref="D1780" r:id="rId1830" display="2020_05/13.05.2020/39518"/>
    <hyperlink ref="D1767" r:id="rId1831" display="2020_05\12.05.2020\38692"/>
    <hyperlink ref="D1725" r:id="rId1832" display="2020_05/12.05.2020/28781"/>
    <hyperlink ref="D1738" r:id="rId1833" display="2020_05/13.05.2020/30289"/>
    <hyperlink ref="D1781" r:id="rId1834" display="2020_05/13.05.2020/39537"/>
    <hyperlink ref="D1779" r:id="rId1835" display="2020_05/13.05.2020/39410"/>
    <hyperlink ref="D1839" r:id="rId1836" display="2020_05/06.05.2020/36208"/>
    <hyperlink ref="D1726" r:id="rId1837" display="2020_05/12.05.2020/29073"/>
    <hyperlink ref="D1838" r:id="rId1838" display="2020_05/06.05.2020/35702"/>
    <hyperlink ref="D1728" r:id="rId1839" display="2020_05\12.05.2020\29149"/>
    <hyperlink ref="D1807" r:id="rId1840" display="2020_05/14.05.2020/41358"/>
    <hyperlink ref="D1801" r:id="rId1841" display="2020_05/14.05.2020/40923"/>
    <hyperlink ref="D1748" r:id="rId1842" display="2020_05/14.05.2020/30994"/>
    <hyperlink ref="D1747" r:id="rId1843" display="2020_05/14.05.2020/30991"/>
    <hyperlink ref="D1743" r:id="rId1844" display="2020_05/14.05.2020/30736"/>
    <hyperlink ref="D1796" r:id="rId1845" display="2020_05/14.05.2020/40961"/>
    <hyperlink ref="D1750" r:id="rId1846" display="2020_05\14.05.2020\31379"/>
    <hyperlink ref="D1593" r:id="rId1847" display="2020_03/25.03.2020/33156"/>
    <hyperlink ref="D1812" r:id="rId1848" display="2020_05/15.05.2020/41611"/>
    <hyperlink ref="D1759" r:id="rId1849" display="2020_05/15.05.2020/32147"/>
    <hyperlink ref="D1760" r:id="rId1850" display="2020_05/15.05.2020/32330"/>
    <hyperlink ref="D1721" r:id="rId1851" display="2020_05/15.05.2020/18660"/>
    <hyperlink ref="D1816" r:id="rId1852" display="2020_05\14.05.2020\41741"/>
    <hyperlink ref="D1737" r:id="rId1853" display="2020_05/13.05.2020/29981"/>
    <hyperlink ref="D1795" r:id="rId1854" display="2020_05/13.05.2020/40768"/>
    <hyperlink ref="D1733" r:id="rId1855" display="2020_05/13.05.2020/29607"/>
    <hyperlink ref="D1854" r:id="rId1856" display="2020_05/19.05.2020/43942"/>
    <hyperlink ref="D1853" r:id="rId1857" display="2020_05/19.05.2020/43300"/>
    <hyperlink ref="D1852" r:id="rId1858" display="2020_05/19.05.2020/43231"/>
    <hyperlink ref="D1831" r:id="rId1859" display="2020_05/15.05.2020/42399"/>
    <hyperlink ref="D1785" r:id="rId1860" display="2020_05/13.05.2020/39870"/>
    <hyperlink ref="D1815" r:id="rId1861" display="2020_05/15.05.2020/41705"/>
    <hyperlink ref="D1722" r:id="rId1862" display="2020_05/13.05.2020/21482"/>
    <hyperlink ref="D1749" r:id="rId1863" display="2020_05/14.05.2020/31016"/>
    <hyperlink ref="D1739" r:id="rId1864" display="2020_05/13.05.2020/30313"/>
    <hyperlink ref="D1570" r:id="rId1865" display="2020_05/14.05.2020/31215"/>
    <hyperlink ref="D1769" r:id="rId1866" display="2020_05\12.05.2020\38770"/>
    <hyperlink ref="D1753" r:id="rId1867" display="2020_05/15.05.2020/31571"/>
    <hyperlink ref="D1827" r:id="rId1868" display="2020_05/14.05.2020/42114"/>
    <hyperlink ref="D1835" r:id="rId1869" display="2020_05/08.05.2020/28226"/>
    <hyperlink ref="D1758" r:id="rId1870" display="2020_05/14.05.2020/32110"/>
    <hyperlink ref="D1761" r:id="rId1871" display="2020_05/15.05.2020/33208"/>
    <hyperlink ref="D1850" r:id="rId1872" display="2020_05/18.05.2020/42292"/>
    <hyperlink ref="D1849" r:id="rId1873" display="2020_05/18.05.2020/32828"/>
    <hyperlink ref="D1744" r:id="rId1874" display="2020_05/14.05.2020/30928"/>
    <hyperlink ref="D1777" r:id="rId1875" display="2020_05\12.05.2020\39325"/>
    <hyperlink ref="D1851" r:id="rId1876" display="2020_05/18.05.2020/42345"/>
    <hyperlink ref="D1756" r:id="rId1877" display="2020_05/15.05.2020/32092"/>
    <hyperlink ref="D1746" r:id="rId1878" display="2020_05\14.05.2020\30979"/>
    <hyperlink ref="D1742" r:id="rId1879" display="2020_05/14.05.2020/30598"/>
    <hyperlink ref="D1794" r:id="rId1880" display="2020_05/14.05.2020/40730"/>
    <hyperlink ref="D1825" r:id="rId1881" display="2020_05/14.05.2020/42042"/>
    <hyperlink ref="D1763" r:id="rId1882" display="2020_05\12.05.2020\38142"/>
    <hyperlink ref="D1819" r:id="rId1883" display="2020_05/15.05.2020/41793"/>
    <hyperlink ref="D1757" r:id="rId1884" display="2020_05/15.05.2020/32097"/>
    <hyperlink ref="D1810" r:id="rId1885" display="2020_05\15.05.2020\41502"/>
    <hyperlink ref="D1848" r:id="rId1886" display="2020_05/18.05.2020/32669"/>
    <hyperlink ref="D1808" r:id="rId1887" display="2020_05/15.05.2020/41392"/>
    <hyperlink ref="D1820" r:id="rId1888" display="2020_05/15.05.2020/41820"/>
    <hyperlink ref="D1752" r:id="rId1889" display="2020_05\15.05.2020\31544"/>
    <hyperlink ref="D1751" r:id="rId1890" display="2020_05/15.05.2020/31510"/>
    <hyperlink ref="D1871" r:id="rId1891" display="2020_05\18.05.2020\33385"/>
    <hyperlink ref="D1867" r:id="rId1892" display="2020_05/18.05.2020/33030"/>
    <hyperlink ref="D1865" r:id="rId1893" display="2020_05/18.05.2020/32915"/>
    <hyperlink ref="D1857" r:id="rId1894" display="2020_05/18.05.2020/27789"/>
    <hyperlink ref="D1876" r:id="rId1895" display="2020_05/19.05.2020/33770"/>
    <hyperlink ref="D1923" r:id="rId1896" display="2020_05\18.05.2020\42553"/>
    <hyperlink ref="D1873" r:id="rId1897" display="2020_05/18.05.2020/33541"/>
    <hyperlink ref="D1889" r:id="rId1898" display="2020_05/20.05.2020/34600"/>
    <hyperlink ref="D1869" r:id="rId1899" display="2020_05/18.05.2020/33288"/>
    <hyperlink ref="D1896" r:id="rId1900" display="2020_05/20.05.2020/35426"/>
    <hyperlink ref="D1922" r:id="rId1901" display="2020_05/18.05.2020/42460"/>
    <hyperlink ref="D1892" r:id="rId1902" display="2020_05/20.05.2020/34809"/>
    <hyperlink ref="D1936" r:id="rId1903" display="2020_05/20.05.2020/44244"/>
    <hyperlink ref="D1858" r:id="rId1904" display="2020_05/18.05.2020/28255"/>
    <hyperlink ref="D1861" r:id="rId1905" display="2020_05/18.05.2020/32496"/>
    <hyperlink ref="D1870" r:id="rId1906" display="2020_05/18.05.2020/33374"/>
    <hyperlink ref="D1866" r:id="rId1907" display="2020_05/18.05.2020/32922"/>
    <hyperlink ref="D1860" r:id="rId1908" display="2020_05/18.05.2020/32433"/>
    <hyperlink ref="D1864" r:id="rId1909" display="2020_05/18.05.2020/32838"/>
    <hyperlink ref="D1868" r:id="rId1910" display="2020_05/18.05.2020/33039"/>
    <hyperlink ref="D1863" r:id="rId1911" display="2020_05/18.05.2020/32819"/>
    <hyperlink ref="D1862" r:id="rId1912" display="2020_05/18.05.2020/32725"/>
    <hyperlink ref="D1859" r:id="rId1913" display="2020_05/20.05.2020/29724"/>
    <hyperlink ref="D1926" r:id="rId1914" display="2020_05/19.05.2020/43447"/>
    <hyperlink ref="D1903" r:id="rId1915" display="2020_05/21.05.2020/35958"/>
    <hyperlink ref="D1927" r:id="rId1916" display="2020_05/19.05.2020/43461"/>
    <hyperlink ref="D1878" r:id="rId1917" display="2020_05/19.05.2020/33846"/>
    <hyperlink ref="D1883" r:id="rId1918" display="2020_05/19.05.2020/34169"/>
    <hyperlink ref="D1879" r:id="rId1919" display="2020_05/19.05.2020/33856"/>
    <hyperlink ref="D1948" r:id="rId1920" display="2020_05/21.05.2020/45853"/>
    <hyperlink ref="D1945" r:id="rId1921" display="2020_05/21.05.2020/45184"/>
    <hyperlink ref="D1905" r:id="rId1922" display="2020_05/21.05.2020/36302"/>
    <hyperlink ref="D1943" r:id="rId1923" display="2020_05/21.05.2020/45086"/>
    <hyperlink ref="D1920" r:id="rId1924" display="2020_05/22.05.2020/37955"/>
    <hyperlink ref="D1904" r:id="rId1925" display="2020_05/22.05.2020/36238"/>
    <hyperlink ref="D1886" r:id="rId1926" display="2020_05/19.05.2020/34346"/>
    <hyperlink ref="D1881" r:id="rId1927" display="2020_05/19.05.2020/34075"/>
    <hyperlink ref="D1880" r:id="rId1928" display="2020_05/19.05.2020/33910"/>
    <hyperlink ref="D1885" r:id="rId1929" display="2020_05/19.05.2020/34319"/>
    <hyperlink ref="D1884" r:id="rId1930" display="2020_05/19.05.2020/34291"/>
    <hyperlink ref="D1877" r:id="rId1931" display="2020_05/19.05.2020/33800"/>
    <hyperlink ref="D1929" r:id="rId1932" display="2020_05/19.05.2020/43624"/>
    <hyperlink ref="D1875" r:id="rId1933" display="2020_05/19.05.2020/33637"/>
    <hyperlink ref="D1934" r:id="rId1934" display="2020_05/19.05.2020/44004"/>
    <hyperlink ref="D1931" r:id="rId1935" display="2020_05/19.05.2020/43951"/>
    <hyperlink ref="D1874" r:id="rId1936" display="2020_05/19.05.2020/33626"/>
    <hyperlink ref="D1930" r:id="rId1937" display="2020_05/19.05.2020/43694"/>
    <hyperlink ref="D1888" r:id="rId1938" display="2020_05/20.05.2020/34547"/>
    <hyperlink ref="D1882" r:id="rId1939" display="2020_05/19.05.2020/34147"/>
    <hyperlink ref="D1940" r:id="rId1940" display="2020_05/20.05.2020/44642"/>
    <hyperlink ref="D1933" r:id="rId1941" display="2020_05/20.05.2020/44054"/>
    <hyperlink ref="D1937" r:id="rId1942" display="2020_05/20.05.2020/44247"/>
    <hyperlink ref="D1932" r:id="rId1943" display="2020_05/20.05.2020/44033"/>
    <hyperlink ref="D1890" r:id="rId1944" display="2020_05/20.05.2020/34702"/>
    <hyperlink ref="D1944" r:id="rId1945" display="2020_05/20.05.2020/45166"/>
    <hyperlink ref="D1939" r:id="rId1946" display="2020_05/20.05.2020/44467"/>
    <hyperlink ref="D1902" r:id="rId1947" display="2020_05/20.05.2020/35950"/>
    <hyperlink ref="D1891" r:id="rId1948" display="2020_05/20.05.2020/34761"/>
    <hyperlink ref="D1897" r:id="rId1949" display="2020_05/20.05.2020/35589"/>
    <hyperlink ref="D1887" r:id="rId1950" display="2020_05/20.05.2020/34438"/>
    <hyperlink ref="D1898" r:id="rId1951" display="2020_05\20.05.2020\35805"/>
    <hyperlink ref="D1935" r:id="rId1952" display="2020_05/20.05.2020/44238"/>
    <hyperlink ref="D1938" r:id="rId1953" display="2020_05\20.05.2020\44289"/>
    <hyperlink ref="D1894" r:id="rId1954" display="2020_05/21.05.2020/35390"/>
    <hyperlink ref="D1856" r:id="rId1955" display="2020_05/21.05.2020/26104"/>
    <hyperlink ref="D1912" r:id="rId1956" display="2020_05/22.05.2020/36575"/>
    <hyperlink ref="D1895" r:id="rId1957" display="2020_05/21.05.2020/35405"/>
    <hyperlink ref="D1899" r:id="rId1958" display="2020_05/21.05.2020/35865"/>
    <hyperlink ref="D1855" r:id="rId1959" display="2020_05/19.05.2020/20182"/>
    <hyperlink ref="D1907" r:id="rId1960" display="2020_05/21.05.2020/36409"/>
    <hyperlink ref="D1900" r:id="rId1961" display="2020_05/21.05.2020/35886"/>
    <hyperlink ref="D1954" r:id="rId1962" display="2020_05/21.05.2020/46442"/>
    <hyperlink ref="D1957" r:id="rId1963" display="2020_05/22.05.2020/46724"/>
    <hyperlink ref="D1921" r:id="rId1964" display="2020_05/18.05.2020/42372"/>
    <hyperlink ref="D1893" r:id="rId1965" display="2020_05/20.05.2020/35197"/>
    <hyperlink ref="D1872" r:id="rId1966" display="2020_05/18.05.2020/33479"/>
    <hyperlink ref="D1908" r:id="rId1967" display="2020_05/21.05.2020/36423"/>
    <hyperlink ref="D1992" r:id="rId1968" display="2020_05/25.05.2020/47067"/>
    <hyperlink ref="D1917" r:id="rId1969" display="2020_05/22.05.2020/37410"/>
    <hyperlink ref="D1901" r:id="rId1970" display="2020_05/21.05.2020/35897"/>
    <hyperlink ref="D2012" r:id="rId1971" display="2020_05/27.05.2020/49489"/>
    <hyperlink ref="D1909" r:id="rId1972" display="2020_05/21.05.2020/36508"/>
    <hyperlink ref="D1918" r:id="rId1973" display="2020_05/22.05.2020/37561"/>
    <hyperlink ref="D1911" r:id="rId1974" display="2020_05\22.05.2020\36549"/>
    <hyperlink ref="D1919" r:id="rId1975" display="2020_05/22.05.2020/37764"/>
    <hyperlink ref="D1950" r:id="rId1976" display="2020_05/22.05.2020/46216"/>
    <hyperlink ref="D1952" r:id="rId1977" display="2020_05\22.05.2020\46372"/>
    <hyperlink ref="D1958" r:id="rId1978" display="2020_05/22.05.2020/46758"/>
    <hyperlink ref="D1942" r:id="rId1979" display="2020_05\21.05.2020\44987"/>
    <hyperlink ref="D1946" r:id="rId1980" display="2020_05/21.05.2020/45575"/>
    <hyperlink ref="D1960" r:id="rId1981" display="2020_05/21.05.2020/46837"/>
    <hyperlink ref="D1959" r:id="rId1982" display="2020_05/21.05.2020/46762"/>
    <hyperlink ref="D1961" r:id="rId1983" display="2020_05/22.05.2020/46992"/>
    <hyperlink ref="D1925" r:id="rId1984" display="2020_05/19.05.2020/43321"/>
    <hyperlink ref="D1924" r:id="rId1985" display="2020_05/18.05.2020/42957"/>
    <hyperlink ref="D1910" r:id="rId1986" display="2020_05/21.05.2020/36529"/>
    <hyperlink ref="D1914" r:id="rId1987" display="2020_05/21.05.2020/36941"/>
    <hyperlink ref="D1916" r:id="rId1988" display="2020_05/22.05.2020/36950"/>
    <hyperlink ref="D1928" r:id="rId1989" display="2020_05/19.05.2020/43475"/>
    <hyperlink ref="D1962" r:id="rId1990" display="2020_05/22.05.2020/47173"/>
    <hyperlink ref="D1988" r:id="rId1991" display="2020_05\26.05.2020\39862"/>
    <hyperlink ref="D1968" r:id="rId1992" display="2020_05/26.05.2020/38233"/>
    <hyperlink ref="D1998" r:id="rId1993" display="2020_05/25.05.2020/47602"/>
    <hyperlink ref="D1976" r:id="rId1994" display="2020_05/27.05.2020/39052"/>
    <hyperlink ref="D2004" r:id="rId1995" display="2020_05/25.05.2020/48387"/>
    <hyperlink ref="D1963" r:id="rId1996" display="2020_05\25.05.2020\33213"/>
    <hyperlink ref="D2006" r:id="rId1997" display="2020_05/27.05.2020/49014"/>
    <hyperlink ref="D2009" r:id="rId1998" display="2020_05/27.05.2020/49388"/>
    <hyperlink ref="D2013" r:id="rId1999" display="2020_05\27.05.2020\49548"/>
    <hyperlink ref="D2011" r:id="rId2000" display="2020_05/27.05.2020/49482"/>
    <hyperlink ref="D2008" r:id="rId2001" display="2020_05/27.05.2020/49375"/>
    <hyperlink ref="D1985" r:id="rId2002" display="2020_05/26.05.2020/39719"/>
    <hyperlink ref="D1967" r:id="rId2003" display="2020_05/25.05.2020/38108"/>
    <hyperlink ref="D1996" r:id="rId2004" display="2020_05/25.05.2020/47241"/>
    <hyperlink ref="D1953" r:id="rId2005" display="2020_05/22.05.2020/46417"/>
    <hyperlink ref="D1915" r:id="rId2006" display="2020_05/22.05.2020/36986"/>
    <hyperlink ref="D1947" r:id="rId2007" display="2020_05/22.05.2020/45776"/>
    <hyperlink ref="D1913" r:id="rId2008" display="2020_05/22.05.2020/36579"/>
    <hyperlink ref="D1906" r:id="rId2009" display="2020_05/22.05.2020/36382"/>
    <hyperlink ref="D1997" r:id="rId2010" display="2020_05/25.05.2020/47297"/>
    <hyperlink ref="D1972" r:id="rId2011" display="2020_05/25.05.2020/38505"/>
    <hyperlink ref="D2001" r:id="rId2012" display="2020_05\25.05.2020\47873"/>
    <hyperlink ref="D1993" r:id="rId2013" display="2020_05/25.05.2020/47150"/>
    <hyperlink ref="D1965" r:id="rId2014" display="2020_05/25.05.2020/36990"/>
    <hyperlink ref="D1969" r:id="rId2015" display="2020_05/26.05.2020/38285"/>
    <hyperlink ref="D2007" r:id="rId2016" display="2020_05/26.05.2020/49302"/>
    <hyperlink ref="D1956" r:id="rId2017" display="2020_05/21.05.2020/46626"/>
    <hyperlink ref="D1990" r:id="rId2018" display="2020_05/26.05.2020/39925"/>
    <hyperlink ref="D1979" r:id="rId2019" display="2020_05/26.05.2020/39302"/>
    <hyperlink ref="D1989" r:id="rId2020" display="2020_05/27.05.2020/39995"/>
    <hyperlink ref="D2023" r:id="rId2021" display="2020_05/27.05.2020/52566"/>
    <hyperlink ref="D1986" r:id="rId2022" display="2020_05/27.05.2020/39822"/>
    <hyperlink ref="D1951" r:id="rId2023" display="2020_05/22.05.2020/46274"/>
    <hyperlink ref="D1964" r:id="rId2024" display="2020_05/25.05.2020/33502"/>
    <hyperlink ref="D1981" r:id="rId2025" display="2020_05/26.05.2020/39515"/>
    <hyperlink ref="D1974" r:id="rId2026" display="2020_05/25.05.2020/38895"/>
    <hyperlink ref="D1971" r:id="rId2027" display="2020_05\25.05.2020\38425"/>
    <hyperlink ref="D1994" r:id="rId2028" display="2020_05/25.05.2020/47165"/>
    <hyperlink ref="D1999" r:id="rId2029" display="2020_05/25.05.2020/47607"/>
    <hyperlink ref="D2002" r:id="rId2030" display="2020_05/25.05.2020/48057"/>
    <hyperlink ref="D2003" r:id="rId2031" display="2020_05/25.05.2020/48077"/>
    <hyperlink ref="D1977" r:id="rId2032" display="2020_05/27.05.2020/39137"/>
    <hyperlink ref="D1975" r:id="rId2033" display="2020_05/27.05.2020/39047"/>
    <hyperlink ref="D1983" r:id="rId2034" display="2020_05/26.05.2020/39644"/>
    <hyperlink ref="D1987" r:id="rId2035" display="2020_05/26.05.2020/39826"/>
    <hyperlink ref="D2005" r:id="rId2036" display="2020_05/26.05.2020/49005"/>
    <hyperlink ref="D2021" r:id="rId2037" display="2020_05/27.05.2020/51641"/>
    <hyperlink ref="D2027" r:id="rId2038" display="2020_05/27.05.2020/52960"/>
    <hyperlink ref="D2010" r:id="rId2039" display="2020_05/26.05.2020/49407"/>
    <hyperlink ref="D1980" r:id="rId2040" display="2020_05/26.05.2020/39363"/>
    <hyperlink ref="D1973" r:id="rId2041" display="2020_05/26.05.2020/38595"/>
    <hyperlink ref="D1970" r:id="rId2042" display="2020_05/25.05.2020/38345"/>
    <hyperlink ref="D1966" r:id="rId2043" display="2020_05/25.05.2020/37291"/>
    <hyperlink ref="D1776" r:id="rId2044" display="2020_05/13.05.2020/39265"/>
    <hyperlink ref="D1949" r:id="rId2045" display="2020_05/21.05.2020/46195"/>
    <hyperlink ref="D2000" r:id="rId2046" display="2020_05/25.05.2020/47816"/>
    <hyperlink ref="D1982" r:id="rId2047" display="2020_05/27.05.2020/39579"/>
    <hyperlink ref="D2020" r:id="rId2048" display="2020_05/27.05.2020/51255"/>
    <hyperlink ref="D2028" r:id="rId2049" display="2020_05/27.05.2020/53014"/>
    <hyperlink ref="D2026" r:id="rId2050" display="2020_05\27.05.2020\52759"/>
    <hyperlink ref="D2016" r:id="rId2051" display="2020_05/27.05.2020/50569"/>
    <hyperlink ref="D1955" r:id="rId2052" display="2020_05/21.05.2020/46465"/>
    <hyperlink ref="D2025" r:id="rId2053" display="2020_05/27.05.2020/52735"/>
    <hyperlink ref="D2024" r:id="rId2054" display="2020_05/27.05.2020/52628"/>
    <hyperlink ref="D2018" r:id="rId2055" display="2020_05/27.05.2020/50721"/>
    <hyperlink ref="D2017" r:id="rId2056" display="2020_05/27.05.2020/50590"/>
    <hyperlink ref="D2015" r:id="rId2057" display="2020_05/27.05.2020/50566"/>
    <hyperlink ref="D2014" r:id="rId2058" display="2020_05/27.05.2020/50558"/>
    <hyperlink ref="D1984" r:id="rId2059" display="2020_05/27.05.2020/39696"/>
    <hyperlink ref="D1978" r:id="rId2060" display="2020_05/27.05.2020/39155"/>
    <hyperlink ref="D2019" r:id="rId2061" display="2020_05/27.05.2020/50790"/>
    <hyperlink ref="D2022" r:id="rId2062" display="2020_05/27.05.2020/52244"/>
    <hyperlink ref="D1991" r:id="rId2063" display="2020_05\27.05.2020\40437"/>
    <hyperlink ref="D2040" r:id="rId2064" display="2020_05/27.05.2020/53695"/>
    <hyperlink ref="D2042" r:id="rId2065" display="2020_05/27.05.2020/53878"/>
    <hyperlink ref="D2029" r:id="rId2066" display="2020_05/27.05.2020/50206"/>
    <hyperlink ref="D2049" r:id="rId2067" display="2020_06/01.06.2020/59556"/>
    <hyperlink ref="D2048" r:id="rId2068" display="2020_06/01.06.2020/58256"/>
    <hyperlink ref="D2066" r:id="rId2069" display="2020_06/01.06.2020/59561"/>
    <hyperlink ref="D2083" r:id="rId2070" display="2020_06/01.06.2020/57008"/>
    <hyperlink ref="D2082" r:id="rId2071" display="2020_06/01.06.2020/54406"/>
    <hyperlink ref="D2071" r:id="rId2072" display="2020_06/01.06.2020/59665"/>
    <hyperlink ref="D2070" r:id="rId2073" display="2020_06\01.06.2020\59655"/>
    <hyperlink ref="D2069" r:id="rId2074" display="2020_06/01.06.2020/59650"/>
    <hyperlink ref="D2068" r:id="rId2075" display="2020_06/01.06.2020/59645"/>
    <hyperlink ref="D2067" r:id="rId2076" display="2020_06/01.06.2020/59596"/>
    <hyperlink ref="D2047" r:id="rId2077" display="2020_05/12.05.2020/49762"/>
    <hyperlink ref="D1755" r:id="rId2078" display="2020_05/20.05.2020/31967"/>
    <hyperlink ref="D2105" r:id="rId2079" display="2020_06\01.06.2020\62319"/>
    <hyperlink ref="D2106" r:id="rId2080" display="2020_06\01.06.2020\62325"/>
    <hyperlink ref="D2104" r:id="rId2081" display="2020_06/01.06.2020/62316"/>
    <hyperlink ref="D1822" r:id="rId2082" display="2020_05\19.05.2020\41968"/>
    <hyperlink ref="D2084" r:id="rId2083" display="2020_06/01.06.2020/57148"/>
    <hyperlink ref="D2117" r:id="rId2084" display="2020_06/01.06.2020/58078"/>
    <hyperlink ref="D2118" r:id="rId2085" display="2020_06/01.06.2020/58066"/>
    <hyperlink ref="D2081" r:id="rId2086" display="2020_06/01.06.2020/54288"/>
    <hyperlink ref="D2051" r:id="rId2087" display="2020_06/04.06.2020/42918"/>
    <hyperlink ref="D2050" r:id="rId2088" display="2020_06/04.06.2020/42226"/>
    <hyperlink ref="D2119" r:id="rId2089" display="2020_06/01.06.2020/60451"/>
    <hyperlink ref="D2120" r:id="rId2090" display="2020_06/01.06.2020/58117"/>
    <hyperlink ref="D2121" r:id="rId2091" display="2020_06/01.06.2020/60449"/>
    <hyperlink ref="D2098" r:id="rId2092" display="2020_06/01.06.2020/61583"/>
    <hyperlink ref="D2122" r:id="rId2093" display="2020_06/05.06.2020/43678"/>
    <hyperlink ref="D2085" r:id="rId2094" display="2020_06/01.06.2020/60838"/>
    <hyperlink ref="D2092" r:id="rId2095" display="2020_06/01.06.2020/61558"/>
    <hyperlink ref="D2052" r:id="rId2096" display="2020_06/05.06.2020/43135"/>
    <hyperlink ref="D2053" r:id="rId2097" display="2020_06/05.06.2020/43516"/>
    <hyperlink ref="D2112" r:id="rId2098" display="2020_06/01.06.2020/63258"/>
    <hyperlink ref="D2100" r:id="rId2099" display="2020_06/01.06.2020/61592"/>
    <hyperlink ref="D2097" r:id="rId2100" display="2020_06/01.06.2020/61581"/>
    <hyperlink ref="D2089" r:id="rId2101" display="2020_06/01.06.2020/60885"/>
    <hyperlink ref="D2088" r:id="rId2102" display="2020_06/01.06.2020/60876"/>
    <hyperlink ref="D2123" r:id="rId2103" display="2020_06/01.06.2020/60452"/>
    <hyperlink ref="D1995" r:id="rId2104" display="2020_05/28.05.2020/47198"/>
    <hyperlink ref="D2055" r:id="rId2105" display="2020_06/08.06.2020/44691"/>
    <hyperlink ref="D2054" r:id="rId2106" display="2020_06/08.06.2020/44626"/>
    <hyperlink ref="D2072" r:id="rId2107" display="2020_06/01.06.2020/51000"/>
    <hyperlink ref="D2074" r:id="rId2108" display="2020_06/01.06.2020/51128"/>
    <hyperlink ref="D2124" r:id="rId2109" display="2020_06/01.06.2020/60494"/>
    <hyperlink ref="D2094" r:id="rId2110" display="2020_06/16.06.2020/61570"/>
    <hyperlink ref="D2095" r:id="rId2111" display="2020_06\01.06.2020\61571"/>
    <hyperlink ref="D2073" r:id="rId2112" display="2020_06/01.06.2020/51103"/>
    <hyperlink ref="D1809" r:id="rId2113" display="2020_05/20.05.2020/41494"/>
    <hyperlink ref="D1764" r:id="rId2114" display="2020_05\29.05.2020\38146"/>
    <hyperlink ref="D2090" r:id="rId2115" display="2020_06/01.06.2020/60887"/>
    <hyperlink ref="D2125" r:id="rId2116" display="2020_06/01.06.2020/60485"/>
    <hyperlink ref="D2126" r:id="rId2117" display="2020_06/16.06.2020/50273"/>
    <hyperlink ref="D2087" r:id="rId2118" display="2020_06/01.06.2020/60872"/>
    <hyperlink ref="D2086" r:id="rId2119" display="2020_06/01.06.2020/60869"/>
    <hyperlink ref="D2079" r:id="rId2120" display="2020_06/01.06.2020/52326"/>
    <hyperlink ref="D2078" r:id="rId2121" display="2020_06/01.06.2020/51946"/>
    <hyperlink ref="D2076" r:id="rId2122" display="2020_06/01.06.2020/51313"/>
    <hyperlink ref="D2115" r:id="rId2123" display="2020_06/01.06.2020/63279"/>
    <hyperlink ref="D2103" r:id="rId2124" display="2020_06\01.06.2020\62315"/>
    <hyperlink ref="D2107" r:id="rId2125" display="2020_06/01.06.2020/62326"/>
    <hyperlink ref="D2127" r:id="rId2126" display="2020_05/27.05.2020/45846"/>
    <hyperlink ref="D2128" r:id="rId2127" display="2020_05\27.05.2020\47027"/>
    <hyperlink ref="D2101" r:id="rId2128" display="2020_06/01.06.2020/61593"/>
    <hyperlink ref="D2099" r:id="rId2129" display="2020_06/01.06.2020/61584"/>
    <hyperlink ref="D2096" r:id="rId2130" display="2020_06/01.06.2020/61574"/>
    <hyperlink ref="D2187" r:id="rId2131" display="2020_06/01.06.2020/64117"/>
    <hyperlink ref="D2130" r:id="rId2132" display="2020_06/01.06.2020/61016"/>
    <hyperlink ref="D2080" r:id="rId2133" display="2020_06/01.06.2020/52553"/>
    <hyperlink ref="D2113" r:id="rId2134" display="2020_06/01.06.2020/63264"/>
    <hyperlink ref="D2188" r:id="rId2135" display="2020_06/01.06.2020/63071"/>
    <hyperlink ref="D2131" r:id="rId2136" display="2020_06/02.06.2020/40373"/>
    <hyperlink ref="D2132" r:id="rId2137" display="2020_06/02.06.2020/40854"/>
    <hyperlink ref="D2134" r:id="rId2138" display="2020_06/02.06.2020/41284"/>
    <hyperlink ref="D2166" r:id="rId2139" display="2020_06/10.06.2020/45803"/>
    <hyperlink ref="D2176" r:id="rId2140" display="2020_06/10.06.2020/47413"/>
    <hyperlink ref="D2160" r:id="rId2141" display="2020_06/09.06.2020/45088"/>
    <hyperlink ref="D2168" r:id="rId2142" display="2020_06/09.06.2020/46385"/>
    <hyperlink ref="D2164" r:id="rId2143" display="2020_06/09.06.2020/45518"/>
    <hyperlink ref="D2145" r:id="rId2144" display="2020_06/05.06.2020/43132"/>
    <hyperlink ref="D2153" r:id="rId2145" display="2020_06/08.06.2020/44137"/>
    <hyperlink ref="D2102" r:id="rId2146" display="2020_06/01.06.2020/62314"/>
    <hyperlink ref="D2156" r:id="rId2147" display="2020_06\08.06.2020\44403"/>
    <hyperlink ref="D2155" r:id="rId2148" display="2020_06\08.06.2020\44269"/>
    <hyperlink ref="D2093" r:id="rId2149" display="2020_06/01.06.2020/61567"/>
    <hyperlink ref="D2137" r:id="rId2150" display="2020_06/04.06.2020/42241"/>
    <hyperlink ref="D2116" r:id="rId2151" display="2020_06/01.06.2020/63290"/>
    <hyperlink ref="D2189" r:id="rId2152" display="2020_06/01.06.2020/63223"/>
    <hyperlink ref="D2139" r:id="rId2153" display="2020_06/04.06.2020/42737"/>
    <hyperlink ref="D2190" r:id="rId2154" display="2020_06\01.06.2020\63959"/>
    <hyperlink ref="D2111" r:id="rId2155" display="2020_06/01.06.2020/63248"/>
    <hyperlink ref="D2186" r:id="rId2156" display="2020_06/15.06.2020/49561"/>
    <hyperlink ref="D2075" r:id="rId2157" display="2020_06/16.06.2020/51244"/>
    <hyperlink ref="D2136" r:id="rId2158" display="2020_06/03.06.2020/41414"/>
    <hyperlink ref="D2135" r:id="rId2159" display="2020_06/03.06.2020/41360"/>
    <hyperlink ref="D2133" r:id="rId2160" display="2020_06/03.06.2020/41114"/>
    <hyperlink ref="D2141" r:id="rId2161" display="2020_06/04.06.2020/42833"/>
    <hyperlink ref="D2138" r:id="rId2162" display="2020_06/04.06.2020/42634"/>
    <hyperlink ref="D2143" r:id="rId2163" display="2020_06/03.06.2020/42945"/>
    <hyperlink ref="D2091" r:id="rId2164" display="2020_06/01.06.2020/60897"/>
    <hyperlink ref="D2191" r:id="rId2165" display="2020_06\01.06.2020\64546"/>
    <hyperlink ref="D2192" r:id="rId2166" display="2020_06/01.06.2020/65041"/>
    <hyperlink ref="D2182" r:id="rId2167" display="2020_06/11.06.2020/48708"/>
    <hyperlink ref="D2193" r:id="rId2168" display="2020_06/01.06.2020/63387"/>
    <hyperlink ref="D2194" r:id="rId2169" display="2020_06/01.06.2020/63647"/>
    <hyperlink ref="D2180" r:id="rId2170" display="2020_06\11.06.2020\48054"/>
    <hyperlink ref="D2109" r:id="rId2171" display="2020_06/01.06.2020/62329"/>
    <hyperlink ref="D2144" r:id="rId2172" display="2020_06/04.06.2020/42991"/>
    <hyperlink ref="D2149" r:id="rId2173" display="2020_06/05.06.2020/43530"/>
    <hyperlink ref="D2157" r:id="rId2174" display="2020_06/08.06.2020/44519"/>
    <hyperlink ref="D2154" r:id="rId2175" display="2020_06/08.06.2020/44217"/>
    <hyperlink ref="D2152" r:id="rId2176" display="2020_06/08.06.2020/44071"/>
    <hyperlink ref="D2150" r:id="rId2177" display="2020_06/05.06.2020/43611"/>
    <hyperlink ref="D2185" r:id="rId2178" display="2020_06\15.06.2020\48985"/>
    <hyperlink ref="D2184" r:id="rId2179" display="2020_06/15.06.2020/48837"/>
    <hyperlink ref="D2177" r:id="rId2180" display="2020_06/10.06.2020/47478"/>
    <hyperlink ref="D2175" r:id="rId2181" display="2020_06/10.06.2020/47093"/>
    <hyperlink ref="D2163" r:id="rId2182" display="2020_06/09.06.2020/45478"/>
    <hyperlink ref="D2162" r:id="rId2183" display="2020_06/09.06.2020/45461"/>
    <hyperlink ref="D1941" r:id="rId2184" display="2020_05/25.05.2020/44788"/>
    <hyperlink ref="D2161" r:id="rId2185" display="2020_06/08.06.2020/45105"/>
    <hyperlink ref="D2147" r:id="rId2186" display="2020_06/05.06.2020/43359"/>
    <hyperlink ref="D2159" r:id="rId2187" display="2020_06/08.06.2020/44959"/>
    <hyperlink ref="D2151" r:id="rId2188" display="2020_06/05.06.2020/43650"/>
    <hyperlink ref="D2140" r:id="rId2189" display="2020_06/04.06.2020/42748"/>
    <hyperlink ref="D2174" r:id="rId2190" display="2020_06/09.06.2020/46767"/>
    <hyperlink ref="D2172" r:id="rId2191" display="2020_06/09.06.2020/46672"/>
    <hyperlink ref="D2165" r:id="rId2192" display="2020_06/09.06.2020/45598"/>
    <hyperlink ref="D2158" r:id="rId2193" display="2020_06/08.06.2020/44723"/>
    <hyperlink ref="D2148" r:id="rId2194" display="2020_06/05.06.2020/43508"/>
    <hyperlink ref="D2146" r:id="rId2195" display="2020_06\05.06.2020\43197"/>
    <hyperlink ref="D2142" r:id="rId2196" display="2020_06/04.06.2020/42939"/>
    <hyperlink ref="D2129" r:id="rId2197" display="2020_05/28.05.2020/47045"/>
    <hyperlink ref="D2058" r:id="rId2198" display="2020_06/16.06.2020/49289"/>
    <hyperlink ref="D2059" r:id="rId2199" display="2020_06/16.06.2020/49381"/>
    <hyperlink ref="D2057" r:id="rId2200" display="2020_06/16.06.2020/48966"/>
    <hyperlink ref="D2056" r:id="rId2201" display="2020_06/16.06.2020/48882"/>
    <hyperlink ref="D2061" r:id="rId2202" display="2020_06/16.06.2020/49432"/>
    <hyperlink ref="D2060" r:id="rId2203" display="2020_06/16.06.2020/49400"/>
    <hyperlink ref="D2062" r:id="rId2204" display="2020_06/16.06.2020/52546"/>
    <hyperlink ref="D2063" r:id="rId2205" display="2020_06/16.06.2020/52643"/>
    <hyperlink ref="D2170" r:id="rId2206" display="2020_06/09.06.2020/46486"/>
    <hyperlink ref="D2171" r:id="rId2207" display="2020_06/10.06.2020/46632"/>
    <hyperlink ref="D2173" r:id="rId2208" display="2020_06\10.06.2020\46679"/>
    <hyperlink ref="D2178" r:id="rId2209" display="2020_06/11.06.2020/47630"/>
    <hyperlink ref="D2181" r:id="rId2210" display="2020_06/11.06.2020/48255"/>
    <hyperlink ref="D2183" r:id="rId2211" display="2020_06/15.06.2020/48732"/>
    <hyperlink ref="D2169" r:id="rId2212" display="2020_06/10.06.2020/46468"/>
    <hyperlink ref="D2167" r:id="rId2213" display="2020_06/10.06.2020/46023"/>
    <hyperlink ref="D2179" r:id="rId2214" display="2020_06/11.06.2020/47788"/>
    <hyperlink ref="D2197" r:id="rId2215" display="2020_06/08.06.2020/44704"/>
    <hyperlink ref="D2199" r:id="rId2216" display="2020_06/09.06.2020/46237"/>
    <hyperlink ref="D2256" r:id="rId2217" display="2020_06/02.06.2020/66357"/>
    <hyperlink ref="D2243" r:id="rId2218" display="2020_06/01.06.2020/64402"/>
    <hyperlink ref="D2241" r:id="rId2219" display="2020_06/01.06.2020/63665"/>
    <hyperlink ref="D2206" r:id="rId2220" display="2020_06/11.06.2020/48368"/>
    <hyperlink ref="D2260" r:id="rId2221" display="2020_06/02.06.2020/66822"/>
    <hyperlink ref="D2207" r:id="rId2222" display="2020_06/11.06.2020/48433"/>
    <hyperlink ref="D2200" r:id="rId2223" display="2020_06\10.06.2020\46348"/>
    <hyperlink ref="D2198" r:id="rId2224" display="2020_06/10.06.2020/45911"/>
    <hyperlink ref="D2210" r:id="rId2225" display="2020_06/16.06.2020/50414"/>
    <hyperlink ref="D2208" r:id="rId2226" display="2020_06/15.06.2020/48618"/>
    <hyperlink ref="D2209" r:id="rId2227" display="2020_06/15.06.2020/49257"/>
    <hyperlink ref="D2204" r:id="rId2228" display="2020_06/11.06.2020/48079"/>
    <hyperlink ref="D2203" r:id="rId2229" display="2020_06/11.06.2020/47999"/>
    <hyperlink ref="D2201" r:id="rId2230" display="2020_06/11.06.2020/47097"/>
    <hyperlink ref="D2196" r:id="rId2231" display="2020_06/05.06.2020/43915"/>
    <hyperlink ref="D2247" r:id="rId2232" display="2020_06\01.06.2020\64985"/>
    <hyperlink ref="D2244" r:id="rId2233" display="2020_06\01.06.2020\64513"/>
    <hyperlink ref="D2254" r:id="rId2234" display="2020_06\03.06.2020\66295"/>
    <hyperlink ref="D2255" r:id="rId2235" display="2020_06/02.06.2020/66343"/>
    <hyperlink ref="D2238" r:id="rId2236" display="2020_06/01.06.2020/63092"/>
    <hyperlink ref="D2245" r:id="rId2237" display="2020_06\01.06.2020\64624"/>
    <hyperlink ref="D2259" r:id="rId2238" display="2020_06\03.06.2020\66688"/>
    <hyperlink ref="D2248" r:id="rId2239" display="2020_06/01.06.2020/65125"/>
    <hyperlink ref="D2246" r:id="rId2240" display="2020_06/01.06.2020/64655"/>
    <hyperlink ref="D2237" r:id="rId2241" display="2020_06/01.06.2020/63081"/>
    <hyperlink ref="D2262" r:id="rId2242" display="2020_06/03.06.2020/66985"/>
    <hyperlink ref="D2249" r:id="rId2243" display="2020_06/01.06.2020/65263"/>
    <hyperlink ref="D2242" r:id="rId2244" display="2020_06/01.06.2020/64135"/>
    <hyperlink ref="D2251" r:id="rId2245" display="2020_06/02.06.2020/65747"/>
    <hyperlink ref="D2253" r:id="rId2246" display="2020_06/02.06.2020/65916"/>
    <hyperlink ref="D2195" r:id="rId2247" display="2020_06\02.06.2020\35483"/>
    <hyperlink ref="D2257" r:id="rId2248" display="2020_06/02.06.2020/66437"/>
    <hyperlink ref="D2261" r:id="rId2249" display="2020_06/03.06.2020/66891"/>
    <hyperlink ref="D2258" r:id="rId2250" display="2020_06/03.06.2020/66477"/>
    <hyperlink ref="D2240" r:id="rId2251" display="2020_06/01.06.2020/63638"/>
    <hyperlink ref="D2252" r:id="rId2252" display="2020_06/02.06.2020/65780"/>
    <hyperlink ref="D2239" r:id="rId2253" display="2020_06/01.06.2020/63537"/>
    <hyperlink ref="D2233" r:id="rId2254" display="2020_06/16.06.2020/60878"/>
    <hyperlink ref="D2218" r:id="rId2255" display="2020_06/16.06.2020/51911"/>
    <hyperlink ref="D2217" r:id="rId2256" display="2020_06/16.06.2020/51559"/>
    <hyperlink ref="D2216" r:id="rId2257" display="2020_06/16.06.2020/51286"/>
    <hyperlink ref="D2215" r:id="rId2258" display="2020_06/16.06.2020/51011"/>
    <hyperlink ref="D2205" r:id="rId2259" display="2020_06\15.06.2020\48257"/>
    <hyperlink ref="D2219" r:id="rId2260" display="2020_06\16.06.2020\51945"/>
    <hyperlink ref="D2250" r:id="rId2261" display="2020_06/01.06.2020/65343"/>
    <hyperlink ref="D2110" r:id="rId2262" display="2020_06/01.06.2020/62336"/>
    <hyperlink ref="D2236" r:id="rId2263" display="2020_06\01.06.2020\62323"/>
    <hyperlink ref="D2225" r:id="rId2264" display="2020_06/16.06.2020/54449"/>
    <hyperlink ref="D2227" r:id="rId2265" display="2020_06/16.06.2020/56968"/>
    <hyperlink ref="D2234" r:id="rId2266" display="2020_06/16.06.2020/61569"/>
    <hyperlink ref="D2221" r:id="rId2267" display="2020_06/16.06.2020/52371"/>
    <hyperlink ref="D2214" r:id="rId2268" display="2020_06/16.06.2020/50808"/>
    <hyperlink ref="D2213" r:id="rId2269" display="2020_06/16.06.2020/50682"/>
    <hyperlink ref="D2212" r:id="rId2270" display="2020_06/16.06.2020/50675"/>
    <hyperlink ref="D2211" r:id="rId2271" display="2020_06/16.06.2020/50466"/>
    <hyperlink ref="D2235" r:id="rId2272" display="2020_06/16.06.2020/61579"/>
    <hyperlink ref="D2232" r:id="rId2273" display="2020_06/16.06.2020/59638"/>
    <hyperlink ref="D2228" r:id="rId2274" display="2020_06\16.06.2020\58170"/>
    <hyperlink ref="D2229" r:id="rId2275" display="2020_06/16.06.2020/58192"/>
    <hyperlink ref="D2230" r:id="rId2276" display="2020_06/16.06.2020/59599"/>
    <hyperlink ref="D2226" r:id="rId2277" display="2020_06/16.06.2020/54844"/>
    <hyperlink ref="D2223" r:id="rId2278" display="2020_06/16.06.2020/52514"/>
    <hyperlink ref="D2231" r:id="rId2279" display="2020_06/16.06.2020/59637"/>
    <hyperlink ref="D2222" r:id="rId2280" display="2020_06/16.06.2020/52431"/>
    <hyperlink ref="D2224" r:id="rId2281" display="2020_06/16.06.2020/52630"/>
    <hyperlink ref="D2220" r:id="rId2282" display="2020_06/16.06.2020/52066"/>
    <hyperlink ref="D2280" r:id="rId2283" display="2020_06/16.06.2020/51374"/>
    <hyperlink ref="D2279" r:id="rId2284" display="2020_06/16.06.2020/51354"/>
    <hyperlink ref="D2278" r:id="rId2285" display="2020_06/16.06.2020/51342"/>
    <hyperlink ref="D2277" r:id="rId2286" display="2020_06/16.06.2020/51066"/>
    <hyperlink ref="D2276" r:id="rId2287" display="2020_06/16.06.2020/50930"/>
    <hyperlink ref="D2351" r:id="rId2288" display="2020_06/04.06.2020/67330"/>
    <hyperlink ref="D2275" r:id="rId2289" display="2020_06/16.06.2020/50780"/>
    <hyperlink ref="D2274" r:id="rId2290" display="2020_06/16.06.2020/50760"/>
    <hyperlink ref="D2273" r:id="rId2291" display="2020_06/16.06.2020/50751"/>
    <hyperlink ref="D2271" r:id="rId2292" display="2020_06/16.06.2020/50640"/>
    <hyperlink ref="D2300" r:id="rId2293" display="2020_06/16.06.2020/54636"/>
    <hyperlink ref="D2297" r:id="rId2294" display="2020_06/16.06.2020/54143"/>
    <hyperlink ref="D2268" r:id="rId2295" display="2020_06/15.06.2020/48885"/>
    <hyperlink ref="D2360" r:id="rId2296" display="2020_06/08.06.2020/68665"/>
    <hyperlink ref="D2361" r:id="rId2297" display="2020_06/05.06.2020/68697"/>
    <hyperlink ref="D2263" r:id="rId2298" display="2020_06/09.06.2020/36681"/>
    <hyperlink ref="D2315" r:id="rId2299" display="2020_06/16.06.2020/57041"/>
    <hyperlink ref="D2364" r:id="rId2300" display="2020_06/08.06.2020/69274"/>
    <hyperlink ref="D2337" r:id="rId2301" display="2020_06/16.06.2020/61559"/>
    <hyperlink ref="D2341" r:id="rId2302" display="2020_06/16.06.2020/61587"/>
    <hyperlink ref="D2339" r:id="rId2303" display="2020_06/16.06.2020/61565"/>
    <hyperlink ref="D2316" r:id="rId2304" display="2020_06/16.06.2020/57133"/>
    <hyperlink ref="D2340" r:id="rId2305" display="2020_06/16.06.2020/61575"/>
    <hyperlink ref="D2272" r:id="rId2306" display="2020_06/16.06.2020/50647"/>
    <hyperlink ref="D2298" r:id="rId2307" display="2020_06/16.06.2020/54172"/>
    <hyperlink ref="D2344" r:id="rId2308" display="2020_06/02.06.2020/66330"/>
    <hyperlink ref="D2343" r:id="rId2309" display="2020_06/01.06.2020/64121"/>
    <hyperlink ref="D2108" r:id="rId2310" display="2020_06/01.06.2020/62327"/>
    <hyperlink ref="D2355" r:id="rId2311" display="2020_06/04.06.2020/67623"/>
    <hyperlink ref="D2296" r:id="rId2312" display="2020_06/16.06.2020/54008"/>
    <hyperlink ref="D2350" r:id="rId2313" display="2020_06/03.06.2020/67306"/>
    <hyperlink ref="D2299" r:id="rId2314" display="2020_06/16.06.2020/54396"/>
    <hyperlink ref="D2331" r:id="rId2315" display="2020_06/01.06.2020/60880"/>
    <hyperlink ref="D2295" r:id="rId2316" display="2020_06/16.06.2020/54005"/>
    <hyperlink ref="D2293" r:id="rId2317" display="2020_06/16.06.2020/53596"/>
    <hyperlink ref="D2292" r:id="rId2318" display="2020_06/16.06.2020/53573"/>
    <hyperlink ref="D2291" r:id="rId2319" display="2020_06/16.06.2020/53377"/>
    <hyperlink ref="D2288" r:id="rId2320" display="2020_06/16.06.2020/52667"/>
    <hyperlink ref="D2306" r:id="rId2321" display="2020_06/16.06.2020/56556"/>
    <hyperlink ref="D2267" r:id="rId2322" display="2020_06\15.06.2020\48201"/>
    <hyperlink ref="D2270" r:id="rId2323" display="2020_06/15.06.2020/49065"/>
    <hyperlink ref="D2319" r:id="rId2324" display="2020_06/16.06.2020/59641"/>
    <hyperlink ref="D2321" r:id="rId2325" display="2020_06/16.06.2020/59649"/>
    <hyperlink ref="D2317" r:id="rId2326" display="2020_06/16.06.2020/58263"/>
    <hyperlink ref="D2318" r:id="rId2327" display="2020_06/16.06.2020/59600"/>
    <hyperlink ref="D2302" r:id="rId2328" display="2020_06/16.06.2020/54874"/>
    <hyperlink ref="D2345" r:id="rId2329" display="2020_06/02.06.2020/66713"/>
    <hyperlink ref="D2338" r:id="rId2330" display="2020_06/16.06.2020/61560"/>
    <hyperlink ref="D2285" r:id="rId2331" display="2020_06/16.06.2020/51761"/>
    <hyperlink ref="D2357" r:id="rId2332" display="2020_06/05.06.2020/67804"/>
    <hyperlink ref="D2346" r:id="rId2333" display="2020_06/02.06.2020/66747"/>
    <hyperlink ref="D2347" r:id="rId2334" display="2020_06\03.06.2020\66752"/>
    <hyperlink ref="D2352" r:id="rId2335" display="2020_06/04.06.2020/67380"/>
    <hyperlink ref="D2266" r:id="rId2336" display="2020_06/04.06.2020/42667"/>
    <hyperlink ref="D2312" r:id="rId2337" display="2020_06/16.06.2020/56709"/>
    <hyperlink ref="D2322" r:id="rId2338" display="2020_06/16.06.2020/59651"/>
    <hyperlink ref="D2309" r:id="rId2339" display="2020_06/16.06.2020/56661"/>
    <hyperlink ref="D2323" r:id="rId2340" display="2020_06/16.06.2020/59653"/>
    <hyperlink ref="D2329" r:id="rId2341" display="2020_06\16.06.2020\60870"/>
    <hyperlink ref="D2326" r:id="rId2342" display="2020_06/16.06.2020/59661"/>
    <hyperlink ref="D2328" r:id="rId2343" display="2020_06/16.06.2020/60719"/>
    <hyperlink ref="D2283" r:id="rId2344" display="2020_06/16.06.2020/51607"/>
    <hyperlink ref="D2282" r:id="rId2345" display="2020_06/16.06.2020/51548"/>
    <hyperlink ref="D2320" r:id="rId2346" display="2020_06/16.06.2020/59646"/>
    <hyperlink ref="D2281" r:id="rId2347" display="2020_06/16.06.2020/51502"/>
    <hyperlink ref="D2374" r:id="rId2348" display="2020_06/10.06.2020/71207"/>
    <hyperlink ref="D2370" r:id="rId2349" display="2020_06/10.06.2020/70450"/>
    <hyperlink ref="D2348" r:id="rId2350" display="2020_06/04.06.2020/67226"/>
    <hyperlink ref="D2287" r:id="rId2351" display="2020_06/16.06.2020/52029"/>
    <hyperlink ref="D2286" r:id="rId2352" display="2020_06/16.06.2020/51857"/>
    <hyperlink ref="D2284" r:id="rId2353" display="2020_06/16.06.2020/51610"/>
    <hyperlink ref="D2330" r:id="rId2354" display="2020_06/16.06.2020/60873"/>
    <hyperlink ref="D2334" r:id="rId2355" display="2020_06/16.06.2020/60889"/>
    <hyperlink ref="D2325" r:id="rId2356" display="2020_06/16.06.2020/59660"/>
    <hyperlink ref="D2327" r:id="rId2357" display="2020_06/16.06.2020/59663"/>
    <hyperlink ref="D2333" r:id="rId2358" display="2020_06/16.06.2020/60883"/>
    <hyperlink ref="D2332" r:id="rId2359" display="2020_06/16.06.2020/60881"/>
    <hyperlink ref="D2289" r:id="rId2360" display="2020_06/16.06.2020/52845"/>
    <hyperlink ref="D2356" r:id="rId2361" display="2020_06/04.06.2020/67731"/>
    <hyperlink ref="D2377" r:id="rId2362" display="2020_06/16.06.2020/61347"/>
    <hyperlink ref="D2311" r:id="rId2363" display="2020_06\16.06.2020\56667"/>
    <hyperlink ref="D2336" r:id="rId2364" display="2020_06/16.06.2020/60898"/>
    <hyperlink ref="D2335" r:id="rId2365" display="2020_06/16.06.2020/60890"/>
    <hyperlink ref="D2264" r:id="rId2366" display="2020_06/02.06.2020/40741"/>
    <hyperlink ref="D2376" r:id="rId2367" display="2020_06/11.06.2020/72062"/>
    <hyperlink ref="D2372" r:id="rId2368" display="2020_06/10.06.2020/70635"/>
    <hyperlink ref="D2373" r:id="rId2369" display="2020_06/10.06.2020/70757"/>
    <hyperlink ref="D2371" r:id="rId2370" display="2020_06/09.06.2020/70502"/>
    <hyperlink ref="D2369" r:id="rId2371" display="2020_06/10.06.2020/70287"/>
    <hyperlink ref="D2064" r:id="rId2372" display="2020_06\01.06.2020\56206"/>
    <hyperlink ref="D2265" r:id="rId2373" display="2020_06/04.06.2020/42475"/>
    <hyperlink ref="D2353" r:id="rId2374" display="2020_06/04.06.2020/67448"/>
    <hyperlink ref="D2269" r:id="rId2375" display="2020_06/16.06.2020/48933"/>
    <hyperlink ref="D2378" r:id="rId2376" display="2020_06/16.06.2020/55939"/>
    <hyperlink ref="D2362" r:id="rId2377" display="2020_06/08.06.2020/68699"/>
    <hyperlink ref="D2324" r:id="rId2378" display="2020_06/16.06.2020/59659"/>
    <hyperlink ref="D2365" r:id="rId2379" display="2020_06\09.06.2020\69441"/>
    <hyperlink ref="D2363" r:id="rId2380" display="2020_06\05.06.2020\68777"/>
    <hyperlink ref="D2368" r:id="rId2381" display="2020_06/09.06.2020/70036"/>
    <hyperlink ref="D2313" r:id="rId2382" display="2020_06/16.06.2020/56754"/>
    <hyperlink ref="D2310" r:id="rId2383" display="2020_06/16.06.2020/56662"/>
    <hyperlink ref="D2314" r:id="rId2384" display="2020_06/16.06.2020/56897"/>
    <hyperlink ref="D2308" r:id="rId2385" display="2020_06/16.06.2020/56627"/>
    <hyperlink ref="D2307" r:id="rId2386" display="2020_06/16.06.2020/56574"/>
    <hyperlink ref="D2305" r:id="rId2387" display="2020_06/16.06.2020/56549"/>
    <hyperlink ref="D2304" r:id="rId2388" display="2020_06/16.06.2020/54955"/>
    <hyperlink ref="D2303" r:id="rId2389" display="2020_06/16.06.2020/54952"/>
    <hyperlink ref="D2301" r:id="rId2390" display="2020_06/16.06.2020/54770"/>
    <hyperlink ref="D2290" r:id="rId2391" display="2020_06/16.06.2020/53048"/>
    <hyperlink ref="D2358" r:id="rId2392" display="2020_06/08.06.2020/68401"/>
    <hyperlink ref="D2359" r:id="rId2393" display="2020_06/08.06.2020/68461"/>
    <hyperlink ref="D2375" r:id="rId2394" display="2020_06/10.06.2020/71325"/>
    <hyperlink ref="D2390" r:id="rId2395" display="2020_06/16.06.2020/52281"/>
    <hyperlink ref="D2401" r:id="rId2396" display="2020_06/16.06.2020/54679"/>
    <hyperlink ref="D2410" r:id="rId2397" display="2020_06/16.06.2020/56566"/>
    <hyperlink ref="D2404" r:id="rId2398" display="2020_06/16.06.2020/54809"/>
    <hyperlink ref="D2408" r:id="rId2399" display="2020_06/16.06.2020/55190"/>
    <hyperlink ref="D2411" r:id="rId2400" display="2020_06/16.06.2020/56585"/>
    <hyperlink ref="D2412" r:id="rId2401" display="2020_06\16.06.2020\56763"/>
    <hyperlink ref="D2416" r:id="rId2402" display="2020_06/16.06.2020/57094"/>
    <hyperlink ref="D2429" r:id="rId2403" display="2020_06/16.06.2020/62334"/>
    <hyperlink ref="D2394" r:id="rId2404" display="2020_06/16.06.2020/53244"/>
    <hyperlink ref="D2397" r:id="rId2405" display="2020_06/16.06.2020/53938"/>
    <hyperlink ref="D2367" r:id="rId2406" display="2020_06/08.06.2020/69868"/>
    <hyperlink ref="D2398" r:id="rId2407" display="2020_06/16.06.2020/54058"/>
    <hyperlink ref="D2403" r:id="rId2408" display="2020_06/16.06.2020/54766"/>
    <hyperlink ref="D2354" r:id="rId2409" display="2020_06\04.06.2020\67611"/>
    <hyperlink ref="D2485" r:id="rId2410" display="2020_06/08.06.2020/68965"/>
    <hyperlink ref="D2486" r:id="rId2411" display="2020_06/08.06.2020/69043"/>
    <hyperlink ref="D2487" r:id="rId2412" display="2020_06/08.06.2020/69183"/>
    <hyperlink ref="D2366" r:id="rId2413" display="2020_06/09.06.2020/69628"/>
    <hyperlink ref="D2489" r:id="rId2414" display="2020_06/09.06.2020/69860"/>
    <hyperlink ref="D2488" r:id="rId2415" display="2020_06/09.06.2020/69265"/>
    <hyperlink ref="D2492" r:id="rId2416" display="2020_06/11.06.2020/71909"/>
    <hyperlink ref="D2427" r:id="rId2417" display="2020_06/16.06.2020/62312"/>
    <hyperlink ref="D2406" r:id="rId2418" display="2020_06/16.06.2020/54981"/>
    <hyperlink ref="D2383" r:id="rId2419" display="2020_06/16.06.2020/51376"/>
    <hyperlink ref="D2496" r:id="rId2420" display="2020_06/15.06.2020/72249"/>
    <hyperlink ref="D2494" r:id="rId2421" display="2020_06/15.06.2020/72146"/>
    <hyperlink ref="D2409" r:id="rId2422" display="2020_06/16.06.2020/56552"/>
    <hyperlink ref="D2384" r:id="rId2423" display="2020_06/16.06.2020/51528"/>
    <hyperlink ref="D2425" r:id="rId2424" display="2020_06/16.06.2020/61576"/>
    <hyperlink ref="D2423" r:id="rId2425" display="2020_06/16.06.2020/61563"/>
    <hyperlink ref="D2426" r:id="rId2426" display="2020_06/16.06.2020/61590"/>
    <hyperlink ref="D2448" r:id="rId2427" display="2020_06/16.06.2020/64467"/>
    <hyperlink ref="D2414" r:id="rId2428" display="2020_06/16.06.2020/56899"/>
    <hyperlink ref="D2433" r:id="rId2429" display="2020_06/16.06.2020/63120"/>
    <hyperlink ref="D2417" r:id="rId2430" display="2020_06/16.06.2020/60666"/>
    <hyperlink ref="D2445" r:id="rId2431" display="2020_06/16.06.2020/64445"/>
    <hyperlink ref="D2387" r:id="rId2432" display="2020_06/16.06.2020/51776"/>
    <hyperlink ref="D2413" r:id="rId2433" display="2020_06/16.06.2020/56822"/>
    <hyperlink ref="D2450" r:id="rId2434" display="2020_06/16.06.2020/64574"/>
    <hyperlink ref="D2440" r:id="rId2435" display="2020_06/16.06.2020/64111"/>
    <hyperlink ref="D2508" r:id="rId2436" display="2020_06/18.06.2020/74018"/>
    <hyperlink ref="D2490" r:id="rId2437" display="2020_06/10.06.2020/70525"/>
    <hyperlink ref="D2493" r:id="rId2438" display="2020_06/15.06.2020/72042"/>
    <hyperlink ref="D2402" r:id="rId2439" display="2020_06\16.06.2020\54757"/>
    <hyperlink ref="D2451" r:id="rId2440" display="2020_06/16.06.2020/64630"/>
    <hyperlink ref="D2502" r:id="rId2441" display="2020_06/16.06.2020/73330"/>
    <hyperlink ref="D2503" r:id="rId2442" display="2020_06/16.06.2020/73372"/>
    <hyperlink ref="D2457" r:id="rId2443" display="2020_06/16.06.2020/65227"/>
    <hyperlink ref="D2442" r:id="rId2444" display="2020_06/16.06.2020/64165"/>
    <hyperlink ref="D2462" r:id="rId2445" display="2020_06/16.06.2020/65439"/>
    <hyperlink ref="D2458" r:id="rId2446" display="2020_06/16.06.2020/65280"/>
    <hyperlink ref="D2463" r:id="rId2447" display="2020_06/16.06.2020/65531"/>
    <hyperlink ref="D2464" r:id="rId2448" display="2020_06/16.06.2020/65624"/>
    <hyperlink ref="D2455" r:id="rId2449" display="2020_06/16.06.2020/64887"/>
    <hyperlink ref="D2459" r:id="rId2450" display="2020_06/16.06.2020/65281"/>
    <hyperlink ref="D2342" r:id="rId2451" display="2020_06/16.06.2020/62932"/>
    <hyperlink ref="D2434" r:id="rId2452" display="2020_06/16.06.2020/63339"/>
    <hyperlink ref="D2449" r:id="rId2453" display="2020_06/16.06.2020/64468"/>
    <hyperlink ref="D2499" r:id="rId2454" display="2020_06/16.06.2020/72922"/>
    <hyperlink ref="D2466" r:id="rId2455" display="2020_06/16.06.2020/65714"/>
    <hyperlink ref="D2497" r:id="rId2456" display="2020_06/16.06.2020/72524"/>
    <hyperlink ref="D2435" r:id="rId2457" display="2020_06/16.06.2020/63424"/>
    <hyperlink ref="D2436" r:id="rId2458" display="2020_06/16.06.2020/63652"/>
    <hyperlink ref="D2475" r:id="rId2459" display="2020_06/17.06.2020/66732"/>
    <hyperlink ref="D2473" r:id="rId2460" display="2020_06/17.06.2020/66595"/>
    <hyperlink ref="D2495" r:id="rId2461" display="2020_06/15.06.2020/72222"/>
    <hyperlink ref="D2399" r:id="rId2462" display="2020_06/16.06.2020/54141"/>
    <hyperlink ref="D2393" r:id="rId2463" display="2020_06/16.06.2020/52963"/>
    <hyperlink ref="D2395" r:id="rId2464" display="2020_06/16.06.2020/53274"/>
    <hyperlink ref="D2405" r:id="rId2465" display="2020_06/16.06.2020/54896"/>
    <hyperlink ref="D2391" r:id="rId2466" display="2020_06/16.06.2020/52642"/>
    <hyperlink ref="D2407" r:id="rId2467" display="2020_06/16.06.2020/55114"/>
    <hyperlink ref="D2418" r:id="rId2468" display="2020_06/16.06.2020/60871"/>
    <hyperlink ref="D2419" r:id="rId2469" display="2020_06/16.06.2020/60893"/>
    <hyperlink ref="D2421" r:id="rId2470" display="2020_06/16.06.2020/60896"/>
    <hyperlink ref="D2441" r:id="rId2471" display="2020_06/16.06.2020/64132"/>
    <hyperlink ref="D2443" r:id="rId2472" display="2020_06/16.06.2020/64252"/>
    <hyperlink ref="D2456" r:id="rId2473" display="2020_06/16.06.2020/64969"/>
    <hyperlink ref="D2467" r:id="rId2474" display="2020_06/16.06.2020/65725"/>
    <hyperlink ref="D2392" r:id="rId2475" display="2020_06/16.06.2020/52897"/>
    <hyperlink ref="D2382" r:id="rId2476" display="2020_06/16.06.2020/51305"/>
    <hyperlink ref="D2386" r:id="rId2477" display="2020_06/16.06.2020/51653"/>
    <hyperlink ref="D2388" r:id="rId2478" display="2020_06/16.06.2020/51869"/>
    <hyperlink ref="D2389" r:id="rId2479" display="2020_06/16.06.2020/52050"/>
    <hyperlink ref="D2385" r:id="rId2480" display="2020_06\16.06.2020\51573"/>
    <hyperlink ref="D2380" r:id="rId2481" display="2020_06/16.06.2020/51062"/>
    <hyperlink ref="D2381" r:id="rId2482" display="2020_06/16.06.2020/51192"/>
    <hyperlink ref="D2379" r:id="rId2483" display="2020_06/18.06.2020/45813"/>
    <hyperlink ref="D2476" r:id="rId2484" display="2020_06/18.06.2020/66828"/>
    <hyperlink ref="D2471" r:id="rId2485" display="2020_06/18.06.2020/66572"/>
    <hyperlink ref="D2438" r:id="rId2486" display="2020_06/16.06.2020/63891"/>
    <hyperlink ref="D2498" r:id="rId2487" display="2020_06/16.06.2020/72874"/>
    <hyperlink ref="D2491" r:id="rId2488" display="2020_06/10.06.2020/71117"/>
    <hyperlink ref="D2501" r:id="rId2489" display="2020_06\16.06.2020\73301"/>
    <hyperlink ref="D2500" r:id="rId2490" display="2020_06/16.06.2020/73042"/>
    <hyperlink ref="D2447" r:id="rId2491" display="2020_06/16.06.2020/64461"/>
    <hyperlink ref="D2460" r:id="rId2492" display="2020_06/16.06.2020/65337"/>
    <hyperlink ref="D2415" r:id="rId2493" display="2020_06/16.06.2020/56948"/>
    <hyperlink ref="D2468" r:id="rId2494" display="2020_06/17.06.2020/65970"/>
    <hyperlink ref="D2509" r:id="rId2495" display="2020_06/17.06.2020/74094"/>
    <hyperlink ref="D2517" r:id="rId2496" display="2020_06/17.06.2020/66188"/>
    <hyperlink ref="D2510" r:id="rId2497" display="2020_06/17.06.2020/74158"/>
    <hyperlink ref="D2516" r:id="rId2498" display="2020_06/16.06.2020/65563"/>
    <hyperlink ref="D2446" r:id="rId2499" display="2020_06/16.06.2020/64455"/>
    <hyperlink ref="D2461" r:id="rId2500" display="2020_06/16.06.2020/65428"/>
    <hyperlink ref="D2465" r:id="rId2501" display="2020_06/16.06.2020/65630"/>
    <hyperlink ref="D2439" r:id="rId2502" display="2020_06/16.06.2020/64052"/>
    <hyperlink ref="D2424" r:id="rId2503" display="2020_06/16.06.2020/61568"/>
    <hyperlink ref="D2469" r:id="rId2504" display="2020_06/17.06.2020/66365"/>
    <hyperlink ref="D2470" r:id="rId2505" display="2020_06/17.06.2020/66475"/>
    <hyperlink ref="D2472" r:id="rId2506" display="2020_06/18.06.2020/66581"/>
    <hyperlink ref="D2437" r:id="rId2507" display="2020_06/16.06.2020/63882"/>
    <hyperlink ref="D2444" r:id="rId2508" display="2020_06/16.06.2020/64321"/>
    <hyperlink ref="D2420" r:id="rId2509" display="2020_06/16.06.2020/60895"/>
    <hyperlink ref="D2422" r:id="rId2510" display="2020_06/16.06.2020/61349"/>
    <hyperlink ref="D2452" r:id="rId2511" display="2020_06/16.06.2020/64680"/>
    <hyperlink ref="D2432" r:id="rId2512" display="2020_06/16.06.2020/62635"/>
    <hyperlink ref="D2431" r:id="rId2513" display="2020_06/16.06.2020/62633"/>
    <hyperlink ref="D2454" r:id="rId2514" display="2020_06\16.06.2020\64821"/>
    <hyperlink ref="D2477" r:id="rId2515" display="2020_06/17.06.2020/66870"/>
    <hyperlink ref="D2504" r:id="rId2516" display="2020_06/17.06.2020/73464"/>
    <hyperlink ref="D2507" r:id="rId2517" display="2020_06/17.06.2020/73905"/>
    <hyperlink ref="D2479" r:id="rId2518" display="2020_06/18.06.2020/67103"/>
    <hyperlink ref="D2512" r:id="rId2519" display="2020_06/19.06.2020/74724"/>
    <hyperlink ref="D2482" r:id="rId2520" display="2020_06/19.06.2020/67728"/>
    <hyperlink ref="D2514" r:id="rId2521" display="2020_06/19.06.2020/75423"/>
    <hyperlink ref="D2515" r:id="rId2522" display="2020_06\16.06.2020\65328"/>
    <hyperlink ref="D2430" r:id="rId2523" display="2020_06/16.06.2020/62628"/>
    <hyperlink ref="D2505" r:id="rId2524" display="2020_06/18.06.2020/73868"/>
    <hyperlink ref="D2481" r:id="rId2525" display="2020_06/19.06.2020/67692"/>
    <hyperlink ref="D2478" r:id="rId2526" display="2020_06/18.06.2020/67063"/>
    <hyperlink ref="D2511" r:id="rId2527" display="2020_06/18.06.2020/74402"/>
    <hyperlink ref="D2513" r:id="rId2528" display="2020_06/19.06.2020/74811"/>
    <hyperlink ref="D2483" r:id="rId2529" display="2020_06/19.06.2020/67807"/>
    <hyperlink ref="D2484" r:id="rId2530" display="2020_06/19.06.2020/67823"/>
    <hyperlink ref="D2400" r:id="rId2531" display="2020_06\16.06.2020\54529"/>
    <hyperlink ref="D2396" r:id="rId2532" display="2020_06/16.06.2020/53898"/>
    <hyperlink ref="D2474" r:id="rId2533" display="2020_06/18.06.2020/66723"/>
    <hyperlink ref="D2480" r:id="rId2534" display="2020_06/18.06.2020/67139"/>
    <hyperlink ref="D2453" r:id="rId2535" display="2020_06/16.06.2020/64780"/>
    <hyperlink ref="D2428" r:id="rId2536" display="2020_06/16.06.2020/62324"/>
    <hyperlink ref="D2506" r:id="rId2537" display="2020_06/17.06.2020/73882"/>
    <hyperlink ref="D2526" r:id="rId2538" display="2020_06/16.06.2020/62335"/>
    <hyperlink ref="D2530" r:id="rId2539" display="2020_06/19.06.2020/67335"/>
    <hyperlink ref="D2349" r:id="rId2540" display="2020_06/19.06.2020/67277"/>
    <hyperlink ref="D2549" r:id="rId2541" display="2020_06/11.06.2020/71846"/>
    <hyperlink ref="D2550" r:id="rId2542" display="2020_06/16.06.2020/73750"/>
    <hyperlink ref="D2544" r:id="rId2543" display="2020_06/22.06.2020/68904"/>
    <hyperlink ref="D2554" r:id="rId2544" display="2020_06/22.06.2020/75506"/>
    <hyperlink ref="D2555" r:id="rId2545" display="2020_06/22.06.2020/75631"/>
    <hyperlink ref="D2545" r:id="rId2546" display="2020_06/23.06.2020/69016"/>
    <hyperlink ref="D2542" r:id="rId2547" display="2020_06/23.06.2020/68443"/>
    <hyperlink ref="D2533" r:id="rId2548" display="2020_06/19.06.2020/67740"/>
    <hyperlink ref="D2519" r:id="rId2549" display="2020_06/22.06.2020/48169"/>
    <hyperlink ref="D2525" r:id="rId2550" display="2020_06/16.06.2020/62333"/>
    <hyperlink ref="D2552" r:id="rId2551" display="2020_06/19.06.2020/75046"/>
    <hyperlink ref="D2535" r:id="rId2552" display="2020_06/22.06.2020/67938"/>
    <hyperlink ref="D2536" r:id="rId2553" display="2020_06/22.06.2020/67971"/>
    <hyperlink ref="D2556" r:id="rId2554" display="2020_06/22.06.2020/75715"/>
    <hyperlink ref="D2538" r:id="rId2555" display="2020_06/22.06.2020/67989"/>
    <hyperlink ref="D2541" r:id="rId2556" display="2020_06/22.06.2020/68257"/>
    <hyperlink ref="D2553" r:id="rId2557" display="2020_06/22.06.2020/75467"/>
    <hyperlink ref="D2540" r:id="rId2558" display="2020_06/22.06.2020/68226"/>
    <hyperlink ref="D2543" r:id="rId2559" display="2020_06/22.06.2020/68722"/>
    <hyperlink ref="D2562" r:id="rId2560" display="2020_06/23.06.2020/77731"/>
    <hyperlink ref="D2561" r:id="rId2561" display="2020_06/23.06.2020/77636"/>
    <hyperlink ref="D2546" r:id="rId2562" display="2020_06/23.06.2020/69042"/>
    <hyperlink ref="D2521" r:id="rId2563" display="2020_06/23.06.2020/55183"/>
    <hyperlink ref="D2559" r:id="rId2564" display="2020_06/23.06.2020/76939"/>
    <hyperlink ref="D2560" r:id="rId2565" display="2020_06/23.06.2020/77173"/>
    <hyperlink ref="D2520" r:id="rId2566" display="2020_06/23.06.2020/50256"/>
    <hyperlink ref="D2547" r:id="rId2567" display="2020_06/23.06.2020/69190"/>
    <hyperlink ref="D2558" r:id="rId2568" display="2020_06/23.06.2020/76852"/>
    <hyperlink ref="D2528" r:id="rId2569" display="2020_06/17.06.2020/66416"/>
    <hyperlink ref="D2557" r:id="rId2570" display="2020_06/23.06.2020/76814"/>
    <hyperlink ref="D2531" r:id="rId2571" display="2020_06/19.06.2020/67343"/>
    <hyperlink ref="D2539" r:id="rId2572" display="2020_06/19.06.2020/68144"/>
    <hyperlink ref="D2532" r:id="rId2573" display="2020_06/18.06.2020/67486"/>
    <hyperlink ref="D2529" r:id="rId2574" display="2020_06/18.06.2020/67062"/>
    <hyperlink ref="D2518" r:id="rId2575" display="2020_06/19.06.2020/37752"/>
    <hyperlink ref="D2551" r:id="rId2576" display="2020_06\19.06.2020\74864"/>
    <hyperlink ref="D2534" r:id="rId2577" display="2020_06/22.06.2020/67747"/>
    <hyperlink ref="D2537" r:id="rId2578" display="2020_06/22.06.2020/67985"/>
    <hyperlink ref="D2527" r:id="rId2579" display="2020_06/23.06.2020/64324"/>
    <hyperlink ref="D2524" r:id="rId2580" display="2020_06/23.06.2020/59149"/>
    <hyperlink ref="D2523" r:id="rId2581" display="2020_06/23.06.2020/55521"/>
    <hyperlink ref="D2522" r:id="rId2582" display="2020_06/23.06.2020/55266"/>
    <hyperlink ref="D2548" r:id="rId2583" display="2020_06/23.06.2020/69945"/>
    <hyperlink ref="D2623" r:id="rId2584" display="2020_06/23.06.2020/76204"/>
    <hyperlink ref="D2624" r:id="rId2585" display="2020_06/23.06.2020/76206"/>
    <hyperlink ref="D2567" r:id="rId2586" display="2020_06/23.06.2020/55952"/>
    <hyperlink ref="D2569" r:id="rId2587" display="2020_06/23.06.2020/64259"/>
    <hyperlink ref="D2570" r:id="rId2588" display="2020_06/23.06.2020/64264"/>
    <hyperlink ref="D2572" r:id="rId2589" display="2020_06/23.06.2020/64362"/>
    <hyperlink ref="D2571" r:id="rId2590" display="2020_06/23.06.2020/64292"/>
    <hyperlink ref="D2564" r:id="rId2591" display="2020_06/23.06.2020/49262"/>
    <hyperlink ref="D2622" r:id="rId2592" display="2020_06/23.06.2020/76049"/>
    <hyperlink ref="D2621" r:id="rId2593" display="2020_06/23.06.2020/76037"/>
    <hyperlink ref="D2591" r:id="rId2594" display="2020_06/25.06.2020/69950"/>
    <hyperlink ref="D2595" r:id="rId2595" display="2020_06/25.06.2020/70454"/>
    <hyperlink ref="D2626" r:id="rId2596" display="2020_06/23.06.2020/76519"/>
    <hyperlink ref="D2568" r:id="rId2597" display="2020_06/23.06.2020/62652"/>
    <hyperlink ref="D2625" r:id="rId2598" display="2020_06/23.06.2020/76312"/>
    <hyperlink ref="D2631" r:id="rId2599" display="2020_06/23.06.2020/76976"/>
    <hyperlink ref="D2586" r:id="rId2600" display="2020_06/25.06.2020/69713"/>
    <hyperlink ref="D2588" r:id="rId2601" display="2020_06/25.06.2020/69774"/>
    <hyperlink ref="D2593" r:id="rId2602" display="2020_06/25.06.2020/70225"/>
    <hyperlink ref="D2642" r:id="rId2603" display="2020_06\25.06.2020\78381"/>
    <hyperlink ref="D2635" r:id="rId2604" display="2020_06\25.06.2020\77646"/>
    <hyperlink ref="D2583" r:id="rId2605" display="2020_06/25.06.2020/69372"/>
    <hyperlink ref="D2585" r:id="rId2606" display="2020_06/25.06.2020/69601"/>
    <hyperlink ref="D2597" r:id="rId2607" display="2020_06/25.06.2020/70555"/>
    <hyperlink ref="D2579" r:id="rId2608" display="2020_06/25.06.2020/69252"/>
    <hyperlink ref="D2580" r:id="rId2609" display="2020_06/25.06.2020/69312"/>
    <hyperlink ref="D2638" r:id="rId2610" display="2020_06/25.06.2020/78072"/>
    <hyperlink ref="D2598" r:id="rId2611" display="2020_06/25.06.2020/70659"/>
    <hyperlink ref="D2590" r:id="rId2612" display="2020_06/25.06.2020/69873"/>
    <hyperlink ref="D2600" r:id="rId2613" display="2020_06/26.06.2020/70761"/>
    <hyperlink ref="D2606" r:id="rId2614" display="2020_06/29.06.2020/71530"/>
    <hyperlink ref="D2589" r:id="rId2615" display="2020_06/25.06.2020/69777"/>
    <hyperlink ref="D2633" r:id="rId2616" display="2020_06/25.06.2020/77232"/>
    <hyperlink ref="D2582" r:id="rId2617" display="2020_06/25.06.2020/69350"/>
    <hyperlink ref="D2634" r:id="rId2618" display="2020_06/25.06.2020/77497"/>
    <hyperlink ref="D2648" r:id="rId2619" display="2020_06/29.06.2020/78809"/>
    <hyperlink ref="D2605" r:id="rId2620" display="2020_06/29.06.2020/71344"/>
    <hyperlink ref="D2578" r:id="rId2621" display="2020_06/23.06.2020/68902"/>
    <hyperlink ref="D2637" r:id="rId2622" display="2020_06/25.06.2020/78002"/>
    <hyperlink ref="D2603" r:id="rId2623" display="2020_06/26.06.2020/70895"/>
    <hyperlink ref="D2602" r:id="rId2624" display="2020_06/26.06.2020/70847"/>
    <hyperlink ref="D2640" r:id="rId2625" display="2020_06/25.06.2020/78312"/>
    <hyperlink ref="D2628" r:id="rId2626" display="2020_06/25.06.2020/76812"/>
    <hyperlink ref="D2608" r:id="rId2627" display="2020_06/29.06.2020/71896"/>
    <hyperlink ref="D2594" r:id="rId2628" display="2020_06/25.06.2020/70302"/>
    <hyperlink ref="D2632" r:id="rId2629" display="2020_06/25.06.2020/77210"/>
    <hyperlink ref="D2636" r:id="rId2630" display="2020_06/25.06.2020/77789"/>
    <hyperlink ref="D2596" r:id="rId2631" display="2020_06/26.06.2020/70541"/>
    <hyperlink ref="D2599" r:id="rId2632" display="2020_06/26.06.2020/70693"/>
    <hyperlink ref="D2573" r:id="rId2633" display="2020_06/25.06.2020/65776"/>
    <hyperlink ref="D2630" r:id="rId2634" display="2020_06/25.06.2020/76974"/>
    <hyperlink ref="D2627" r:id="rId2635" display="2020_06/25.06.2020/76736"/>
    <hyperlink ref="D2587" r:id="rId2636" display="2020_06/25.06.2020/69727"/>
    <hyperlink ref="D2592" r:id="rId2637" display="2020_06/25.06.2020/70132"/>
    <hyperlink ref="D2584" r:id="rId2638" display="2020_06/25.06.2020/69590"/>
    <hyperlink ref="D2581" r:id="rId2639" display="2020_06/25.06.2020/69324"/>
    <hyperlink ref="D2601" r:id="rId2640" display="2020_06/26.06.2020/70793"/>
    <hyperlink ref="D2604" r:id="rId2641" display="2020_06/26.06.2020/71180"/>
    <hyperlink ref="D2620" r:id="rId2642" display="2020_06/19.06.2020/75658"/>
    <hyperlink ref="D2574" r:id="rId2643" display="2020_06/26.06.2020/66220"/>
    <hyperlink ref="D2649" r:id="rId2644" display="2020_06/29.06.2020/78818"/>
    <hyperlink ref="D2607" r:id="rId2645" display="2020_06\29.06.2020\71681"/>
    <hyperlink ref="D2646" r:id="rId2646" display="2020_06/29.06.2020/78627"/>
    <hyperlink ref="D2577" r:id="rId2647" display="2020_06/26.06.2020/67437"/>
    <hyperlink ref="D2609" r:id="rId2648" display="2020_06/29.06.2020/71988"/>
    <hyperlink ref="D2653" r:id="rId2649" display="2020_06/29.06.2020/79790"/>
    <hyperlink ref="D2643" r:id="rId2650" display="2020_06/29.06.2020/78463"/>
    <hyperlink ref="D2647" r:id="rId2651" display="2020_06/26.06.2020/78631"/>
    <hyperlink ref="D2610" r:id="rId2652" display="2020_06\29.06.2020\72113"/>
    <hyperlink ref="D2652" r:id="rId2653" display="2020_06/29.06.2020/79081"/>
    <hyperlink ref="D2651" r:id="rId2654" display="2020_06/29.06.2020/79077"/>
    <hyperlink ref="D2575" r:id="rId2655" display="2020_06/26.06.2020/66832"/>
    <hyperlink ref="D2563" r:id="rId2656" display="2020_06\26.06.2020\41725"/>
    <hyperlink ref="D2629" r:id="rId2657" display="2020_06/25.06.2020/76846"/>
    <hyperlink ref="D2639" r:id="rId2658" display="2020_06/26.06.2020/78205"/>
    <hyperlink ref="D2641" r:id="rId2659" display="2020_06/26.06.2020/78349"/>
    <hyperlink ref="D2650" r:id="rId2660" display="2020_06/29.06.2020/79096"/>
    <hyperlink ref="D2645" r:id="rId2661" display="2020_06/26.06.2020/78513"/>
    <hyperlink ref="D2611" r:id="rId2662" display="2020_06/30.06.2020/72295"/>
    <hyperlink ref="D2664" r:id="rId2663" display="2020_06/30.06.2020/71788"/>
    <hyperlink ref="D2663" r:id="rId2664" display="2020_06/30.06.2020/71710"/>
    <hyperlink ref="D2665" r:id="rId2665" display="2020_06/30.06.2020/72053"/>
    <hyperlink ref="D2669" r:id="rId2666" display="2020_07/02.07.2020/72476"/>
    <hyperlink ref="D2676" r:id="rId2667" display="2020_07/02.07.2020/73151"/>
    <hyperlink ref="D2667" r:id="rId2668" display="2020_06\30.06.2020\72190"/>
    <hyperlink ref="D2760" r:id="rId2669" display="2020_06/30.06.2020/79487"/>
    <hyperlink ref="D2668" r:id="rId2670" display="2020_06\30.06.2020\72240"/>
    <hyperlink ref="D2670" r:id="rId2671" display="2020_06/30.06.2020/72665"/>
    <hyperlink ref="D2672" r:id="rId2672" display="2020_07\02.07.2020\73020"/>
    <hyperlink ref="D2677" r:id="rId2673" display="2020_07/02.07.2020/73292"/>
    <hyperlink ref="D2780" r:id="rId2674" display="2020_07/02.07.2020/80386"/>
    <hyperlink ref="D2675" r:id="rId2675" display="2020_07/02.07.2020/73147"/>
    <hyperlink ref="D2777" r:id="rId2676" display="2020_07/02.07.2020/80227"/>
  </hyperlinks>
  <pageMargins left="0.7" right="0.7" top="0.75" bottom="0.75" header="0.3" footer="0.3"/>
  <pageSetup paperSize="9" orientation="portrait" horizontalDpi="300" verticalDpi="300" r:id="rId2677"/>
  <extLst>
    <ext xmlns:x14="http://schemas.microsoft.com/office/spreadsheetml/2009/9/main" uri="{78C0D931-6437-407d-A8EE-F0AAD7539E65}">
      <x14:conditionalFormattings>
        <x14:conditionalFormatting xmlns:xm="http://schemas.microsoft.com/office/excel/2006/main">
          <x14:cfRule type="iconSet" priority="40" id="{0996CE4F-8CBF-407D-A41A-A7C7595D451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R8</xm:sqref>
        </x14:conditionalFormatting>
        <x14:conditionalFormatting xmlns:xm="http://schemas.microsoft.com/office/excel/2006/main">
          <x14:cfRule type="iconSet" priority="38" id="{4D42F7D6-5785-408C-9331-56D958468A3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R7</xm:sqref>
        </x14:conditionalFormatting>
        <x14:conditionalFormatting xmlns:xm="http://schemas.microsoft.com/office/excel/2006/main">
          <x14:cfRule type="iconSet" priority="36" id="{D261A6B6-D93D-4C25-8E32-B61982513EE8}">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R6</xm:sqref>
        </x14:conditionalFormatting>
        <x14:conditionalFormatting xmlns:xm="http://schemas.microsoft.com/office/excel/2006/main">
          <x14:cfRule type="iconSet" priority="34" id="{402E4671-FC0D-4EC4-9A40-8166C50E813E}">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R5</xm:sqref>
        </x14:conditionalFormatting>
        <x14:conditionalFormatting xmlns:xm="http://schemas.microsoft.com/office/excel/2006/main">
          <x14:cfRule type="iconSet" priority="32" id="{6635DBE3-F00F-49CF-8D95-61AE7BE241B2}">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R4</xm:sqref>
        </x14:conditionalFormatting>
        <x14:conditionalFormatting xmlns:xm="http://schemas.microsoft.com/office/excel/2006/main">
          <x14:cfRule type="iconSet" priority="30" id="{7F823874-9CF2-4438-AE1B-CA3712E8DAF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R3</xm:sqref>
        </x14:conditionalFormatting>
        <x14:conditionalFormatting xmlns:xm="http://schemas.microsoft.com/office/excel/2006/main">
          <x14:cfRule type="iconSet" priority="1654" id="{84EFA9A8-FB0B-4B26-A2CF-28B07F2B8378}">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M1 M3:M1048576</xm:sqref>
        </x14:conditionalFormatting>
        <x14:conditionalFormatting xmlns:xm="http://schemas.microsoft.com/office/excel/2006/main">
          <x14:cfRule type="iconSet" priority="15" id="{43076E0A-72A3-4D68-90CD-05AD3B556952}">
            <x14:iconSet iconSet="3Symbols" showValue="0" custom="1">
              <x14:cfvo type="percent">
                <xm:f>0</xm:f>
              </x14:cfvo>
              <x14:cfvo type="num">
                <xm:f>1</xm:f>
              </x14:cfvo>
              <x14:cfvo type="num">
                <xm:f>2</xm:f>
              </x14:cfvo>
              <x14:cfIcon iconSet="3Symbols" iconId="2"/>
              <x14:cfIcon iconSet="3Symbols" iconId="1"/>
              <x14:cfIcon iconSet="3Symbols" iconId="0"/>
            </x14:iconSet>
          </x14:cfRule>
          <xm:sqref>U1674</xm:sqref>
        </x14:conditionalFormatting>
        <x14:conditionalFormatting xmlns:xm="http://schemas.microsoft.com/office/excel/2006/main">
          <x14:cfRule type="iconSet" priority="14" id="{A9EB5165-CCC1-4BFE-80CC-8AA32E9F49E0}">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J2118</xm:sqref>
        </x14:conditionalFormatting>
        <x14:conditionalFormatting xmlns:xm="http://schemas.microsoft.com/office/excel/2006/main">
          <x14:cfRule type="iconSet" priority="10" id="{B9883825-778C-43EC-AE14-25D5AF141263}">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R2118</xm:sqref>
        </x14:conditionalFormatting>
        <x14:conditionalFormatting xmlns:xm="http://schemas.microsoft.com/office/excel/2006/main">
          <x14:cfRule type="iconSet" priority="24735" id="{2DA29A71-3C34-4674-B64D-5B1B5C15A169}">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J2824:J1048576 J3:J2117</xm:sqref>
        </x14:conditionalFormatting>
        <x14:conditionalFormatting xmlns:xm="http://schemas.microsoft.com/office/excel/2006/main">
          <x14:cfRule type="iconSet" priority="27315" id="{853C40C6-823B-42F5-A737-7B0902C2818B}">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R9:R2117</xm:sqref>
        </x14:conditionalFormatting>
        <x14:conditionalFormatting xmlns:xm="http://schemas.microsoft.com/office/excel/2006/main">
          <x14:cfRule type="iconSet" priority="30144" id="{A90B4CCE-1469-4231-9B22-73D9634CA03D}">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J2119:J2823</xm:sqref>
        </x14:conditionalFormatting>
        <x14:conditionalFormatting xmlns:xm="http://schemas.microsoft.com/office/excel/2006/main">
          <x14:cfRule type="iconSet" priority="30146" id="{EFF5484D-F241-4456-B32C-36F5FB171D14}">
            <x14:iconSet iconSet="5Quarters" showValue="0" custom="1">
              <x14:cfvo type="percent">
                <xm:f>0</xm:f>
              </x14:cfvo>
              <x14:cfvo type="num">
                <xm:f>0.25</xm:f>
              </x14:cfvo>
              <x14:cfvo type="num">
                <xm:f>0.5</xm:f>
              </x14:cfvo>
              <x14:cfvo type="num">
                <xm:f>0.75</xm:f>
              </x14:cfvo>
              <x14:cfvo type="num">
                <xm:f>1</xm:f>
              </x14:cfvo>
              <x14:cfIcon iconSet="5Quarters" iconId="0"/>
              <x14:cfIcon iconSet="5Quarters" iconId="1"/>
              <x14:cfIcon iconSet="5Quarters" iconId="2"/>
              <x14:cfIcon iconSet="5Quarters" iconId="3"/>
              <x14:cfIcon iconSet="3Symbols2" iconId="2"/>
            </x14:iconSet>
          </x14:cfRule>
          <xm:sqref>R2119:R2823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14:formula1>
            <xm:f>DRAFT!$D$18:$D$19</xm:f>
          </x14:formula1>
          <xm:sqref>AB5:AB2514</xm:sqref>
        </x14:dataValidation>
        <x14:dataValidation type="list" allowBlank="1" showInputMessage="1" showErrorMessage="1">
          <x14:formula1>
            <xm:f>DRAFT!$C$14:$C$16</xm:f>
          </x14:formula1>
          <xm:sqref>N3:N2822</xm:sqref>
        </x14:dataValidation>
        <x14:dataValidation type="list" allowBlank="1" showInputMessage="1" showErrorMessage="1">
          <x14:formula1>
            <xm:f>DRAFT!$E$2:$E$13</xm:f>
          </x14:formula1>
          <xm:sqref>K3:K2823</xm:sqref>
        </x14:dataValidation>
        <x14:dataValidation type="list" allowBlank="1" showInputMessage="1" showErrorMessage="1">
          <x14:formula1>
            <xm:f>DRAFT!$C$2:$C$4</xm:f>
          </x14:formula1>
          <xm:sqref>T3:T2823</xm:sqref>
        </x14:dataValidation>
        <x14:dataValidation type="list" allowBlank="1" showInputMessage="1" showErrorMessage="1">
          <x14:formula1>
            <xm:f>DRAFT!$Z$2:$Z$5</xm:f>
          </x14:formula1>
          <xm:sqref>S3:S2823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lling">
    <tabColor rgb="FF92D050"/>
    <outlinePr applyStyles="1"/>
  </sheetPr>
  <dimension ref="A1:AN2129"/>
  <sheetViews>
    <sheetView topLeftCell="M19" zoomScale="80" zoomScaleNormal="80" workbookViewId="0">
      <selection activeCell="W35" sqref="W35"/>
    </sheetView>
  </sheetViews>
  <sheetFormatPr defaultColWidth="8.7265625" defaultRowHeight="17.149999999999999" customHeight="1" outlineLevelRow="1" x14ac:dyDescent="0.35"/>
  <cols>
    <col min="1" max="1" width="18" style="51" customWidth="1"/>
    <col min="2" max="2" width="17.08984375" customWidth="1"/>
    <col min="3" max="3" width="14.1796875" style="51" customWidth="1"/>
    <col min="4" max="4" width="16" style="51" customWidth="1"/>
    <col min="5" max="5" width="18.1796875" style="652" customWidth="1"/>
    <col min="6" max="6" width="16.1796875" style="652" customWidth="1"/>
    <col min="7" max="7" width="17.81640625" style="51" customWidth="1"/>
    <col min="8" max="8" width="16.7265625" style="51" customWidth="1"/>
    <col min="9" max="9" width="16.453125" style="51" customWidth="1"/>
    <col min="10" max="10" width="17.7265625" style="51" customWidth="1"/>
    <col min="11" max="11" width="19.7265625" style="51" customWidth="1"/>
    <col min="12" max="12" width="23.7265625" style="51" customWidth="1"/>
    <col min="13" max="13" width="21.81640625" style="51" customWidth="1"/>
    <col min="14" max="15" width="17.1796875" style="51" customWidth="1"/>
    <col min="16" max="16" width="17.453125" style="51" customWidth="1"/>
    <col min="17" max="17" width="16.453125" style="51" customWidth="1"/>
    <col min="18" max="18" width="18.81640625" style="51" customWidth="1"/>
    <col min="19" max="19" width="17.54296875" style="51" customWidth="1"/>
    <col min="20" max="20" width="18.453125" style="51" customWidth="1"/>
    <col min="21" max="21" width="16.7265625" style="51" customWidth="1"/>
    <col min="22" max="23" width="18.1796875" style="51" customWidth="1"/>
    <col min="24" max="24" width="18" style="51" customWidth="1"/>
    <col min="25" max="25" width="18.54296875" style="51" customWidth="1"/>
    <col min="26" max="26" width="21.81640625" style="51" customWidth="1"/>
    <col min="27" max="28" width="17.1796875" style="51" customWidth="1"/>
    <col min="29" max="29" width="17.453125" style="51" customWidth="1"/>
    <col min="30" max="30" width="16.453125" style="51" customWidth="1"/>
    <col min="31" max="31" width="18.81640625" style="51" customWidth="1"/>
    <col min="32" max="32" width="17.54296875" style="51" customWidth="1"/>
    <col min="33" max="33" width="18.453125" style="51" customWidth="1"/>
    <col min="34" max="34" width="16.7265625" style="51" customWidth="1"/>
    <col min="35" max="35" width="18.26953125" style="51" customWidth="1"/>
    <col min="36" max="16384" width="8.7265625" style="51"/>
  </cols>
  <sheetData>
    <row r="1" spans="1:40" ht="17.149999999999999" customHeight="1" thickTop="1" thickBot="1" x14ac:dyDescent="0.4">
      <c r="A1" s="806" t="s">
        <v>0</v>
      </c>
      <c r="B1" s="807"/>
      <c r="C1" s="808" t="s">
        <v>8237</v>
      </c>
      <c r="D1" s="809"/>
      <c r="E1" s="810" t="s">
        <v>8238</v>
      </c>
      <c r="F1" s="739" t="s">
        <v>1143</v>
      </c>
      <c r="G1" s="810" t="s">
        <v>1</v>
      </c>
      <c r="H1" s="810" t="s">
        <v>2</v>
      </c>
      <c r="I1" s="810" t="s">
        <v>3</v>
      </c>
      <c r="J1" s="810" t="s">
        <v>205</v>
      </c>
      <c r="M1" s="774" t="s">
        <v>42</v>
      </c>
      <c r="N1" s="774"/>
      <c r="O1" s="808" t="s">
        <v>43</v>
      </c>
      <c r="P1" s="809"/>
      <c r="Q1" s="810"/>
      <c r="R1" s="812" t="s">
        <v>44</v>
      </c>
      <c r="S1" s="813"/>
      <c r="T1" s="808" t="s">
        <v>43</v>
      </c>
      <c r="U1" s="809"/>
      <c r="V1" s="808" t="s">
        <v>868</v>
      </c>
      <c r="W1" s="814"/>
      <c r="X1" s="814"/>
      <c r="Y1" s="809"/>
      <c r="Z1" s="774" t="s">
        <v>7757</v>
      </c>
      <c r="AA1" s="774"/>
      <c r="AB1" s="808" t="s">
        <v>43</v>
      </c>
      <c r="AC1" s="809"/>
      <c r="AD1" s="810"/>
      <c r="AE1" s="812" t="s">
        <v>7763</v>
      </c>
      <c r="AF1" s="813"/>
      <c r="AG1" s="808" t="s">
        <v>43</v>
      </c>
      <c r="AH1" s="809"/>
      <c r="AI1" s="810" t="s">
        <v>7764</v>
      </c>
    </row>
    <row r="2" spans="1:40" ht="17.149999999999999" customHeight="1" thickTop="1" thickBot="1" x14ac:dyDescent="0.4">
      <c r="A2" s="732" t="s">
        <v>4</v>
      </c>
      <c r="B2" s="732" t="s">
        <v>5</v>
      </c>
      <c r="C2" s="732" t="s">
        <v>4</v>
      </c>
      <c r="D2" s="732" t="s">
        <v>5</v>
      </c>
      <c r="E2" s="811"/>
      <c r="F2" s="747" t="str">
        <f>IFERROR(INDEX(DRAFT!AM:AM,MATCH(F3,DRAFT!AL:AL,0),1),"")</f>
        <v>C:\Users\Lenovo\Documents\Nextcloud\РАБОЧИЕ ФАЙЛЫ</v>
      </c>
      <c r="G2" s="811"/>
      <c r="H2" s="811"/>
      <c r="I2" s="811"/>
      <c r="J2" s="811"/>
      <c r="M2" s="172" t="s">
        <v>612</v>
      </c>
      <c r="N2" s="172" t="s">
        <v>634</v>
      </c>
      <c r="O2" s="172" t="s">
        <v>45</v>
      </c>
      <c r="P2" s="172" t="s">
        <v>46</v>
      </c>
      <c r="Q2" s="811"/>
      <c r="R2" s="172" t="s">
        <v>612</v>
      </c>
      <c r="S2" s="172" t="s">
        <v>634</v>
      </c>
      <c r="T2" s="172" t="s">
        <v>45</v>
      </c>
      <c r="U2" s="172" t="s">
        <v>46</v>
      </c>
      <c r="V2" s="174" t="s">
        <v>869</v>
      </c>
      <c r="W2" s="174" t="s">
        <v>870</v>
      </c>
      <c r="X2" s="174" t="s">
        <v>871</v>
      </c>
      <c r="Y2" s="174" t="s">
        <v>904</v>
      </c>
      <c r="Z2" s="715" t="s">
        <v>612</v>
      </c>
      <c r="AA2" s="715" t="s">
        <v>634</v>
      </c>
      <c r="AB2" s="715" t="s">
        <v>45</v>
      </c>
      <c r="AC2" s="715" t="s">
        <v>46</v>
      </c>
      <c r="AD2" s="811"/>
      <c r="AE2" s="715" t="s">
        <v>612</v>
      </c>
      <c r="AF2" s="715" t="s">
        <v>634</v>
      </c>
      <c r="AG2" s="715" t="s">
        <v>45</v>
      </c>
      <c r="AH2" s="715" t="s">
        <v>46</v>
      </c>
      <c r="AI2" s="811"/>
      <c r="AN2" s="51" t="str">
        <f>W3&amp;" ("&amp;V3&amp;")"&amp;" "&amp;X3&amp;" копеек"</f>
        <v>0 (ноль) 00 копеек</v>
      </c>
    </row>
    <row r="3" spans="1:40" ht="17.149999999999999" customHeight="1" thickTop="1" thickBot="1" x14ac:dyDescent="0.4">
      <c r="A3" s="167" t="str">
        <f>IFERROR(INDEX(STATUS!A:K,MATCH("РЕШ шаблон",STATUS!K:K,0),1),"")</f>
        <v/>
      </c>
      <c r="B3" s="168" t="str">
        <f>IFERROR(INDEX(STATUS!A:K,MATCH("РЕШ шаблон",STATUS!K:K,0),3),"")</f>
        <v/>
      </c>
      <c r="C3" s="35"/>
      <c r="D3" s="24"/>
      <c r="E3" s="649"/>
      <c r="F3" s="654" t="s">
        <v>5511</v>
      </c>
      <c r="G3" s="26"/>
      <c r="H3" s="48"/>
      <c r="I3" s="25"/>
      <c r="J3" s="254"/>
      <c r="M3" s="381"/>
      <c r="N3" s="107"/>
      <c r="O3" s="156"/>
      <c r="P3" s="156"/>
      <c r="Q3" s="281" t="str">
        <f>IF(ISBLANK(N3),"",SUBSTITUTE(TEXT(N3,"# ##0\ рублей ,00\ копеек"),",",))</f>
        <v/>
      </c>
      <c r="R3" s="32"/>
      <c r="S3" s="107"/>
      <c r="T3" s="154"/>
      <c r="U3" s="155"/>
      <c r="V3" s="227" t="str">
        <f>LOWER(TRIM(SUBSTITUTE(PROPER(INDEX(n_4,MID(TEXT(W3,n0),1,1)+1)&amp;INDEX(n0x,MID(TEXT(W3,n0),2,1)+1,MID(TEXT(W3,n0),3,1)+1)&amp;IF(-MID(TEXT(W3,n0),1,3),"миллиард"&amp;VLOOKUP(MID(TEXT(W3,n0),3,1)*AND(MID(TEXT(W3,n0),2,1)-1),мил,2),"")&amp;INDEX(n_4,MID(TEXT(W3,n0),4,1)+1)&amp;INDEX(n0x,MID(TEXT(W3,n0),5,1)+1,MID(TEXT(W3,n0),6,1)+1)&amp;IF(-MID(TEXT(W3,n0),4,3),"миллион"&amp;VLOOKUP(MID(TEXT(W3,n0),6,1)*AND(MID(TEXT(W3,n0),5,1)-1),мил,2),"")&amp;INDEX(n_4,MID(TEXT(W3,n0),7,1)+1)&amp;INDEX(n1x,MID(TEXT(W3,n0),8,1)+1,MID(TEXT(W3,n0),9,1)+1)&amp;IF(-MID(TEXT(W3,n0),7,3),VLOOKUP(MID(TEXT(W3,n0),9,1)*AND(MID(TEXT(W3,n0),8,1)-1),тыс,2),"")&amp;INDEX(n_4,MID(TEXT(W3,n0),10,1)+1)&amp;INDEX(IF(-MID(TEXT(W3,n0),14,6),n1x,n0x),MID(TEXT(W3,n0),11,1)+1,MID(TEXT(W3,n0),12,1)+1)),"z"," ")&amp;IF(TRUNC(TEXT(W3,n0)),,"Ноль ")&amp;IF(-MID(TEXT(W3,n0),14,6),IF(MOD(MAX(MOD(MID(TEXT(W3,n0),11,2)-11,100),9),10),"целых ","целая ")&amp;SUBSTITUTE(INDEX(n_4,MID(TEXT(W3,n0),14,6)/10^5+1)&amp;INDEX(n1x,MOD(MID(TEXT(W3,n0),14,6)/10^4,10)+1,MOD(MID(TEXT(W3,n0),14,6)/1000,10)+1)&amp;IF(INT(MID(TEXT(W3,n0),14,6)/1000),VLOOKUP(MOD(MID(TEXT(W3,n0),14,6)/1000,10)*(MOD(INT(MID(TEXT(W3,n0),14,6)/10^4),10)&lt;&gt;1),тыс,2),"")&amp;INDEX(n_4,MOD(MID(TEXT(W3,n0),14,6)/100,10)+1)&amp;INDEX(n1x,MOD(MID(TEXT(W3,n0),14,6)/10,10)+1,MOD(MID(TEXT(W3,n0),14,6),10)+1),"z"," ")&amp;INDEX(доля,LEN(MID(TEXT(W3,n0),14,6)),(MOD(MAX(MOD(MID(TEXT(W3,n0),14,6)-11,100),9),10)&gt;0)+1),)))</f>
        <v>ноль</v>
      </c>
      <c r="W3" s="228" t="str">
        <f>SUBSTITUTE(TEXT(INT(S3),"# ##0"),",",)</f>
        <v>0</v>
      </c>
      <c r="X3" s="229" t="str">
        <f>SUBSTITUTE(TEXT(ROUND((S3-W3)*100,2),"00"),",",)</f>
        <v>00</v>
      </c>
      <c r="Y3" s="230" t="str">
        <f>SUBSTITUTE(TEXT(S3,"# ##0\ рублей ,00\ копеек"),",",)</f>
        <v>0 рублей 00 копеек</v>
      </c>
      <c r="Z3" s="453" t="s">
        <v>1652</v>
      </c>
      <c r="AA3" s="107">
        <v>185900</v>
      </c>
      <c r="AB3" s="156"/>
      <c r="AC3" s="156"/>
      <c r="AD3" s="281" t="str">
        <f>IF(ISBLANK(AA3),"",SUBSTITUTE(TEXT(AA3,"# ##0\ рублей ,00\ копеек"),",",))</f>
        <v>185 900 рублей 00 копеек</v>
      </c>
      <c r="AE3" s="32"/>
      <c r="AF3" s="107">
        <v>20600</v>
      </c>
      <c r="AG3" s="154"/>
      <c r="AH3" s="155"/>
      <c r="AI3" s="717"/>
    </row>
    <row r="4" spans="1:40" ht="17.149999999999999" customHeight="1" thickTop="1" thickBot="1" x14ac:dyDescent="0.4">
      <c r="A4" s="392" t="s">
        <v>5212</v>
      </c>
      <c r="B4" s="168" t="str">
        <f>IFERROR(INDEX(STATUS!A:K,MATCH("РЕШ шаблон",STATUS!K:K,0),4),"")</f>
        <v/>
      </c>
      <c r="C4" s="168" t="str">
        <f>IFERROR(IF(ISBLANK(B4),"",Term_EntryIntoForce(B4)),"")</f>
        <v/>
      </c>
      <c r="D4" s="168" t="str">
        <f>IFERROR(WORKDAY.INTL(C4,10,1,DRAFT!X2:X123),"")</f>
        <v/>
      </c>
      <c r="E4" s="168" t="str">
        <f>IFERROR(EDATE(B3,-36),"")</f>
        <v/>
      </c>
      <c r="F4" s="650"/>
      <c r="G4" s="31" t="str">
        <f>SUBSTITUTE(TEXT(G3,"# ##0\ рублей ,00\ копеек"),",",)</f>
        <v>0 рублей 00 копеек</v>
      </c>
      <c r="H4" s="29"/>
      <c r="I4" s="29"/>
      <c r="M4" s="381"/>
      <c r="N4" s="109"/>
      <c r="O4" s="156"/>
      <c r="P4" s="156"/>
      <c r="Q4" s="281" t="str">
        <f t="shared" ref="Q4:Q12" si="0">IF(ISBLANK(N4),"",SUBSTITUTE(TEXT(N4,"# ##0\ рублей ,00\ копеек"),",",))</f>
        <v/>
      </c>
      <c r="R4" s="32"/>
      <c r="S4" s="108"/>
      <c r="T4" s="154"/>
      <c r="U4" s="155"/>
      <c r="V4" s="231" t="str">
        <f>LOWER(TRIM(SUBSTITUTE(PROPER(INDEX(n_4,MID(TEXT(W4,n0),1,1)+1)&amp;INDEX(n0x,MID(TEXT(W4,n0),2,1)+1,MID(TEXT(W4,n0),3,1)+1)&amp;IF(-MID(TEXT(W4,n0),1,3),"миллиард"&amp;VLOOKUP(MID(TEXT(W4,n0),3,1)*AND(MID(TEXT(W4,n0),2,1)-1),мил,2),"")&amp;INDEX(n_4,MID(TEXT(W4,n0),4,1)+1)&amp;INDEX(n0x,MID(TEXT(W4,n0),5,1)+1,MID(TEXT(W4,n0),6,1)+1)&amp;IF(-MID(TEXT(W4,n0),4,3),"миллион"&amp;VLOOKUP(MID(TEXT(W4,n0),6,1)*AND(MID(TEXT(W4,n0),5,1)-1),мил,2),"")&amp;INDEX(n_4,MID(TEXT(W4,n0),7,1)+1)&amp;INDEX(n1x,MID(TEXT(W4,n0),8,1)+1,MID(TEXT(W4,n0),9,1)+1)&amp;IF(-MID(TEXT(W4,n0),7,3),VLOOKUP(MID(TEXT(W4,n0),9,1)*AND(MID(TEXT(W4,n0),8,1)-1),тыс,2),"")&amp;INDEX(n_4,MID(TEXT(W4,n0),10,1)+1)&amp;INDEX(IF(-MID(TEXT(W4,n0),14,6),n1x,n0x),MID(TEXT(W4,n0),11,1)+1,MID(TEXT(W4,n0),12,1)+1)),"z"," ")&amp;IF(TRUNC(TEXT(W4,n0)),,"Ноль ")&amp;IF(-MID(TEXT(W4,n0),14,6),IF(MOD(MAX(MOD(MID(TEXT(W4,n0),11,2)-11,100),9),10),"целых ","целая ")&amp;SUBSTITUTE(INDEX(n_4,MID(TEXT(W4,n0),14,6)/10^5+1)&amp;INDEX(n1x,MOD(MID(TEXT(W4,n0),14,6)/10^4,10)+1,MOD(MID(TEXT(W4,n0),14,6)/1000,10)+1)&amp;IF(INT(MID(TEXT(W4,n0),14,6)/1000),VLOOKUP(MOD(MID(TEXT(W4,n0),14,6)/1000,10)*(MOD(INT(MID(TEXT(W4,n0),14,6)/10^4),10)&lt;&gt;1),тыс,2),"")&amp;INDEX(n_4,MOD(MID(TEXT(W4,n0),14,6)/100,10)+1)&amp;INDEX(n1x,MOD(MID(TEXT(W4,n0),14,6)/10,10)+1,MOD(MID(TEXT(W4,n0),14,6),10)+1),"z"," ")&amp;INDEX(доля,LEN(MID(TEXT(W4,n0),14,6)),(MOD(MAX(MOD(MID(TEXT(W4,n0),14,6)-11,100),9),10)&gt;0)+1),)))</f>
        <v>ноль</v>
      </c>
      <c r="W4" s="232" t="str">
        <f>SUBSTITUTE(TEXT(INT(S4),"# ##0"),",",)</f>
        <v>0</v>
      </c>
      <c r="X4" s="233" t="str">
        <f t="shared" ref="X4:X13" si="1">SUBSTITUTE(TEXT(ROUND((S4-W4)*100,2),"00"),",",)</f>
        <v>00</v>
      </c>
      <c r="Y4" s="230" t="str">
        <f>SUBSTITUTE(TEXT(S4,"# ##0\ рублей ,00\ копеек"),",",)</f>
        <v>0 рублей 00 копеек</v>
      </c>
      <c r="Z4" s="453" t="s">
        <v>58</v>
      </c>
      <c r="AA4" s="109">
        <v>4444</v>
      </c>
      <c r="AB4" s="156"/>
      <c r="AC4" s="156"/>
      <c r="AD4" s="281" t="str">
        <f t="shared" ref="AD4:AD12" si="2">IF(ISBLANK(AA4),"",SUBSTITUTE(TEXT(AA4,"# ##0\ рублей ,00\ копеек"),",",))</f>
        <v>4 444 рублей 00 копеек</v>
      </c>
      <c r="AE4" s="32"/>
      <c r="AF4" s="108"/>
      <c r="AG4" s="154"/>
      <c r="AH4" s="155"/>
      <c r="AI4" s="718"/>
    </row>
    <row r="5" spans="1:40" s="42" customFormat="1" ht="17.149999999999999" customHeight="1" thickTop="1" thickBot="1" x14ac:dyDescent="0.4">
      <c r="A5" s="777" t="s">
        <v>6</v>
      </c>
      <c r="B5" s="778"/>
      <c r="C5" s="778"/>
      <c r="D5" s="779"/>
      <c r="E5" s="808" t="s">
        <v>7</v>
      </c>
      <c r="F5" s="814"/>
      <c r="G5" s="814"/>
      <c r="H5" s="814"/>
      <c r="I5" s="809"/>
      <c r="M5" s="381"/>
      <c r="N5" s="109"/>
      <c r="O5" s="156"/>
      <c r="P5" s="156"/>
      <c r="Q5" s="281" t="str">
        <f t="shared" si="0"/>
        <v/>
      </c>
      <c r="R5" s="32"/>
      <c r="S5" s="108"/>
      <c r="T5" s="154"/>
      <c r="U5" s="155"/>
      <c r="V5" s="231" t="str">
        <f>LOWER(TRIM(SUBSTITUTE(PROPER(INDEX(n_4,MID(TEXT(W5,n0),1,1)+1)&amp;INDEX(n0x,MID(TEXT(W5,n0),2,1)+1,MID(TEXT(W5,n0),3,1)+1)&amp;IF(-MID(TEXT(W5,n0),1,3),"миллиард"&amp;VLOOKUP(MID(TEXT(W5,n0),3,1)*AND(MID(TEXT(W5,n0),2,1)-1),мил,2),"")&amp;INDEX(n_4,MID(TEXT(W5,n0),4,1)+1)&amp;INDEX(n0x,MID(TEXT(W5,n0),5,1)+1,MID(TEXT(W5,n0),6,1)+1)&amp;IF(-MID(TEXT(W5,n0),4,3),"миллион"&amp;VLOOKUP(MID(TEXT(W5,n0),6,1)*AND(MID(TEXT(W5,n0),5,1)-1),мил,2),"")&amp;INDEX(n_4,MID(TEXT(W5,n0),7,1)+1)&amp;INDEX(n1x,MID(TEXT(W5,n0),8,1)+1,MID(TEXT(W5,n0),9,1)+1)&amp;IF(-MID(TEXT(W5,n0),7,3),VLOOKUP(MID(TEXT(W5,n0),9,1)*AND(MID(TEXT(W5,n0),8,1)-1),тыс,2),"")&amp;INDEX(n_4,MID(TEXT(W5,n0),10,1)+1)&amp;INDEX(IF(-MID(TEXT(W5,n0),14,6),n1x,n0x),MID(TEXT(W5,n0),11,1)+1,MID(TEXT(W5,n0),12,1)+1)),"z"," ")&amp;IF(TRUNC(TEXT(W5,n0)),,"Ноль ")&amp;IF(-MID(TEXT(W5,n0),14,6),IF(MOD(MAX(MOD(MID(TEXT(W5,n0),11,2)-11,100),9),10),"целых ","целая ")&amp;SUBSTITUTE(INDEX(n_4,MID(TEXT(W5,n0),14,6)/10^5+1)&amp;INDEX(n1x,MOD(MID(TEXT(W5,n0),14,6)/10^4,10)+1,MOD(MID(TEXT(W5,n0),14,6)/1000,10)+1)&amp;IF(INT(MID(TEXT(W5,n0),14,6)/1000),VLOOKUP(MOD(MID(TEXT(W5,n0),14,6)/1000,10)*(MOD(INT(MID(TEXT(W5,n0),14,6)/10^4),10)&lt;&gt;1),тыс,2),"")&amp;INDEX(n_4,MOD(MID(TEXT(W5,n0),14,6)/100,10)+1)&amp;INDEX(n1x,MOD(MID(TEXT(W5,n0),14,6)/10,10)+1,MOD(MID(TEXT(W5,n0),14,6),10)+1),"z"," ")&amp;INDEX(доля,LEN(MID(TEXT(W5,n0),14,6)),(MOD(MAX(MOD(MID(TEXT(W5,n0),14,6)-11,100),9),10)&gt;0)+1),)))</f>
        <v>ноль</v>
      </c>
      <c r="W5" s="232" t="str">
        <f t="shared" ref="W5:W13" si="3">SUBSTITUTE(TEXT(INT(S5),"# ##0"),",",)</f>
        <v>0</v>
      </c>
      <c r="X5" s="233" t="str">
        <f t="shared" si="1"/>
        <v>00</v>
      </c>
      <c r="Y5" s="230" t="str">
        <f t="shared" ref="Y5:Y13" si="4">SUBSTITUTE(TEXT(S5,"# ##0\ рублей ,00\ копеек"),",",)</f>
        <v>0 рублей 00 копеек</v>
      </c>
      <c r="Z5" s="453"/>
      <c r="AA5" s="109">
        <v>1718.85</v>
      </c>
      <c r="AB5" s="156"/>
      <c r="AC5" s="156"/>
      <c r="AD5" s="281" t="str">
        <f t="shared" si="2"/>
        <v>1 718 рублей 85 копеек</v>
      </c>
      <c r="AE5" s="32"/>
      <c r="AF5" s="108"/>
      <c r="AG5" s="154"/>
      <c r="AH5" s="155"/>
      <c r="AI5" s="719"/>
    </row>
    <row r="6" spans="1:40" ht="17.149999999999999" customHeight="1" thickTop="1" thickBot="1" x14ac:dyDescent="0.4">
      <c r="A6" s="172" t="s">
        <v>8</v>
      </c>
      <c r="B6" s="628" t="s">
        <v>9</v>
      </c>
      <c r="C6" s="172" t="s">
        <v>10</v>
      </c>
      <c r="D6" s="172" t="s">
        <v>11</v>
      </c>
      <c r="E6" s="739" t="s">
        <v>12</v>
      </c>
      <c r="F6" s="740" t="s">
        <v>13</v>
      </c>
      <c r="G6" s="172" t="s">
        <v>14</v>
      </c>
      <c r="H6" s="172" t="s">
        <v>11</v>
      </c>
      <c r="I6" s="172" t="s">
        <v>15</v>
      </c>
      <c r="J6" s="264" t="s">
        <v>1749</v>
      </c>
      <c r="M6" s="381"/>
      <c r="N6" s="109"/>
      <c r="O6" s="156"/>
      <c r="P6" s="156"/>
      <c r="Q6" s="281" t="str">
        <f t="shared" si="0"/>
        <v/>
      </c>
      <c r="R6" s="32"/>
      <c r="S6" s="109"/>
      <c r="T6" s="154"/>
      <c r="U6" s="155"/>
      <c r="V6" s="231" t="str">
        <f>LOWER(TRIM(SUBSTITUTE(PROPER(INDEX(n_4,MID(TEXT(W6,n0),1,1)+1)&amp;INDEX(n0x,MID(TEXT(W6,n0),2,1)+1,MID(TEXT(W6,n0),3,1)+1)&amp;IF(-MID(TEXT(W6,n0),1,3),"миллиард"&amp;VLOOKUP(MID(TEXT(W6,n0),3,1)*AND(MID(TEXT(W6,n0),2,1)-1),мил,2),"")&amp;INDEX(n_4,MID(TEXT(W6,n0),4,1)+1)&amp;INDEX(n0x,MID(TEXT(W6,n0),5,1)+1,MID(TEXT(W6,n0),6,1)+1)&amp;IF(-MID(TEXT(W6,n0),4,3),"миллион"&amp;VLOOKUP(MID(TEXT(W6,n0),6,1)*AND(MID(TEXT(W6,n0),5,1)-1),мил,2),"")&amp;INDEX(n_4,MID(TEXT(W6,n0),7,1)+1)&amp;INDEX(n1x,MID(TEXT(W6,n0),8,1)+1,MID(TEXT(W6,n0),9,1)+1)&amp;IF(-MID(TEXT(W6,n0),7,3),VLOOKUP(MID(TEXT(W6,n0),9,1)*AND(MID(TEXT(W6,n0),8,1)-1),тыс,2),"")&amp;INDEX(n_4,MID(TEXT(W6,n0),10,1)+1)&amp;INDEX(IF(-MID(TEXT(W6,n0),14,6),n1x,n0x),MID(TEXT(W6,n0),11,1)+1,MID(TEXT(W6,n0),12,1)+1)),"z"," ")&amp;IF(TRUNC(TEXT(W6,n0)),,"Ноль ")&amp;IF(-MID(TEXT(W6,n0),14,6),IF(MOD(MAX(MOD(MID(TEXT(W6,n0),11,2)-11,100),9),10),"целых ","целая ")&amp;SUBSTITUTE(INDEX(n_4,MID(TEXT(W6,n0),14,6)/10^5+1)&amp;INDEX(n1x,MOD(MID(TEXT(W6,n0),14,6)/10^4,10)+1,MOD(MID(TEXT(W6,n0),14,6)/1000,10)+1)&amp;IF(INT(MID(TEXT(W6,n0),14,6)/1000),VLOOKUP(MOD(MID(TEXT(W6,n0),14,6)/1000,10)*(MOD(INT(MID(TEXT(W6,n0),14,6)/10^4),10)&lt;&gt;1),тыс,2),"")&amp;INDEX(n_4,MOD(MID(TEXT(W6,n0),14,6)/100,10)+1)&amp;INDEX(n1x,MOD(MID(TEXT(W6,n0),14,6)/10,10)+1,MOD(MID(TEXT(W6,n0),14,6),10)+1),"z"," ")&amp;INDEX(доля,LEN(MID(TEXT(W6,n0),14,6)),(MOD(MAX(MOD(MID(TEXT(W6,n0),14,6)-11,100),9),10)&gt;0)+1),)))</f>
        <v>ноль</v>
      </c>
      <c r="W6" s="232" t="str">
        <f t="shared" si="3"/>
        <v>0</v>
      </c>
      <c r="X6" s="233" t="str">
        <f t="shared" si="1"/>
        <v>00</v>
      </c>
      <c r="Y6" s="230" t="str">
        <f t="shared" si="4"/>
        <v>0 рублей 00 копеек</v>
      </c>
      <c r="Z6" s="453"/>
      <c r="AA6" s="109">
        <v>3500</v>
      </c>
      <c r="AB6" s="156"/>
      <c r="AC6" s="156"/>
      <c r="AD6" s="281" t="str">
        <f t="shared" si="2"/>
        <v>3 500 рублей 00 копеек</v>
      </c>
      <c r="AE6" s="32"/>
      <c r="AF6" s="109"/>
      <c r="AG6" s="154"/>
      <c r="AH6" s="155"/>
      <c r="AI6" s="718"/>
    </row>
    <row r="7" spans="1:40" ht="17.149999999999999" customHeight="1" thickTop="1" thickBot="1" x14ac:dyDescent="0.4">
      <c r="A7" s="169" t="str">
        <f>IFERROR(GenitiveCase((INDEX(STATUS!A:K,MATCH("РЕШ шаблон",STATUS!K:K,0),6))),"")</f>
        <v/>
      </c>
      <c r="B7" s="629"/>
      <c r="C7" s="158"/>
      <c r="D7" s="158"/>
      <c r="E7" s="750" t="str">
        <f>IFERROR(INDEX(STATUS!A:K,MATCH("РЕШ шаблон",STATUS!K:K,0),7),"")</f>
        <v/>
      </c>
      <c r="F7" s="751" t="str">
        <f>IFERROR(INDEX(ФО!A:E,MATCH(E7,ФО!A:A,0),2),"")</f>
        <v/>
      </c>
      <c r="G7" s="170" t="str">
        <f>IFERROR(INDEX(ФО!A:E,MATCH(E7,ФО!A:A,0),3),"")</f>
        <v/>
      </c>
      <c r="H7" s="170" t="str">
        <f>IFERROR(INDEX(ФО!A:E,MATCH(E7,ФО!A:A,0),4),"")</f>
        <v/>
      </c>
      <c r="I7" s="168" t="str">
        <f>IFERROR(INDEX(ФО!A:E,MATCH(E7,ФО!A:A,0),5),"")</f>
        <v/>
      </c>
      <c r="J7" s="166"/>
      <c r="M7" s="381"/>
      <c r="N7" s="109"/>
      <c r="O7" s="156"/>
      <c r="P7" s="156"/>
      <c r="Q7" s="281" t="str">
        <f t="shared" si="0"/>
        <v/>
      </c>
      <c r="R7" s="32"/>
      <c r="S7" s="109"/>
      <c r="T7" s="154"/>
      <c r="U7" s="155"/>
      <c r="V7" s="231" t="str">
        <f>LOWER(TRIM(SUBSTITUTE(PROPER(INDEX(n_4,MID(TEXT(W7,n0),1,1)+1)&amp;INDEX(n0x,MID(TEXT(W7,n0),2,1)+1,MID(TEXT(W7,n0),3,1)+1)&amp;IF(-MID(TEXT(W7,n0),1,3),"миллиард"&amp;VLOOKUP(MID(TEXT(W7,n0),3,1)*AND(MID(TEXT(W7,n0),2,1)-1),мил,2),"")&amp;INDEX(n_4,MID(TEXT(W7,n0),4,1)+1)&amp;INDEX(n0x,MID(TEXT(W7,n0),5,1)+1,MID(TEXT(W7,n0),6,1)+1)&amp;IF(-MID(TEXT(W7,n0),4,3),"миллион"&amp;VLOOKUP(MID(TEXT(W7,n0),6,1)*AND(MID(TEXT(W7,n0),5,1)-1),мил,2),"")&amp;INDEX(n_4,MID(TEXT(W7,n0),7,1)+1)&amp;INDEX(n1x,MID(TEXT(W7,n0),8,1)+1,MID(TEXT(W7,n0),9,1)+1)&amp;IF(-MID(TEXT(W7,n0),7,3),VLOOKUP(MID(TEXT(W7,n0),9,1)*AND(MID(TEXT(W7,n0),8,1)-1),тыс,2),"")&amp;INDEX(n_4,MID(TEXT(W7,n0),10,1)+1)&amp;INDEX(IF(-MID(TEXT(W7,n0),14,6),n1x,n0x),MID(TEXT(W7,n0),11,1)+1,MID(TEXT(W7,n0),12,1)+1)),"z"," ")&amp;IF(TRUNC(TEXT(W7,n0)),,"Ноль ")&amp;IF(-MID(TEXT(W7,n0),14,6),IF(MOD(MAX(MOD(MID(TEXT(W7,n0),11,2)-11,100),9),10),"целых ","целая ")&amp;SUBSTITUTE(INDEX(n_4,MID(TEXT(W7,n0),14,6)/10^5+1)&amp;INDEX(n1x,MOD(MID(TEXT(W7,n0),14,6)/10^4,10)+1,MOD(MID(TEXT(W7,n0),14,6)/1000,10)+1)&amp;IF(INT(MID(TEXT(W7,n0),14,6)/1000),VLOOKUP(MOD(MID(TEXT(W7,n0),14,6)/1000,10)*(MOD(INT(MID(TEXT(W7,n0),14,6)/10^4),10)&lt;&gt;1),тыс,2),"")&amp;INDEX(n_4,MOD(MID(TEXT(W7,n0),14,6)/100,10)+1)&amp;INDEX(n1x,MOD(MID(TEXT(W7,n0),14,6)/10,10)+1,MOD(MID(TEXT(W7,n0),14,6),10)+1),"z"," ")&amp;INDEX(доля,LEN(MID(TEXT(W7,n0),14,6)),(MOD(MAX(MOD(MID(TEXT(W7,n0),14,6)-11,100),9),10)&gt;0)+1),)))</f>
        <v>ноль</v>
      </c>
      <c r="W7" s="232" t="str">
        <f t="shared" si="3"/>
        <v>0</v>
      </c>
      <c r="X7" s="233" t="str">
        <f t="shared" si="1"/>
        <v>00</v>
      </c>
      <c r="Y7" s="230" t="str">
        <f t="shared" si="4"/>
        <v>0 рублей 00 копеек</v>
      </c>
      <c r="Z7" s="453"/>
      <c r="AA7" s="109"/>
      <c r="AB7" s="156"/>
      <c r="AC7" s="156"/>
      <c r="AD7" s="281" t="str">
        <f t="shared" si="2"/>
        <v/>
      </c>
      <c r="AE7" s="32"/>
      <c r="AF7" s="109"/>
      <c r="AG7" s="154"/>
      <c r="AH7" s="155"/>
      <c r="AI7" s="718"/>
    </row>
    <row r="8" spans="1:40" ht="17.149999999999999" customHeight="1" thickTop="1" thickBot="1" x14ac:dyDescent="0.4">
      <c r="A8" s="172" t="s">
        <v>1163</v>
      </c>
      <c r="B8" s="630"/>
      <c r="C8" s="172" t="s">
        <v>1164</v>
      </c>
      <c r="D8" s="166"/>
      <c r="E8" s="739" t="s">
        <v>1744</v>
      </c>
      <c r="F8" s="696"/>
      <c r="G8" s="264" t="s">
        <v>124</v>
      </c>
      <c r="H8" s="25"/>
      <c r="I8" s="264" t="s">
        <v>1747</v>
      </c>
      <c r="J8" s="166"/>
      <c r="K8" s="172" t="s">
        <v>777</v>
      </c>
      <c r="L8" s="265" t="s">
        <v>1753</v>
      </c>
      <c r="M8" s="381"/>
      <c r="N8" s="109"/>
      <c r="O8" s="156"/>
      <c r="P8" s="156"/>
      <c r="Q8" s="281" t="str">
        <f t="shared" si="0"/>
        <v/>
      </c>
      <c r="R8" s="32"/>
      <c r="S8" s="109"/>
      <c r="T8" s="154"/>
      <c r="U8" s="155"/>
      <c r="V8" s="231" t="str">
        <f>LOWER(TRIM(SUBSTITUTE(PROPER(INDEX(n_4,MID(TEXT(W8,n0),1,1)+1)&amp;INDEX(n0x,MID(TEXT(W8,n0),2,1)+1,MID(TEXT(W8,n0),3,1)+1)&amp;IF(-MID(TEXT(W8,n0),1,3),"миллиард"&amp;VLOOKUP(MID(TEXT(W8,n0),3,1)*AND(MID(TEXT(W8,n0),2,1)-1),мил,2),"")&amp;INDEX(n_4,MID(TEXT(W8,n0),4,1)+1)&amp;INDEX(n0x,MID(TEXT(W8,n0),5,1)+1,MID(TEXT(W8,n0),6,1)+1)&amp;IF(-MID(TEXT(W8,n0),4,3),"миллион"&amp;VLOOKUP(MID(TEXT(W8,n0),6,1)*AND(MID(TEXT(W8,n0),5,1)-1),мил,2),"")&amp;INDEX(n_4,MID(TEXT(W8,n0),7,1)+1)&amp;INDEX(n1x,MID(TEXT(W8,n0),8,1)+1,MID(TEXT(W8,n0),9,1)+1)&amp;IF(-MID(TEXT(W8,n0),7,3),VLOOKUP(MID(TEXT(W8,n0),9,1)*AND(MID(TEXT(W8,n0),8,1)-1),тыс,2),"")&amp;INDEX(n_4,MID(TEXT(W8,n0),10,1)+1)&amp;INDEX(IF(-MID(TEXT(W8,n0),14,6),n1x,n0x),MID(TEXT(W8,n0),11,1)+1,MID(TEXT(W8,n0),12,1)+1)),"z"," ")&amp;IF(TRUNC(TEXT(W8,n0)),,"Ноль ")&amp;IF(-MID(TEXT(W8,n0),14,6),IF(MOD(MAX(MOD(MID(TEXT(W8,n0),11,2)-11,100),9),10),"целых ","целая ")&amp;SUBSTITUTE(INDEX(n_4,MID(TEXT(W8,n0),14,6)/10^5+1)&amp;INDEX(n1x,MOD(MID(TEXT(W8,n0),14,6)/10^4,10)+1,MOD(MID(TEXT(W8,n0),14,6)/1000,10)+1)&amp;IF(INT(MID(TEXT(W8,n0),14,6)/1000),VLOOKUP(MOD(MID(TEXT(W8,n0),14,6)/1000,10)*(MOD(INT(MID(TEXT(W8,n0),14,6)/10^4),10)&lt;&gt;1),тыс,2),"")&amp;INDEX(n_4,MOD(MID(TEXT(W8,n0),14,6)/100,10)+1)&amp;INDEX(n1x,MOD(MID(TEXT(W8,n0),14,6)/10,10)+1,MOD(MID(TEXT(W8,n0),14,6),10)+1),"z"," ")&amp;INDEX(доля,LEN(MID(TEXT(W8,n0),14,6)),(MOD(MAX(MOD(MID(TEXT(W8,n0),14,6)-11,100),9),10)&gt;0)+1),)))</f>
        <v>ноль</v>
      </c>
      <c r="W8" s="232" t="str">
        <f t="shared" si="3"/>
        <v>0</v>
      </c>
      <c r="X8" s="233" t="str">
        <f t="shared" si="1"/>
        <v>00</v>
      </c>
      <c r="Y8" s="230" t="str">
        <f t="shared" si="4"/>
        <v>0 рублей 00 копеек</v>
      </c>
      <c r="Z8" s="453"/>
      <c r="AA8" s="109"/>
      <c r="AB8" s="156"/>
      <c r="AC8" s="156"/>
      <c r="AD8" s="281" t="str">
        <f t="shared" si="2"/>
        <v/>
      </c>
      <c r="AE8" s="32"/>
      <c r="AF8" s="109"/>
      <c r="AG8" s="154"/>
      <c r="AH8" s="155"/>
      <c r="AI8" s="718"/>
    </row>
    <row r="9" spans="1:40" s="42" customFormat="1" ht="17.149999999999999" customHeight="1" thickTop="1" thickBot="1" x14ac:dyDescent="0.4">
      <c r="A9" s="777" t="s">
        <v>116</v>
      </c>
      <c r="B9" s="778"/>
      <c r="C9" s="778"/>
      <c r="D9" s="778"/>
      <c r="E9" s="778"/>
      <c r="F9" s="778"/>
      <c r="G9" s="778"/>
      <c r="H9" s="778"/>
      <c r="I9" s="779"/>
      <c r="K9" s="42" t="b">
        <v>0</v>
      </c>
      <c r="L9" s="25"/>
      <c r="M9" s="381"/>
      <c r="N9" s="109"/>
      <c r="O9" s="156"/>
      <c r="P9" s="156"/>
      <c r="Q9" s="281" t="str">
        <f t="shared" si="0"/>
        <v/>
      </c>
      <c r="R9" s="32"/>
      <c r="S9" s="109"/>
      <c r="T9" s="154"/>
      <c r="U9" s="155"/>
      <c r="V9" s="231" t="str">
        <f>LOWER(TRIM(SUBSTITUTE(PROPER(INDEX(n_4,MID(TEXT(W9,n0),1,1)+1)&amp;INDEX(n0x,MID(TEXT(W9,n0),2,1)+1,MID(TEXT(W9,n0),3,1)+1)&amp;IF(-MID(TEXT(W9,n0),1,3),"миллиард"&amp;VLOOKUP(MID(TEXT(W9,n0),3,1)*AND(MID(TEXT(W9,n0),2,1)-1),мил,2),"")&amp;INDEX(n_4,MID(TEXT(W9,n0),4,1)+1)&amp;INDEX(n0x,MID(TEXT(W9,n0),5,1)+1,MID(TEXT(W9,n0),6,1)+1)&amp;IF(-MID(TEXT(W9,n0),4,3),"миллион"&amp;VLOOKUP(MID(TEXT(W9,n0),6,1)*AND(MID(TEXT(W9,n0),5,1)-1),мил,2),"")&amp;INDEX(n_4,MID(TEXT(W9,n0),7,1)+1)&amp;INDEX(n1x,MID(TEXT(W9,n0),8,1)+1,MID(TEXT(W9,n0),9,1)+1)&amp;IF(-MID(TEXT(W9,n0),7,3),VLOOKUP(MID(TEXT(W9,n0),9,1)*AND(MID(TEXT(W9,n0),8,1)-1),тыс,2),"")&amp;INDEX(n_4,MID(TEXT(W9,n0),10,1)+1)&amp;INDEX(IF(-MID(TEXT(W9,n0),14,6),n1x,n0x),MID(TEXT(W9,n0),11,1)+1,MID(TEXT(W9,n0),12,1)+1)),"z"," ")&amp;IF(TRUNC(TEXT(W9,n0)),,"Ноль ")&amp;IF(-MID(TEXT(W9,n0),14,6),IF(MOD(MAX(MOD(MID(TEXT(W9,n0),11,2)-11,100),9),10),"целых ","целая ")&amp;SUBSTITUTE(INDEX(n_4,MID(TEXT(W9,n0),14,6)/10^5+1)&amp;INDEX(n1x,MOD(MID(TEXT(W9,n0),14,6)/10^4,10)+1,MOD(MID(TEXT(W9,n0),14,6)/1000,10)+1)&amp;IF(INT(MID(TEXT(W9,n0),14,6)/1000),VLOOKUP(MOD(MID(TEXT(W9,n0),14,6)/1000,10)*(MOD(INT(MID(TEXT(W9,n0),14,6)/10^4),10)&lt;&gt;1),тыс,2),"")&amp;INDEX(n_4,MOD(MID(TEXT(W9,n0),14,6)/100,10)+1)&amp;INDEX(n1x,MOD(MID(TEXT(W9,n0),14,6)/10,10)+1,MOD(MID(TEXT(W9,n0),14,6),10)+1),"z"," ")&amp;INDEX(доля,LEN(MID(TEXT(W9,n0),14,6)),(MOD(MAX(MOD(MID(TEXT(W9,n0),14,6)-11,100),9),10)&gt;0)+1),)))</f>
        <v>ноль</v>
      </c>
      <c r="W9" s="232" t="str">
        <f t="shared" si="3"/>
        <v>0</v>
      </c>
      <c r="X9" s="233" t="str">
        <f t="shared" si="1"/>
        <v>00</v>
      </c>
      <c r="Y9" s="230" t="str">
        <f t="shared" si="4"/>
        <v>0 рублей 00 копеек</v>
      </c>
      <c r="Z9" s="381"/>
      <c r="AA9" s="109"/>
      <c r="AB9" s="156"/>
      <c r="AC9" s="156"/>
      <c r="AD9" s="281" t="str">
        <f t="shared" si="2"/>
        <v/>
      </c>
      <c r="AE9" s="32"/>
      <c r="AF9" s="109"/>
      <c r="AG9" s="154"/>
      <c r="AH9" s="155"/>
      <c r="AI9" s="719"/>
    </row>
    <row r="10" spans="1:40" ht="17.149999999999999" customHeight="1" thickTop="1" thickBot="1" x14ac:dyDescent="0.4">
      <c r="A10" s="732" t="s">
        <v>117</v>
      </c>
      <c r="B10" s="732" t="s">
        <v>118</v>
      </c>
      <c r="C10" s="732" t="s">
        <v>119</v>
      </c>
      <c r="D10" s="732" t="s">
        <v>12</v>
      </c>
      <c r="E10" s="36" t="s">
        <v>120</v>
      </c>
      <c r="F10" s="37" t="s">
        <v>121</v>
      </c>
      <c r="G10" s="732" t="s">
        <v>122</v>
      </c>
      <c r="H10" s="732" t="s">
        <v>123</v>
      </c>
      <c r="I10" s="732" t="s">
        <v>124</v>
      </c>
      <c r="K10" s="51" t="b">
        <v>0</v>
      </c>
      <c r="L10" s="265" t="s">
        <v>670</v>
      </c>
      <c r="M10" s="381"/>
      <c r="N10" s="109"/>
      <c r="O10" s="156"/>
      <c r="P10" s="156"/>
      <c r="Q10" s="281" t="str">
        <f t="shared" si="0"/>
        <v/>
      </c>
      <c r="R10" s="32"/>
      <c r="S10" s="109"/>
      <c r="T10" s="154"/>
      <c r="U10" s="155"/>
      <c r="V10" s="231" t="str">
        <f>LOWER(TRIM(SUBSTITUTE(PROPER(INDEX(n_4,MID(TEXT(W10,n0),1,1)+1)&amp;INDEX(n0x,MID(TEXT(W10,n0),2,1)+1,MID(TEXT(W10,n0),3,1)+1)&amp;IF(-MID(TEXT(W10,n0),1,3),"миллиард"&amp;VLOOKUP(MID(TEXT(W10,n0),3,1)*AND(MID(TEXT(W10,n0),2,1)-1),мил,2),"")&amp;INDEX(n_4,MID(TEXT(W10,n0),4,1)+1)&amp;INDEX(n0x,MID(TEXT(W10,n0),5,1)+1,MID(TEXT(W10,n0),6,1)+1)&amp;IF(-MID(TEXT(W10,n0),4,3),"миллион"&amp;VLOOKUP(MID(TEXT(W10,n0),6,1)*AND(MID(TEXT(W10,n0),5,1)-1),мил,2),"")&amp;INDEX(n_4,MID(TEXT(W10,n0),7,1)+1)&amp;INDEX(n1x,MID(TEXT(W10,n0),8,1)+1,MID(TEXT(W10,n0),9,1)+1)&amp;IF(-MID(TEXT(W10,n0),7,3),VLOOKUP(MID(TEXT(W10,n0),9,1)*AND(MID(TEXT(W10,n0),8,1)-1),тыс,2),"")&amp;INDEX(n_4,MID(TEXT(W10,n0),10,1)+1)&amp;INDEX(IF(-MID(TEXT(W10,n0),14,6),n1x,n0x),MID(TEXT(W10,n0),11,1)+1,MID(TEXT(W10,n0),12,1)+1)),"z"," ")&amp;IF(TRUNC(TEXT(W10,n0)),,"Ноль ")&amp;IF(-MID(TEXT(W10,n0),14,6),IF(MOD(MAX(MOD(MID(TEXT(W10,n0),11,2)-11,100),9),10),"целых ","целая ")&amp;SUBSTITUTE(INDEX(n_4,MID(TEXT(W10,n0),14,6)/10^5+1)&amp;INDEX(n1x,MOD(MID(TEXT(W10,n0),14,6)/10^4,10)+1,MOD(MID(TEXT(W10,n0),14,6)/1000,10)+1)&amp;IF(INT(MID(TEXT(W10,n0),14,6)/1000),VLOOKUP(MOD(MID(TEXT(W10,n0),14,6)/1000,10)*(MOD(INT(MID(TEXT(W10,n0),14,6)/10^4),10)&lt;&gt;1),тыс,2),"")&amp;INDEX(n_4,MOD(MID(TEXT(W10,n0),14,6)/100,10)+1)&amp;INDEX(n1x,MOD(MID(TEXT(W10,n0),14,6)/10,10)+1,MOD(MID(TEXT(W10,n0),14,6),10)+1),"z"," ")&amp;INDEX(доля,LEN(MID(TEXT(W10,n0),14,6)),(MOD(MAX(MOD(MID(TEXT(W10,n0),14,6)-11,100),9),10)&gt;0)+1),)))</f>
        <v>ноль</v>
      </c>
      <c r="W10" s="232" t="str">
        <f t="shared" si="3"/>
        <v>0</v>
      </c>
      <c r="X10" s="233" t="str">
        <f t="shared" si="1"/>
        <v>00</v>
      </c>
      <c r="Y10" s="230" t="str">
        <f t="shared" si="4"/>
        <v>0 рублей 00 копеек</v>
      </c>
      <c r="Z10" s="381"/>
      <c r="AA10" s="109"/>
      <c r="AB10" s="156"/>
      <c r="AC10" s="156"/>
      <c r="AD10" s="281" t="str">
        <f t="shared" si="2"/>
        <v/>
      </c>
      <c r="AE10" s="32"/>
      <c r="AF10" s="109"/>
      <c r="AG10" s="154"/>
      <c r="AH10" s="155"/>
      <c r="AI10" s="718"/>
    </row>
    <row r="11" spans="1:40" ht="18" customHeight="1" thickTop="1" thickBot="1" x14ac:dyDescent="0.4">
      <c r="A11" s="158"/>
      <c r="B11" s="631"/>
      <c r="C11" s="158"/>
      <c r="D11" s="35"/>
      <c r="E11" s="651"/>
      <c r="F11" s="697"/>
      <c r="G11" s="24"/>
      <c r="H11" s="253"/>
      <c r="I11" s="25"/>
      <c r="L11" s="25"/>
      <c r="M11" s="381"/>
      <c r="N11" s="109"/>
      <c r="O11" s="156"/>
      <c r="P11" s="156"/>
      <c r="Q11" s="281" t="str">
        <f t="shared" si="0"/>
        <v/>
      </c>
      <c r="R11" s="32"/>
      <c r="S11" s="109"/>
      <c r="T11" s="154"/>
      <c r="U11" s="155"/>
      <c r="V11" s="231" t="str">
        <f>LOWER(TRIM(SUBSTITUTE(PROPER(INDEX(n_4,MID(TEXT(W11,n0),1,1)+1)&amp;INDEX(n0x,MID(TEXT(W11,n0),2,1)+1,MID(TEXT(W11,n0),3,1)+1)&amp;IF(-MID(TEXT(W11,n0),1,3),"миллиард"&amp;VLOOKUP(MID(TEXT(W11,n0),3,1)*AND(MID(TEXT(W11,n0),2,1)-1),мил,2),"")&amp;INDEX(n_4,MID(TEXT(W11,n0),4,1)+1)&amp;INDEX(n0x,MID(TEXT(W11,n0),5,1)+1,MID(TEXT(W11,n0),6,1)+1)&amp;IF(-MID(TEXT(W11,n0),4,3),"миллион"&amp;VLOOKUP(MID(TEXT(W11,n0),6,1)*AND(MID(TEXT(W11,n0),5,1)-1),мил,2),"")&amp;INDEX(n_4,MID(TEXT(W11,n0),7,1)+1)&amp;INDEX(n1x,MID(TEXT(W11,n0),8,1)+1,MID(TEXT(W11,n0),9,1)+1)&amp;IF(-MID(TEXT(W11,n0),7,3),VLOOKUP(MID(TEXT(W11,n0),9,1)*AND(MID(TEXT(W11,n0),8,1)-1),тыс,2),"")&amp;INDEX(n_4,MID(TEXT(W11,n0),10,1)+1)&amp;INDEX(IF(-MID(TEXT(W11,n0),14,6),n1x,n0x),MID(TEXT(W11,n0),11,1)+1,MID(TEXT(W11,n0),12,1)+1)),"z"," ")&amp;IF(TRUNC(TEXT(W11,n0)),,"Ноль ")&amp;IF(-MID(TEXT(W11,n0),14,6),IF(MOD(MAX(MOD(MID(TEXT(W11,n0),11,2)-11,100),9),10),"целых ","целая ")&amp;SUBSTITUTE(INDEX(n_4,MID(TEXT(W11,n0),14,6)/10^5+1)&amp;INDEX(n1x,MOD(MID(TEXT(W11,n0),14,6)/10^4,10)+1,MOD(MID(TEXT(W11,n0),14,6)/1000,10)+1)&amp;IF(INT(MID(TEXT(W11,n0),14,6)/1000),VLOOKUP(MOD(MID(TEXT(W11,n0),14,6)/1000,10)*(MOD(INT(MID(TEXT(W11,n0),14,6)/10^4),10)&lt;&gt;1),тыс,2),"")&amp;INDEX(n_4,MOD(MID(TEXT(W11,n0),14,6)/100,10)+1)&amp;INDEX(n1x,MOD(MID(TEXT(W11,n0),14,6)/10,10)+1,MOD(MID(TEXT(W11,n0),14,6),10)+1),"z"," ")&amp;INDEX(доля,LEN(MID(TEXT(W11,n0),14,6)),(MOD(MAX(MOD(MID(TEXT(W11,n0),14,6)-11,100),9),10)&gt;0)+1),)))</f>
        <v>ноль</v>
      </c>
      <c r="W11" s="232" t="str">
        <f t="shared" si="3"/>
        <v>0</v>
      </c>
      <c r="X11" s="233" t="str">
        <f t="shared" si="1"/>
        <v>00</v>
      </c>
      <c r="Y11" s="230" t="str">
        <f t="shared" si="4"/>
        <v>0 рублей 00 копеек</v>
      </c>
      <c r="Z11" s="381"/>
      <c r="AA11" s="109"/>
      <c r="AB11" s="156"/>
      <c r="AC11" s="156"/>
      <c r="AD11" s="281" t="str">
        <f t="shared" si="2"/>
        <v/>
      </c>
      <c r="AE11" s="32"/>
      <c r="AF11" s="109"/>
      <c r="AG11" s="154"/>
      <c r="AH11" s="155"/>
      <c r="AI11" s="718"/>
    </row>
    <row r="12" spans="1:40" ht="17.149999999999999" customHeight="1" thickTop="1" thickBot="1" x14ac:dyDescent="0.4">
      <c r="A12" s="172" t="s">
        <v>1093</v>
      </c>
      <c r="B12" s="159"/>
      <c r="C12" s="172" t="s">
        <v>1162</v>
      </c>
      <c r="D12" s="161"/>
      <c r="E12" s="739" t="s">
        <v>1165</v>
      </c>
      <c r="F12" s="698"/>
      <c r="G12" s="264" t="s">
        <v>1743</v>
      </c>
      <c r="H12" s="166"/>
      <c r="I12" s="29"/>
      <c r="J12" s="845" t="s">
        <v>801</v>
      </c>
      <c r="K12" s="845"/>
      <c r="L12" s="846"/>
      <c r="M12" s="381"/>
      <c r="N12" s="110"/>
      <c r="O12" s="152"/>
      <c r="P12" s="152"/>
      <c r="Q12" s="281" t="str">
        <f t="shared" si="0"/>
        <v/>
      </c>
      <c r="R12" s="32"/>
      <c r="S12" s="110"/>
      <c r="T12" s="152"/>
      <c r="U12" s="153"/>
      <c r="V12" s="234" t="str">
        <f>LOWER(TRIM(SUBSTITUTE(PROPER(INDEX(n_4,MID(TEXT(W12,n0),1,1)+1)&amp;INDEX(n0x,MID(TEXT(W12,n0),2,1)+1,MID(TEXT(W12,n0),3,1)+1)&amp;IF(-MID(TEXT(W12,n0),1,3),"миллиард"&amp;VLOOKUP(MID(TEXT(W12,n0),3,1)*AND(MID(TEXT(W12,n0),2,1)-1),мил,2),"")&amp;INDEX(n_4,MID(TEXT(W12,n0),4,1)+1)&amp;INDEX(n0x,MID(TEXT(W12,n0),5,1)+1,MID(TEXT(W12,n0),6,1)+1)&amp;IF(-MID(TEXT(W12,n0),4,3),"миллион"&amp;VLOOKUP(MID(TEXT(W12,n0),6,1)*AND(MID(TEXT(W12,n0),5,1)-1),мил,2),"")&amp;INDEX(n_4,MID(TEXT(W12,n0),7,1)+1)&amp;INDEX(n1x,MID(TEXT(W12,n0),8,1)+1,MID(TEXT(W12,n0),9,1)+1)&amp;IF(-MID(TEXT(W12,n0),7,3),VLOOKUP(MID(TEXT(W12,n0),9,1)*AND(MID(TEXT(W12,n0),8,1)-1),тыс,2),"")&amp;INDEX(n_4,MID(TEXT(W12,n0),10,1)+1)&amp;INDEX(IF(-MID(TEXT(W12,n0),14,6),n1x,n0x),MID(TEXT(W12,n0),11,1)+1,MID(TEXT(W12,n0),12,1)+1)),"z"," ")&amp;IF(TRUNC(TEXT(W12,n0)),,"Ноль ")&amp;IF(-MID(TEXT(W12,n0),14,6),IF(MOD(MAX(MOD(MID(TEXT(W12,n0),11,2)-11,100),9),10),"целых ","целая ")&amp;SUBSTITUTE(INDEX(n_4,MID(TEXT(W12,n0),14,6)/10^5+1)&amp;INDEX(n1x,MOD(MID(TEXT(W12,n0),14,6)/10^4,10)+1,MOD(MID(TEXT(W12,n0),14,6)/1000,10)+1)&amp;IF(INT(MID(TEXT(W12,n0),14,6)/1000),VLOOKUP(MOD(MID(TEXT(W12,n0),14,6)/1000,10)*(MOD(INT(MID(TEXT(W12,n0),14,6)/10^4),10)&lt;&gt;1),тыс,2),"")&amp;INDEX(n_4,MOD(MID(TEXT(W12,n0),14,6)/100,10)+1)&amp;INDEX(n1x,MOD(MID(TEXT(W12,n0),14,6)/10,10)+1,MOD(MID(TEXT(W12,n0),14,6),10)+1),"z"," ")&amp;INDEX(доля,LEN(MID(TEXT(W12,n0),14,6)),(MOD(MAX(MOD(MID(TEXT(W12,n0),14,6)-11,100),9),10)&gt;0)+1),)))</f>
        <v>ноль</v>
      </c>
      <c r="W12" s="235" t="str">
        <f t="shared" si="3"/>
        <v>0</v>
      </c>
      <c r="X12" s="236" t="str">
        <f t="shared" si="1"/>
        <v>00</v>
      </c>
      <c r="Y12" s="237" t="str">
        <f t="shared" si="4"/>
        <v>0 рублей 00 копеек</v>
      </c>
      <c r="Z12" s="381"/>
      <c r="AA12" s="110"/>
      <c r="AB12" s="152"/>
      <c r="AC12" s="152"/>
      <c r="AD12" s="281" t="str">
        <f t="shared" si="2"/>
        <v/>
      </c>
      <c r="AE12" s="32"/>
      <c r="AF12" s="110"/>
      <c r="AG12" s="152"/>
      <c r="AH12" s="153"/>
      <c r="AI12" s="718"/>
    </row>
    <row r="13" spans="1:40" s="42" customFormat="1" ht="17.149999999999999" customHeight="1" thickTop="1" thickBot="1" x14ac:dyDescent="0.4">
      <c r="A13" s="780" t="s">
        <v>125</v>
      </c>
      <c r="B13" s="781"/>
      <c r="C13" s="781"/>
      <c r="D13" s="781"/>
      <c r="E13" s="781"/>
      <c r="F13" s="781"/>
      <c r="G13" s="781"/>
      <c r="H13" s="781"/>
      <c r="I13" s="782"/>
      <c r="J13" s="42" t="b">
        <v>0</v>
      </c>
      <c r="K13" s="42" t="b">
        <v>0</v>
      </c>
      <c r="L13" s="692" t="str">
        <f>IF(AND(OR((E243)&gt;400000,(E244)&gt;400000),L11=DRAFT!W2),"НА ЭКСПЕРТИЗУ!","")</f>
        <v/>
      </c>
      <c r="M13" s="171" t="s">
        <v>47</v>
      </c>
      <c r="N13" s="111">
        <f>SUM(N3:N12)</f>
        <v>0</v>
      </c>
      <c r="O13" s="41"/>
      <c r="P13" s="41"/>
      <c r="Q13" s="282" t="str">
        <f>IF(N13=0,"",SUBSTITUTE(TEXT(N13,"# ##0\ рублей ,00\ копеек"),",",))</f>
        <v/>
      </c>
      <c r="R13" s="171" t="s">
        <v>47</v>
      </c>
      <c r="S13" s="111">
        <f>SUM(S3:S12)</f>
        <v>0</v>
      </c>
      <c r="T13" s="41"/>
      <c r="U13" s="111"/>
      <c r="V13" s="238" t="str">
        <f>LOWER(TRIM(SUBSTITUTE(PROPER(INDEX(n_4,MID(TEXT(W13,n0),1,1)+1)&amp;INDEX(n0x,MID(TEXT(W13,n0),2,1)+1,MID(TEXT(W13,n0),3,1)+1)&amp;IF(-MID(TEXT(W13,n0),1,3),"миллиард"&amp;VLOOKUP(MID(TEXT(W13,n0),3,1)*AND(MID(TEXT(W13,n0),2,1)-1),мил,2),"")&amp;INDEX(n_4,MID(TEXT(W13,n0),4,1)+1)&amp;INDEX(n0x,MID(TEXT(W13,n0),5,1)+1,MID(TEXT(W13,n0),6,1)+1)&amp;IF(-MID(TEXT(W13,n0),4,3),"миллион"&amp;VLOOKUP(MID(TEXT(W13,n0),6,1)*AND(MID(TEXT(W13,n0),5,1)-1),мил,2),"")&amp;INDEX(n_4,MID(TEXT(W13,n0),7,1)+1)&amp;INDEX(n1x,MID(TEXT(W13,n0),8,1)+1,MID(TEXT(W13,n0),9,1)+1)&amp;IF(-MID(TEXT(W13,n0),7,3),VLOOKUP(MID(TEXT(W13,n0),9,1)*AND(MID(TEXT(W13,n0),8,1)-1),тыс,2),"")&amp;INDEX(n_4,MID(TEXT(W13,n0),10,1)+1)&amp;INDEX(IF(-MID(TEXT(W13,n0),14,6),n1x,n0x),MID(TEXT(W13,n0),11,1)+1,MID(TEXT(W13,n0),12,1)+1)),"z"," ")&amp;IF(TRUNC(TEXT(W13,n0)),,"Ноль ")&amp;IF(-MID(TEXT(W13,n0),14,6),IF(MOD(MAX(MOD(MID(TEXT(W13,n0),11,2)-11,100),9),10),"целых ","целая ")&amp;SUBSTITUTE(INDEX(n_4,MID(TEXT(W13,n0),14,6)/10^5+1)&amp;INDEX(n1x,MOD(MID(TEXT(W13,n0),14,6)/10^4,10)+1,MOD(MID(TEXT(W13,n0),14,6)/1000,10)+1)&amp;IF(INT(MID(TEXT(W13,n0),14,6)/1000),VLOOKUP(MOD(MID(TEXT(W13,n0),14,6)/1000,10)*(MOD(INT(MID(TEXT(W13,n0),14,6)/10^4),10)&lt;&gt;1),тыс,2),"")&amp;INDEX(n_4,MOD(MID(TEXT(W13,n0),14,6)/100,10)+1)&amp;INDEX(n1x,MOD(MID(TEXT(W13,n0),14,6)/10,10)+1,MOD(MID(TEXT(W13,n0),14,6),10)+1),"z"," ")&amp;INDEX(доля,LEN(MID(TEXT(W13,n0),14,6)),(MOD(MAX(MOD(MID(TEXT(W13,n0),14,6)-11,100),9),10)&gt;0)+1),)))</f>
        <v>ноль</v>
      </c>
      <c r="W13" s="239" t="str">
        <f t="shared" si="3"/>
        <v>0</v>
      </c>
      <c r="X13" s="240" t="str">
        <f t="shared" si="1"/>
        <v>00</v>
      </c>
      <c r="Y13" s="241" t="str">
        <f t="shared" si="4"/>
        <v>0 рублей 00 копеек</v>
      </c>
      <c r="Z13" s="716" t="s">
        <v>47</v>
      </c>
      <c r="AA13" s="111">
        <f>SUM(AA3:AA12)</f>
        <v>195562.85</v>
      </c>
      <c r="AB13" s="41"/>
      <c r="AC13" s="41"/>
      <c r="AD13" s="282" t="str">
        <f>IF(AA13=0,"",SUBSTITUTE(TEXT(AA13,"# ##0\ рублей ,00\ копеек"),",",))</f>
        <v>195 562 рублей 85 копеек</v>
      </c>
      <c r="AE13" s="716" t="s">
        <v>47</v>
      </c>
      <c r="AF13" s="111">
        <f>SUM(AF3:AF12)</f>
        <v>20600</v>
      </c>
      <c r="AG13" s="41"/>
      <c r="AH13" s="111"/>
      <c r="AI13" s="720"/>
    </row>
    <row r="14" spans="1:40" ht="17.149999999999999" customHeight="1" thickTop="1" thickBot="1" x14ac:dyDescent="0.4">
      <c r="A14" s="172" t="s">
        <v>117</v>
      </c>
      <c r="B14" s="628" t="s">
        <v>118</v>
      </c>
      <c r="C14" s="172" t="s">
        <v>126</v>
      </c>
      <c r="D14" s="172" t="s">
        <v>12</v>
      </c>
      <c r="E14" s="682" t="s">
        <v>120</v>
      </c>
      <c r="F14" s="741" t="s">
        <v>121</v>
      </c>
      <c r="G14" s="172" t="s">
        <v>122</v>
      </c>
      <c r="H14" s="172" t="s">
        <v>123</v>
      </c>
      <c r="I14" s="172" t="s">
        <v>124</v>
      </c>
      <c r="J14" s="51" t="b">
        <v>0</v>
      </c>
      <c r="K14" s="51" t="b">
        <v>0</v>
      </c>
    </row>
    <row r="15" spans="1:40" ht="17.149999999999999" customHeight="1" thickTop="1" thickBot="1" x14ac:dyDescent="0.4">
      <c r="A15" s="35"/>
      <c r="B15" s="25"/>
      <c r="C15" s="35"/>
      <c r="D15" s="35"/>
      <c r="E15" s="651"/>
      <c r="F15" s="697"/>
      <c r="G15" s="24"/>
      <c r="H15" s="253"/>
      <c r="I15" s="25"/>
      <c r="J15" s="51" t="b">
        <v>0</v>
      </c>
      <c r="K15" s="43" t="s">
        <v>2008</v>
      </c>
      <c r="L15" s="43" t="s">
        <v>905</v>
      </c>
      <c r="M15" s="130"/>
      <c r="N15" s="64"/>
      <c r="O15" s="808" t="s">
        <v>930</v>
      </c>
      <c r="P15" s="814"/>
      <c r="Q15" s="809"/>
      <c r="R15" s="808" t="s">
        <v>928</v>
      </c>
      <c r="S15" s="814"/>
      <c r="T15" s="809"/>
      <c r="U15" s="774" t="s">
        <v>929</v>
      </c>
      <c r="V15" s="774"/>
      <c r="W15" s="774"/>
      <c r="X15" s="810" t="s">
        <v>5520</v>
      </c>
      <c r="Y15" s="810" t="s">
        <v>5521</v>
      </c>
      <c r="Z15" s="51" t="b">
        <v>0</v>
      </c>
    </row>
    <row r="16" spans="1:40" ht="17.149999999999999" customHeight="1" thickTop="1" thickBot="1" x14ac:dyDescent="0.4">
      <c r="B16" s="51"/>
      <c r="J16" s="51" t="b">
        <v>0</v>
      </c>
      <c r="K16" s="25"/>
      <c r="L16" s="256"/>
      <c r="M16" s="131" t="s">
        <v>151</v>
      </c>
      <c r="N16" s="64"/>
      <c r="O16" s="172" t="s">
        <v>612</v>
      </c>
      <c r="P16" s="808" t="s">
        <v>634</v>
      </c>
      <c r="Q16" s="809"/>
      <c r="R16" s="172" t="s">
        <v>612</v>
      </c>
      <c r="S16" s="808" t="s">
        <v>634</v>
      </c>
      <c r="T16" s="809"/>
      <c r="U16" s="172" t="s">
        <v>612</v>
      </c>
      <c r="V16" s="774" t="s">
        <v>634</v>
      </c>
      <c r="W16" s="774"/>
      <c r="X16" s="811"/>
      <c r="Y16" s="811"/>
    </row>
    <row r="17" spans="1:25" ht="17.149999999999999" customHeight="1" thickTop="1" thickBot="1" x14ac:dyDescent="0.4">
      <c r="A17" s="43" t="s">
        <v>144</v>
      </c>
      <c r="B17" s="29"/>
      <c r="C17" s="818" t="str">
        <f>IFERROR(IF(OR(ISBLANK(A23),ISBLANK(B3)),"",IF((B3-(EDATE(A24,36)))&gt;0,"СРОК ДАВНОСТИ","")),"")</f>
        <v/>
      </c>
      <c r="D17" s="43" t="s">
        <v>925</v>
      </c>
      <c r="E17" s="746" t="s">
        <v>146</v>
      </c>
      <c r="G17" s="808" t="s">
        <v>663</v>
      </c>
      <c r="H17" s="809"/>
      <c r="J17" s="51" t="b">
        <v>0</v>
      </c>
      <c r="L17" s="353">
        <f>IF(L18="",0,IF(AND(L18&gt;DRAFT!U4,L18&lt;DRAFT!U3),IFERROR(INDEX(DRAFT!T:T,MATCH(L16,DRAFT!Q:Q,0),1),0),IF(AND(L18&gt;DRAFT!U5,L18&lt;DRAFT!U4),IFERROR(INDEX(DRAFT!AI:AI,MATCH(L16,DRAFT!Q:Q,0),1),0),IF(L18&gt;DRAFT!U3,"НЕ ПОЛОЖЕНО",IFERROR(INDEX(DRAFT!AI:AI,MATCH(L16,DRAFT!Q:Q,0),1),0)))))</f>
        <v>0</v>
      </c>
      <c r="O17" s="389" t="s">
        <v>48</v>
      </c>
      <c r="P17" s="204">
        <f>IF(J3=DRAFT!P4,C179*D18,IF(J3=DRAFT!P2,IF(J16,I182,I181),0))</f>
        <v>0</v>
      </c>
      <c r="Q17" s="299" t="str">
        <f t="shared" ref="Q17:Q27" si="5">IF(P17=0,"",SUBSTITUTE(TEXT(P17,"# ##0\ рублей ,00\ копеек"),",",))</f>
        <v/>
      </c>
      <c r="R17" s="388" t="s">
        <v>1255</v>
      </c>
      <c r="S17" s="204">
        <f t="shared" ref="S17:S26" si="6">IF(R17=F$34,G$34,IF(R17=F$35,G$35,IF(R17=F$36,G$36,IF(R17=F$37,G$37,IF(R17=F$38,G$38,IF(R17=F$39,G$39,IF(R17=F$40,G$40,IF(R17=F$41,G$41,IF(R17=F$42,G$42,IF(R17=F$43,G$43,0))))))))))+IF(R17=F$60,G$60,IF(R17=F$61,G$61,IF(R17=F$62,G$62,IF(R17=F$63,G$63,IF(R17=F$64,G$64,IF(R17=F$65,G$65,IF(R17=F$66,G$66,IF(R17=F$67,G$67,IF(R17=F$68,G$68,IF(R17=F$69,G$69,0))))))))))+IF(R17=F$86,G$86,IF(R17=F$87,G$87,IF(R17=F$88,G$88,IF(R17=F$89,G$89,IF(R17=F$90,G$90,IF(R17=F$91,G$91,IF(R17=F$92,G$92,IF(R17=F$93,G$93,IF(R17=F$94,G$94,IF(R17=F$95,G$95,0))))))))))+IF(R17=F$112,G$112,IF(R17=F$113,G$113,IF(R17=F$114,G$114,IF(R17=F$115,G$115,IF(R17=F$116,G$116,IF(R17=F$117,G$117,IF(R17=F$118,G$118,IF(R17=F$119,G$119,IF(R17=F$120,G$120,IF(R17=F$121,G$121,0))))))))))+IF(R17=F$138,G$138,IF(R17=F$139,G$139,IF(R17=F$140,G$140,IF(R17=F$141,G$141,IF(R17=F$142,G$142,IF(R17=F$143,G$143,IF(R17=F$144,G$144,IF(R17=F$145,G$145,IF(R17=F$146,G$146,IF(R17=F$147,G$147,0))))))))))+IF(R17=F$164,G$164,IF(R17=F$165,G$165,IF(R17=F$166,G$166,IF(R17=F$167,G$167,IF(R17=F$168,G$168,IF(R17=F$169,G$169,IF(R17=F$170,G$170,IF(R17=F$171,G$171,IF(R17=F$172,G$172,IF(R17=F$173,G$173,0))))))))))</f>
        <v>0</v>
      </c>
      <c r="T17" s="299" t="str">
        <f t="shared" ref="T17:T27" si="7">IF(S17=0,"",SUBSTITUTE(TEXT(S17,"# ##0\ рублей ,00\ копеек"),",",))</f>
        <v/>
      </c>
      <c r="U17" s="389" t="s">
        <v>48</v>
      </c>
      <c r="V17" s="209">
        <f t="shared" ref="V17:V26" si="8">P17-S17</f>
        <v>0</v>
      </c>
      <c r="W17" s="299" t="str">
        <f t="shared" ref="W17:W27" si="9">IF(V17=0,"",SUBSTITUTE(TEXT(V17,"# ##0\ рублей ,00\ копеек"),",",))</f>
        <v/>
      </c>
      <c r="X17" s="415" t="str">
        <f>IF(Z15,IF(OR(K180&lt;10,V17&lt;0,(S17+S18)&gt;=D18,G182="Не соответствуют"),"ОТКАЗ","ВЗЫСКАНИЕ"),"")</f>
        <v/>
      </c>
      <c r="Y17" s="416" t="str">
        <f>IF(Z15,IF(K180&lt;10,"10%",IF(V17&lt;0,"ДОСТАТОЧНО",IF((S17+S18)&gt;=D18,"ЛИМИТ",IF(G182="Не соответствуют","ТРАСА","")))),"")</f>
        <v/>
      </c>
    </row>
    <row r="18" spans="1:25" ht="17.149999999999999" customHeight="1" thickTop="1" thickBot="1" x14ac:dyDescent="0.4">
      <c r="A18" s="44"/>
      <c r="B18" s="30"/>
      <c r="C18" s="819"/>
      <c r="D18" s="749" t="str">
        <f>IF(AND(NOT(ISBLANK(G15)),NOT(J3="")),IF(J3=DRAFT!P2,IF(A19=FALSE,IF(G15&gt;DRAFT!AG3,DRAFT!AF3,DRAFT!AF2),IF(G15&gt;DRAFT!AG6,DRAFT!AF6,DRAFT!AF5)),IF(OR(J3=DRAFT!P4,J3=DRAFT!P5),IF(E18="К ВИНОВНИКУ",IF(A19=FALSE,IF(G15&gt;DRAFT!AG4,DRAFT!AF4,DRAFT!AF7),"НЕ ПОЛОЖЕНО"),"НЕ ТУДА"),"")),"")</f>
        <v/>
      </c>
      <c r="E18" s="653" t="str">
        <f>IF(E7=D15,"К ВИНОВНИКУ",IF(E7=D11,"ПВУ",IF(D11="","","К ВИНОВНИКУ")))</f>
        <v>К ВИНОВНИКУ</v>
      </c>
      <c r="G18" s="37" t="s">
        <v>5</v>
      </c>
      <c r="H18" s="57" t="s">
        <v>634</v>
      </c>
      <c r="J18" s="51" t="b">
        <v>0</v>
      </c>
      <c r="L18" s="354" t="str">
        <f>IF(NOT(ISBLANK(A31)),A31,IF(NOT(ISBLANK(A57)),A57,IF(NOT(ISBLANK(A83)),A83,IF(NOT(ISBLANK(A109)),A109,IF(NOT(ISBLANK(A135)),A135,IF(NOT(ISBLANK(A161)),A161,""))))))</f>
        <v/>
      </c>
      <c r="O18" s="388" t="s">
        <v>50</v>
      </c>
      <c r="P18" s="205">
        <f>J178</f>
        <v>0</v>
      </c>
      <c r="Q18" s="300" t="str">
        <f t="shared" si="5"/>
        <v/>
      </c>
      <c r="R18" s="388" t="s">
        <v>611</v>
      </c>
      <c r="S18" s="206">
        <f t="shared" si="6"/>
        <v>0</v>
      </c>
      <c r="T18" s="300" t="str">
        <f t="shared" si="7"/>
        <v/>
      </c>
      <c r="U18" s="388" t="s">
        <v>50</v>
      </c>
      <c r="V18" s="210">
        <f t="shared" si="8"/>
        <v>0</v>
      </c>
      <c r="W18" s="300" t="str">
        <f t="shared" si="9"/>
        <v/>
      </c>
      <c r="X18" s="417"/>
      <c r="Y18" s="418"/>
    </row>
    <row r="19" spans="1:25" ht="17.149999999999999" customHeight="1" thickTop="1" thickBot="1" x14ac:dyDescent="0.4">
      <c r="A19" s="51" t="b">
        <v>0</v>
      </c>
      <c r="B19" s="51"/>
      <c r="D19" s="242" t="str">
        <f>SUBSTITUTE(TEXT(D18,"# ##0\ рублей ,00\ копеек"),",",)</f>
        <v/>
      </c>
      <c r="G19" s="58"/>
      <c r="H19" s="59"/>
      <c r="I19" s="242" t="str">
        <f>SUBSTITUTE(TEXT(H19,"# ##0\ рублей ,00\ копеек"),",",)</f>
        <v>0 рублей 00 копеек</v>
      </c>
      <c r="N19" s="64"/>
      <c r="O19" s="388" t="s">
        <v>58</v>
      </c>
      <c r="P19" s="206">
        <f>MIN(IF(J18,U42,L35+L61+L87+L113+L139+L165+Q187+Q206),D18)</f>
        <v>0</v>
      </c>
      <c r="Q19" s="300" t="str">
        <f t="shared" si="5"/>
        <v/>
      </c>
      <c r="R19" s="388" t="s">
        <v>463</v>
      </c>
      <c r="S19" s="206">
        <f t="shared" si="6"/>
        <v>0</v>
      </c>
      <c r="T19" s="300" t="str">
        <f t="shared" si="7"/>
        <v/>
      </c>
      <c r="U19" s="388" t="s">
        <v>58</v>
      </c>
      <c r="V19" s="210">
        <f>P19-S19</f>
        <v>0</v>
      </c>
      <c r="W19" s="300" t="str">
        <f t="shared" si="9"/>
        <v/>
      </c>
      <c r="X19" s="419" t="str">
        <f>IF(Z15,IF(V19&gt;0,"ВЗЫСКАНИЕ","ОТКАЗ"),"")</f>
        <v/>
      </c>
      <c r="Y19" s="420"/>
    </row>
    <row r="20" spans="1:25" ht="17.149999999999999" customHeight="1" thickTop="1" thickBot="1" x14ac:dyDescent="0.4">
      <c r="A20" s="820" t="s">
        <v>635</v>
      </c>
      <c r="B20" s="821"/>
      <c r="C20" s="821"/>
      <c r="D20" s="821"/>
      <c r="E20" s="821"/>
      <c r="F20" s="821"/>
      <c r="G20" s="821"/>
      <c r="H20" s="821"/>
      <c r="I20" s="821"/>
      <c r="J20" s="821"/>
      <c r="K20" s="821"/>
      <c r="L20" s="821"/>
      <c r="M20" s="821"/>
      <c r="N20" s="822"/>
      <c r="O20" s="388" t="s">
        <v>83</v>
      </c>
      <c r="P20" s="206">
        <f>IF(L17="НЕ ПОЛОЖЕНО",0,L17)</f>
        <v>0</v>
      </c>
      <c r="Q20" s="300" t="str">
        <f t="shared" si="5"/>
        <v/>
      </c>
      <c r="R20" s="388" t="s">
        <v>1257</v>
      </c>
      <c r="S20" s="206">
        <f t="shared" si="6"/>
        <v>0</v>
      </c>
      <c r="T20" s="300" t="str">
        <f t="shared" si="7"/>
        <v/>
      </c>
      <c r="U20" s="388" t="s">
        <v>83</v>
      </c>
      <c r="V20" s="210">
        <f>IFERROR(P20-S20,0)</f>
        <v>0</v>
      </c>
      <c r="W20" s="300" t="str">
        <f t="shared" si="9"/>
        <v/>
      </c>
      <c r="X20" s="419" t="str">
        <f>IF(Z15,IF(OR(L18&gt;=DRAFT!U3,G182="Не соответствуют",K180&lt;10,V17&lt;0),"ОТКАЗ","ВЗЫСКАНИЕ"),"")</f>
        <v/>
      </c>
      <c r="Y20" s="420" t="str">
        <f>IF(Z15,IF(G182="Не соответствуют","Производные",IF(L18&gt;=DRAFT!U3,"После 01.06.2019",IF(OR(K180&lt;10,V17&lt;0),"Не использованная",""))),"")</f>
        <v/>
      </c>
    </row>
    <row r="21" spans="1:25" ht="17.149999999999999" customHeight="1" outlineLevel="1" thickTop="1" thickBot="1" x14ac:dyDescent="0.4">
      <c r="A21" s="777" t="s">
        <v>146</v>
      </c>
      <c r="B21" s="779"/>
      <c r="C21" s="815" t="s">
        <v>600</v>
      </c>
      <c r="D21" s="816"/>
      <c r="E21" s="817"/>
      <c r="F21" s="780" t="s">
        <v>617</v>
      </c>
      <c r="G21" s="782"/>
      <c r="H21" s="780" t="s">
        <v>601</v>
      </c>
      <c r="I21" s="782"/>
      <c r="J21" s="780" t="s">
        <v>588</v>
      </c>
      <c r="K21" s="781"/>
      <c r="L21" s="781"/>
      <c r="M21" s="781"/>
      <c r="N21" s="782"/>
      <c r="O21" s="388" t="s">
        <v>80</v>
      </c>
      <c r="P21" s="206">
        <f>SUM(L39,L65,L91,L117,L143,L169)</f>
        <v>0</v>
      </c>
      <c r="Q21" s="300" t="str">
        <f t="shared" si="5"/>
        <v/>
      </c>
      <c r="R21" s="388" t="s">
        <v>1256</v>
      </c>
      <c r="S21" s="206">
        <f t="shared" si="6"/>
        <v>0</v>
      </c>
      <c r="T21" s="300" t="str">
        <f t="shared" si="7"/>
        <v/>
      </c>
      <c r="U21" s="388" t="s">
        <v>80</v>
      </c>
      <c r="V21" s="210">
        <f t="shared" si="8"/>
        <v>0</v>
      </c>
      <c r="W21" s="300" t="str">
        <f t="shared" si="9"/>
        <v/>
      </c>
      <c r="X21" s="419" t="str">
        <f>IF(Z15,IF(V21&gt;0,"ВЗЫСКАНИЕ","ОТКАЗ"),"")</f>
        <v/>
      </c>
      <c r="Y21" s="420"/>
    </row>
    <row r="22" spans="1:25" ht="17.149999999999999" customHeight="1" outlineLevel="1" thickTop="1" thickBot="1" x14ac:dyDescent="0.4">
      <c r="A22" s="172" t="s">
        <v>5</v>
      </c>
      <c r="B22" s="628" t="s">
        <v>612</v>
      </c>
      <c r="C22" s="172" t="s">
        <v>5</v>
      </c>
      <c r="D22" s="172" t="s">
        <v>4</v>
      </c>
      <c r="E22" s="739" t="s">
        <v>602</v>
      </c>
      <c r="F22" s="742" t="s">
        <v>5</v>
      </c>
      <c r="G22" s="172" t="s">
        <v>606</v>
      </c>
      <c r="H22" s="172" t="s">
        <v>5</v>
      </c>
      <c r="I22" s="172" t="s">
        <v>603</v>
      </c>
      <c r="J22" s="172" t="s">
        <v>5</v>
      </c>
      <c r="K22" s="172" t="s">
        <v>4</v>
      </c>
      <c r="L22" s="172" t="s">
        <v>604</v>
      </c>
      <c r="M22" s="172" t="s">
        <v>4</v>
      </c>
      <c r="N22" s="172" t="s">
        <v>666</v>
      </c>
      <c r="O22" s="32"/>
      <c r="P22" s="117"/>
      <c r="Q22" s="300" t="str">
        <f t="shared" si="5"/>
        <v/>
      </c>
      <c r="R22" s="32"/>
      <c r="S22" s="206">
        <f t="shared" si="6"/>
        <v>0</v>
      </c>
      <c r="T22" s="300" t="str">
        <f t="shared" si="7"/>
        <v/>
      </c>
      <c r="U22" s="32"/>
      <c r="V22" s="210">
        <f t="shared" si="8"/>
        <v>0</v>
      </c>
      <c r="W22" s="300" t="str">
        <f t="shared" si="9"/>
        <v/>
      </c>
      <c r="X22" s="417"/>
      <c r="Y22" s="418"/>
    </row>
    <row r="23" spans="1:25" ht="17.149999999999999" customHeight="1" outlineLevel="1" thickTop="1" thickBot="1" x14ac:dyDescent="0.4">
      <c r="A23" s="176"/>
      <c r="B23" s="632"/>
      <c r="C23" s="128"/>
      <c r="D23" s="177"/>
      <c r="E23" s="654"/>
      <c r="F23" s="699"/>
      <c r="G23" s="178"/>
      <c r="H23" s="128"/>
      <c r="I23" s="177"/>
      <c r="J23" s="128"/>
      <c r="K23" s="179"/>
      <c r="L23" s="180"/>
      <c r="M23" s="181"/>
      <c r="N23" s="182"/>
      <c r="O23" s="32"/>
      <c r="P23" s="117"/>
      <c r="Q23" s="300" t="str">
        <f t="shared" si="5"/>
        <v/>
      </c>
      <c r="R23" s="32"/>
      <c r="S23" s="206">
        <f t="shared" si="6"/>
        <v>0</v>
      </c>
      <c r="T23" s="300" t="str">
        <f t="shared" si="7"/>
        <v/>
      </c>
      <c r="U23" s="32"/>
      <c r="V23" s="210">
        <f t="shared" si="8"/>
        <v>0</v>
      </c>
      <c r="W23" s="300" t="str">
        <f t="shared" si="9"/>
        <v/>
      </c>
      <c r="X23" s="417"/>
      <c r="Y23" s="418"/>
    </row>
    <row r="24" spans="1:25" ht="17.149999999999999" customHeight="1" outlineLevel="1" thickTop="1" thickBot="1" x14ac:dyDescent="0.4">
      <c r="A24" s="277">
        <f>IF(ISBLANK(C24),IF(WEEKDAY(WORKDAY.INTL(A23,20,"0000000",DRAFT!X2:X123),2)=6,WORKDAY.INTL(A23,20,"0000000",DRAFT!X2:X123)+2,IF(WEEKDAY(WORKDAY.INTL(A23,20,"0000000",DRAFT!X2:X123),2)=7,WORKDAY.INTL(A23,20,"0000000",DRAFT!X2:X123)+1,WORKDAY.INTL(A23,20,"0000000",DRAFT!X2:X123)))+1,IF(WEEKDAY(WORKDAY.INTL(C24,20,"0000000",DRAFT!X2:X123),2)=6,WORKDAY.INTL(C24,20,"0000000",DRAFT!X2:X123)+2,IF(WEEKDAY(WORKDAY.INTL(C24,20,"0000000",DRAFT!X2:X123),2)=7,WORKDAY.INTL(C24,20,"0000000",DRAFT!X2:X123)+1,WORKDAY.INTL(C24,20,"0000000",DRAFT!X2:X123)))+1)</f>
        <v>21</v>
      </c>
      <c r="B24" s="37" t="s">
        <v>6776</v>
      </c>
      <c r="C24" s="128"/>
      <c r="D24" s="303" t="str">
        <f>IF(WEEKDAY(WORKDAY.INTL(A23,20,"0000000",DRAFT!X2:X123),2)=6,"СБТ",IF(WEEKDAY(WORKDAY.INTL(A23,20,"0000000",DRAFT!X2:X123),2)=7,"ВКС",""))</f>
        <v/>
      </c>
      <c r="E24" s="655"/>
      <c r="F24" s="700"/>
      <c r="G24"/>
      <c r="H24"/>
      <c r="I24" s="105"/>
      <c r="J24" s="105"/>
      <c r="K24" s="105"/>
      <c r="L24" s="132"/>
      <c r="M24" s="172" t="s">
        <v>5516</v>
      </c>
      <c r="O24" s="32"/>
      <c r="P24" s="117"/>
      <c r="Q24" s="300" t="str">
        <f t="shared" si="5"/>
        <v/>
      </c>
      <c r="R24" s="32"/>
      <c r="S24" s="206">
        <f t="shared" si="6"/>
        <v>0</v>
      </c>
      <c r="T24" s="300" t="str">
        <f t="shared" si="7"/>
        <v/>
      </c>
      <c r="U24" s="32"/>
      <c r="V24" s="210">
        <f t="shared" si="8"/>
        <v>0</v>
      </c>
      <c r="W24" s="300" t="str">
        <f t="shared" si="9"/>
        <v/>
      </c>
      <c r="X24" s="417"/>
      <c r="Y24" s="418"/>
    </row>
    <row r="25" spans="1:25" ht="17.149999999999999" customHeight="1" outlineLevel="1" thickTop="1" thickBot="1" x14ac:dyDescent="0.4">
      <c r="A25" s="815" t="s">
        <v>636</v>
      </c>
      <c r="B25" s="816"/>
      <c r="C25" s="816"/>
      <c r="D25" s="816"/>
      <c r="E25" s="816"/>
      <c r="F25" s="816"/>
      <c r="G25" s="816"/>
      <c r="H25" s="817"/>
      <c r="I25" s="815" t="s">
        <v>637</v>
      </c>
      <c r="J25" s="816"/>
      <c r="K25" s="816"/>
      <c r="L25" s="817"/>
      <c r="M25" s="24"/>
      <c r="O25" s="32"/>
      <c r="P25" s="117"/>
      <c r="Q25" s="300" t="str">
        <f t="shared" si="5"/>
        <v/>
      </c>
      <c r="R25" s="32"/>
      <c r="S25" s="206">
        <f t="shared" si="6"/>
        <v>0</v>
      </c>
      <c r="T25" s="300" t="str">
        <f t="shared" si="7"/>
        <v/>
      </c>
      <c r="U25" s="32"/>
      <c r="V25" s="210">
        <f t="shared" si="8"/>
        <v>0</v>
      </c>
      <c r="W25" s="300" t="str">
        <f t="shared" si="9"/>
        <v/>
      </c>
      <c r="X25" s="417"/>
      <c r="Y25" s="418"/>
    </row>
    <row r="26" spans="1:25" ht="17.149999999999999" customHeight="1" outlineLevel="1" thickTop="1" thickBot="1" x14ac:dyDescent="0.4">
      <c r="A26" s="172" t="s">
        <v>5</v>
      </c>
      <c r="B26" s="679" t="s">
        <v>4</v>
      </c>
      <c r="C26" s="183" t="s">
        <v>606</v>
      </c>
      <c r="D26" s="183" t="s">
        <v>607</v>
      </c>
      <c r="E26" s="743" t="s">
        <v>608</v>
      </c>
      <c r="F26" s="743" t="s">
        <v>609</v>
      </c>
      <c r="G26" s="183" t="s">
        <v>610</v>
      </c>
      <c r="H26" s="183" t="s">
        <v>618</v>
      </c>
      <c r="I26" s="172" t="s">
        <v>5</v>
      </c>
      <c r="J26" s="172" t="s">
        <v>4</v>
      </c>
      <c r="K26" s="183" t="s">
        <v>606</v>
      </c>
      <c r="L26" s="183" t="s">
        <v>611</v>
      </c>
      <c r="O26" s="115"/>
      <c r="P26" s="117"/>
      <c r="Q26" s="301" t="str">
        <f t="shared" si="5"/>
        <v/>
      </c>
      <c r="R26" s="32"/>
      <c r="S26" s="207">
        <f t="shared" si="6"/>
        <v>0</v>
      </c>
      <c r="T26" s="301" t="str">
        <f t="shared" si="7"/>
        <v/>
      </c>
      <c r="U26" s="115"/>
      <c r="V26" s="211">
        <f t="shared" si="8"/>
        <v>0</v>
      </c>
      <c r="W26" s="301" t="str">
        <f t="shared" si="9"/>
        <v/>
      </c>
      <c r="X26" s="421"/>
      <c r="Y26" s="422"/>
    </row>
    <row r="27" spans="1:25" ht="17.149999999999999" customHeight="1" outlineLevel="1" thickTop="1" thickBot="1" x14ac:dyDescent="0.4">
      <c r="A27" s="128"/>
      <c r="B27" s="684"/>
      <c r="C27" s="165"/>
      <c r="D27" s="184"/>
      <c r="E27" s="656"/>
      <c r="F27" s="656"/>
      <c r="G27" s="184"/>
      <c r="H27" s="185"/>
      <c r="I27" s="24"/>
      <c r="J27" s="181"/>
      <c r="K27" s="181"/>
      <c r="L27" s="186"/>
      <c r="M27" s="243">
        <f>F27-G27</f>
        <v>0</v>
      </c>
      <c r="O27" s="171" t="s">
        <v>47</v>
      </c>
      <c r="P27" s="207">
        <f>SUM(P17:P26)</f>
        <v>0</v>
      </c>
      <c r="Q27" s="282" t="str">
        <f t="shared" si="5"/>
        <v/>
      </c>
      <c r="R27" s="171" t="s">
        <v>47</v>
      </c>
      <c r="S27" s="208">
        <f>SUM(S17:S26)</f>
        <v>0</v>
      </c>
      <c r="T27" s="282" t="str">
        <f t="shared" si="7"/>
        <v/>
      </c>
      <c r="U27" s="171" t="s">
        <v>47</v>
      </c>
      <c r="V27" s="212">
        <f>SUM(V17:V26)</f>
        <v>0</v>
      </c>
      <c r="W27" s="282" t="str">
        <f t="shared" si="9"/>
        <v/>
      </c>
    </row>
    <row r="28" spans="1:25" ht="17.149999999999999" customHeight="1" outlineLevel="1" thickTop="1" thickBot="1" x14ac:dyDescent="0.4">
      <c r="A28" s="133"/>
      <c r="C28" s="105"/>
      <c r="D28" s="242" t="str">
        <f>SUBSTITUTE(TEXT(D27,"# ##0\ рублей ,00\ копеек"),",",)</f>
        <v>0 рублей 00 копеек</v>
      </c>
      <c r="E28" s="657" t="str">
        <f>SUBSTITUTE(TEXT(E27,"# ##0\ рублей ,00\ копеек"),",",)</f>
        <v>0 рублей 00 копеек</v>
      </c>
      <c r="F28" s="657" t="str">
        <f>SUBSTITUTE(TEXT(F27,"# ##0\ рублей ,00\ копеек"),",",)</f>
        <v>0 рублей 00 копеек</v>
      </c>
      <c r="G28" s="242" t="str">
        <f>SUBSTITUTE(TEXT(G27,"# ##0\ рублей ,00\ копеек"),",",)</f>
        <v>0 рублей 00 копеек</v>
      </c>
      <c r="H28" s="105"/>
      <c r="I28" s="105"/>
      <c r="J28" s="105"/>
      <c r="K28" s="105"/>
      <c r="L28" s="242" t="str">
        <f>SUBSTITUTE(TEXT(L27,"# ##0\ рублей ,00\ копеек"),",",)</f>
        <v>0 рублей 00 копеек</v>
      </c>
      <c r="M28" s="242" t="str">
        <f>SUBSTITUTE(TEXT(M27,"# ##0\ рублей ,00\ копеек"),",",)</f>
        <v>0 рублей 00 копеек</v>
      </c>
    </row>
    <row r="29" spans="1:25" ht="17.149999999999999" customHeight="1" outlineLevel="1" thickTop="1" thickBot="1" x14ac:dyDescent="0.4">
      <c r="A29" s="823" t="s">
        <v>620</v>
      </c>
      <c r="B29" s="824"/>
      <c r="C29" s="824"/>
      <c r="D29" s="824"/>
      <c r="E29" s="824"/>
      <c r="F29" s="824"/>
      <c r="G29" s="824"/>
      <c r="H29" s="825"/>
      <c r="I29" s="823" t="s">
        <v>621</v>
      </c>
      <c r="J29" s="824"/>
      <c r="K29" s="824"/>
      <c r="L29" s="825"/>
      <c r="N29" s="774" t="s">
        <v>1130</v>
      </c>
      <c r="O29" s="774"/>
      <c r="P29" s="774"/>
      <c r="Q29" s="774"/>
      <c r="R29" s="774"/>
      <c r="S29" s="774"/>
      <c r="T29" s="774"/>
      <c r="U29" s="774"/>
      <c r="V29" s="774"/>
    </row>
    <row r="30" spans="1:25" ht="17.149999999999999" customHeight="1" outlineLevel="1" thickTop="1" thickBot="1" x14ac:dyDescent="0.4">
      <c r="A30" s="172" t="s">
        <v>5</v>
      </c>
      <c r="B30" s="679" t="s">
        <v>4</v>
      </c>
      <c r="C30" s="183" t="s">
        <v>606</v>
      </c>
      <c r="D30" s="183" t="s">
        <v>607</v>
      </c>
      <c r="E30" s="743" t="s">
        <v>608</v>
      </c>
      <c r="F30" s="743" t="s">
        <v>609</v>
      </c>
      <c r="G30" s="183" t="s">
        <v>610</v>
      </c>
      <c r="H30" s="183" t="s">
        <v>618</v>
      </c>
      <c r="I30" s="172" t="s">
        <v>5</v>
      </c>
      <c r="J30" s="172" t="s">
        <v>4</v>
      </c>
      <c r="K30" s="183" t="s">
        <v>606</v>
      </c>
      <c r="L30" s="183" t="s">
        <v>611</v>
      </c>
      <c r="N30" s="774" t="s">
        <v>601</v>
      </c>
      <c r="O30" s="774"/>
      <c r="P30" s="774"/>
      <c r="Q30" s="172" t="s">
        <v>1131</v>
      </c>
      <c r="R30" s="172" t="s">
        <v>1132</v>
      </c>
      <c r="S30" s="172" t="s">
        <v>1133</v>
      </c>
      <c r="T30" s="172" t="s">
        <v>1134</v>
      </c>
      <c r="U30" s="774" t="s">
        <v>634</v>
      </c>
      <c r="V30" s="774"/>
    </row>
    <row r="31" spans="1:25" ht="17.149999999999999" customHeight="1" outlineLevel="1" thickTop="1" x14ac:dyDescent="0.35">
      <c r="A31" s="187"/>
      <c r="B31" s="684"/>
      <c r="C31" s="165"/>
      <c r="D31" s="184"/>
      <c r="E31" s="656"/>
      <c r="F31" s="656"/>
      <c r="G31" s="184"/>
      <c r="H31" s="185"/>
      <c r="I31" s="24"/>
      <c r="J31" s="181"/>
      <c r="K31" s="181"/>
      <c r="L31" s="186"/>
      <c r="M31" s="243">
        <f>F31-G31</f>
        <v>0</v>
      </c>
      <c r="N31" s="246" t="str">
        <f>IF(ISBLANK(I23),"",I23)</f>
        <v/>
      </c>
      <c r="O31" s="213">
        <f>G34</f>
        <v>0</v>
      </c>
      <c r="P31" s="299" t="str">
        <f t="shared" ref="P31:P38" si="10">IF(O31=0,"",SUBSTITUTE(TEXT(O31,"# ##0\ рублей ,00\ копеек"),",",))</f>
        <v/>
      </c>
      <c r="Q31" s="216">
        <f>R31-1</f>
        <v>20</v>
      </c>
      <c r="R31" s="216">
        <f>A$24</f>
        <v>21</v>
      </c>
      <c r="S31" s="216" t="str">
        <f>IF(ISBLANK(H23),"",H23)</f>
        <v/>
      </c>
      <c r="T31" s="217">
        <f>MAX(K35,0)</f>
        <v>0</v>
      </c>
      <c r="U31" s="218">
        <f>L35</f>
        <v>0</v>
      </c>
      <c r="V31" s="299" t="str">
        <f t="shared" ref="V31:V39" si="11">IF(U31=0,"",SUBSTITUTE(TEXT(U31,"# ##0\ рублей ,00\ копеек"),",",))</f>
        <v/>
      </c>
      <c r="W31" s="144"/>
    </row>
    <row r="32" spans="1:25" ht="17.149999999999999" customHeight="1" outlineLevel="1" thickBot="1" x14ac:dyDescent="0.4">
      <c r="A32" s="133"/>
      <c r="C32" s="105"/>
      <c r="D32" s="242" t="str">
        <f>SUBSTITUTE(TEXT(D31,"# ##0\ рублей ,00\ копеек"),",",)</f>
        <v>0 рублей 00 копеек</v>
      </c>
      <c r="E32" s="657" t="str">
        <f>SUBSTITUTE(TEXT(E31,"# ##0\ рублей ,00\ копеек"),",",)</f>
        <v>0 рублей 00 копеек</v>
      </c>
      <c r="F32" s="657" t="str">
        <f>SUBSTITUTE(TEXT(F31,"# ##0\ рублей ,00\ копеек"),",",)</f>
        <v>0 рублей 00 копеек</v>
      </c>
      <c r="G32" s="242" t="str">
        <f>SUBSTITUTE(TEXT(G31,"# ##0\ рублей ,00\ копеек"),",",)</f>
        <v>0 рублей 00 копеек</v>
      </c>
      <c r="H32" s="105"/>
      <c r="I32" s="105"/>
      <c r="J32" s="105"/>
      <c r="K32" s="105"/>
      <c r="L32" s="242" t="str">
        <f>SUBSTITUTE(TEXT(L31,"# ##0\ рублей ,00\ копеек"),",",)</f>
        <v>0 рублей 00 копеек</v>
      </c>
      <c r="M32" s="242" t="str">
        <f>SUBSTITUTE(TEXT(M31,"# ##0\ рублей ,00\ копеек"),",",)</f>
        <v>0 рублей 00 копеек</v>
      </c>
      <c r="N32" s="247" t="str">
        <f>IF(ISBLANK(I49),"",I49)</f>
        <v/>
      </c>
      <c r="O32" s="214">
        <f>G60</f>
        <v>0</v>
      </c>
      <c r="P32" s="300" t="str">
        <f t="shared" si="10"/>
        <v/>
      </c>
      <c r="Q32" s="219">
        <f t="shared" ref="Q32:Q38" si="12">R32-1</f>
        <v>20</v>
      </c>
      <c r="R32" s="219">
        <f t="shared" ref="R32:R38" si="13">A$24</f>
        <v>21</v>
      </c>
      <c r="S32" s="219" t="str">
        <f>IF(ISBLANK(H49),"",H49)</f>
        <v/>
      </c>
      <c r="T32" s="220">
        <f>MAX(K61,0)</f>
        <v>0</v>
      </c>
      <c r="U32" s="221">
        <f>L61</f>
        <v>0</v>
      </c>
      <c r="V32" s="300" t="str">
        <f t="shared" si="11"/>
        <v/>
      </c>
    </row>
    <row r="33" spans="1:22" ht="17.149999999999999" customHeight="1" outlineLevel="1" thickTop="1" thickBot="1" x14ac:dyDescent="0.4">
      <c r="A33" s="808" t="s">
        <v>1</v>
      </c>
      <c r="B33" s="814"/>
      <c r="C33" s="809"/>
      <c r="D33" s="172" t="s">
        <v>45</v>
      </c>
      <c r="E33" s="739" t="s">
        <v>46</v>
      </c>
      <c r="F33" s="808" t="s">
        <v>619</v>
      </c>
      <c r="G33" s="814"/>
      <c r="H33" s="809"/>
      <c r="I33" s="172" t="s">
        <v>45</v>
      </c>
      <c r="J33" s="172" t="s">
        <v>46</v>
      </c>
      <c r="K33" s="808" t="s">
        <v>463</v>
      </c>
      <c r="L33" s="809"/>
      <c r="N33" s="247" t="str">
        <f>IF(ISBLANK(I75),"",I75)</f>
        <v/>
      </c>
      <c r="O33" s="214">
        <f>G86</f>
        <v>0</v>
      </c>
      <c r="P33" s="300" t="str">
        <f t="shared" si="10"/>
        <v/>
      </c>
      <c r="Q33" s="219">
        <f t="shared" si="12"/>
        <v>20</v>
      </c>
      <c r="R33" s="219">
        <f t="shared" si="13"/>
        <v>21</v>
      </c>
      <c r="S33" s="219" t="str">
        <f>IF(ISBLANK(H75),"",H75)</f>
        <v/>
      </c>
      <c r="T33" s="220">
        <f>MAX(K87,0)</f>
        <v>0</v>
      </c>
      <c r="U33" s="221">
        <f>L87</f>
        <v>0</v>
      </c>
      <c r="V33" s="300" t="str">
        <f t="shared" si="11"/>
        <v/>
      </c>
    </row>
    <row r="34" spans="1:22" ht="17.149999999999999" customHeight="1" outlineLevel="1" thickTop="1" thickBot="1" x14ac:dyDescent="0.4">
      <c r="A34" s="32"/>
      <c r="C34" s="281" t="str">
        <f>IF(ISBLANK(B34),"",SUBSTITUTE(TEXT(B34,"# ##0\ рублей ,00\ копеек"),",",))</f>
        <v/>
      </c>
      <c r="D34" s="61"/>
      <c r="E34" s="658"/>
      <c r="F34" s="752"/>
      <c r="G34" s="28"/>
      <c r="H34" s="281" t="str">
        <f>IF(ISBLANK(G34),"",SUBSTITUTE(TEXT(G34,"# ##0\ рублей ,00\ копеек"),",",))</f>
        <v/>
      </c>
      <c r="I34" s="61"/>
      <c r="J34" s="62"/>
      <c r="K34" s="172" t="s">
        <v>660</v>
      </c>
      <c r="L34" s="172" t="s">
        <v>634</v>
      </c>
      <c r="N34" s="247" t="str">
        <f>IF(ISBLANK(I101),"",I101)</f>
        <v/>
      </c>
      <c r="O34" s="214">
        <f>G112</f>
        <v>0</v>
      </c>
      <c r="P34" s="300" t="str">
        <f t="shared" si="10"/>
        <v/>
      </c>
      <c r="Q34" s="219">
        <f t="shared" si="12"/>
        <v>20</v>
      </c>
      <c r="R34" s="219">
        <f t="shared" si="13"/>
        <v>21</v>
      </c>
      <c r="S34" s="219" t="str">
        <f>IF(ISBLANK(H101),"",H101)</f>
        <v/>
      </c>
      <c r="T34" s="220">
        <f>MAX(K113,0)</f>
        <v>0</v>
      </c>
      <c r="U34" s="221">
        <f>L113</f>
        <v>0</v>
      </c>
      <c r="V34" s="300" t="str">
        <f t="shared" si="11"/>
        <v/>
      </c>
    </row>
    <row r="35" spans="1:22" ht="17.149999999999999" customHeight="1" outlineLevel="1" thickTop="1" x14ac:dyDescent="0.35">
      <c r="A35" s="32"/>
      <c r="C35" s="281" t="str">
        <f>IF(ISBLANK(B35),"",SUBSTITUTE(TEXT(B35,"# ##0\ рублей ,00\ копеек"),",",))</f>
        <v/>
      </c>
      <c r="D35" s="61"/>
      <c r="E35" s="658"/>
      <c r="F35" s="752"/>
      <c r="G35" s="33"/>
      <c r="H35" s="281" t="str">
        <f>IF(ISBLANK(G35),"",SUBSTITUTE(TEXT(G35,"# ##0\ рублей ,00\ копеек"),",",))</f>
        <v/>
      </c>
      <c r="I35" s="61"/>
      <c r="J35" s="62"/>
      <c r="K35" s="423">
        <f>MAX(H23-$A$24+1,0)</f>
        <v>0</v>
      </c>
      <c r="L35" s="424">
        <f>MAX(G34*K35*0.01,0)</f>
        <v>0</v>
      </c>
      <c r="M35" s="130"/>
      <c r="N35" s="247" t="str">
        <f>IF(ISBLANK(I127),"",I127)</f>
        <v/>
      </c>
      <c r="O35" s="214">
        <f>G138</f>
        <v>0</v>
      </c>
      <c r="P35" s="300" t="str">
        <f t="shared" si="10"/>
        <v/>
      </c>
      <c r="Q35" s="219">
        <f t="shared" si="12"/>
        <v>20</v>
      </c>
      <c r="R35" s="219">
        <f>A$24</f>
        <v>21</v>
      </c>
      <c r="S35" s="219" t="str">
        <f>IF(ISBLANK(H127),"",H127)</f>
        <v/>
      </c>
      <c r="T35" s="220">
        <f>MAX(K139,0)</f>
        <v>0</v>
      </c>
      <c r="U35" s="221">
        <f>L139</f>
        <v>0</v>
      </c>
      <c r="V35" s="300" t="str">
        <f t="shared" si="11"/>
        <v/>
      </c>
    </row>
    <row r="36" spans="1:22" ht="17.149999999999999" customHeight="1" outlineLevel="1" thickBot="1" x14ac:dyDescent="0.4">
      <c r="A36" s="32"/>
      <c r="C36" s="281" t="str">
        <f t="shared" ref="C36:C43" si="14">IF(ISBLANK(B36),"",SUBSTITUTE(TEXT(B36,"# ##0\ рублей ,00\ копеек"),",",))</f>
        <v/>
      </c>
      <c r="D36" s="61"/>
      <c r="E36" s="658"/>
      <c r="F36" s="752"/>
      <c r="G36" s="33"/>
      <c r="H36" s="281" t="str">
        <f t="shared" ref="H36:H43" si="15">IF(ISBLANK(G36),"",SUBSTITUTE(TEXT(G36,"# ##0\ рублей ,00\ копеек"),",",))</f>
        <v/>
      </c>
      <c r="I36" s="61"/>
      <c r="J36" s="62"/>
      <c r="K36" s="427"/>
      <c r="L36" s="428" t="str">
        <f>SUBSTITUTE(TEXT(L35,"# ##0\ рублей ,00\ копеек"),",",)</f>
        <v>0 рублей 00 копеек</v>
      </c>
      <c r="M36" s="51" t="s">
        <v>151</v>
      </c>
      <c r="N36" s="247" t="str">
        <f>IF(ISBLANK(I153),"",I153)</f>
        <v/>
      </c>
      <c r="O36" s="214">
        <f>G164</f>
        <v>0</v>
      </c>
      <c r="P36" s="300" t="str">
        <f t="shared" si="10"/>
        <v/>
      </c>
      <c r="Q36" s="219">
        <f t="shared" si="12"/>
        <v>20</v>
      </c>
      <c r="R36" s="219">
        <f t="shared" si="13"/>
        <v>21</v>
      </c>
      <c r="S36" s="219" t="str">
        <f>IF(ISBLANK(H153),"",H153)</f>
        <v/>
      </c>
      <c r="T36" s="220">
        <f>MAX(K165,0)</f>
        <v>0</v>
      </c>
      <c r="U36" s="221">
        <f>L165</f>
        <v>0</v>
      </c>
      <c r="V36" s="300" t="str">
        <f t="shared" si="11"/>
        <v/>
      </c>
    </row>
    <row r="37" spans="1:22" ht="17.149999999999999" customHeight="1" outlineLevel="1" thickTop="1" thickBot="1" x14ac:dyDescent="0.4">
      <c r="A37" s="32"/>
      <c r="C37" s="281" t="str">
        <f t="shared" si="14"/>
        <v/>
      </c>
      <c r="D37" s="61"/>
      <c r="E37" s="658"/>
      <c r="F37" s="752"/>
      <c r="G37" s="34"/>
      <c r="H37" s="281" t="str">
        <f t="shared" si="15"/>
        <v/>
      </c>
      <c r="I37" s="61"/>
      <c r="J37" s="62"/>
      <c r="K37" s="808" t="s">
        <v>80</v>
      </c>
      <c r="L37" s="809"/>
      <c r="N37" s="247" t="str">
        <f>IF(ISBLANK(M187),"",M187)</f>
        <v/>
      </c>
      <c r="O37" s="214">
        <f>G191</f>
        <v>0</v>
      </c>
      <c r="P37" s="300" t="str">
        <f t="shared" si="10"/>
        <v/>
      </c>
      <c r="Q37" s="219">
        <f>R37-1</f>
        <v>20</v>
      </c>
      <c r="R37" s="219">
        <f t="shared" si="13"/>
        <v>21</v>
      </c>
      <c r="S37" s="219" t="str">
        <f>IF(ISBLANK(L187),"",L187)</f>
        <v/>
      </c>
      <c r="T37" s="222">
        <f>MAX(P187,0)</f>
        <v>0</v>
      </c>
      <c r="U37" s="221">
        <f>Q187</f>
        <v>0</v>
      </c>
      <c r="V37" s="300" t="str">
        <f t="shared" si="11"/>
        <v/>
      </c>
    </row>
    <row r="38" spans="1:22" ht="17.149999999999999" customHeight="1" outlineLevel="1" thickTop="1" thickBot="1" x14ac:dyDescent="0.4">
      <c r="A38" s="32"/>
      <c r="C38" s="281" t="str">
        <f t="shared" si="14"/>
        <v/>
      </c>
      <c r="D38" s="61"/>
      <c r="E38" s="658"/>
      <c r="F38" s="752"/>
      <c r="G38" s="34"/>
      <c r="H38" s="281" t="str">
        <f t="shared" si="15"/>
        <v/>
      </c>
      <c r="I38" s="61"/>
      <c r="J38" s="62"/>
      <c r="K38" s="172" t="s">
        <v>660</v>
      </c>
      <c r="L38" s="172" t="s">
        <v>634</v>
      </c>
      <c r="N38" s="248" t="str">
        <f>IF(ISBLANK(M206),"",M206)</f>
        <v/>
      </c>
      <c r="O38" s="215">
        <f>G210</f>
        <v>0</v>
      </c>
      <c r="P38" s="300" t="str">
        <f t="shared" si="10"/>
        <v/>
      </c>
      <c r="Q38" s="223">
        <f t="shared" si="12"/>
        <v>20</v>
      </c>
      <c r="R38" s="223">
        <f t="shared" si="13"/>
        <v>21</v>
      </c>
      <c r="S38" s="224" t="str">
        <f>IF(ISBLANK(L206),"",L206)</f>
        <v/>
      </c>
      <c r="T38" s="225">
        <f>MAX(P206,0)</f>
        <v>0</v>
      </c>
      <c r="U38" s="226">
        <f>Q206</f>
        <v>0</v>
      </c>
      <c r="V38" s="300" t="str">
        <f t="shared" si="11"/>
        <v/>
      </c>
    </row>
    <row r="39" spans="1:22" ht="17.149999999999999" customHeight="1" outlineLevel="1" thickTop="1" thickBot="1" x14ac:dyDescent="0.4">
      <c r="A39" s="32"/>
      <c r="C39" s="281" t="str">
        <f t="shared" si="14"/>
        <v/>
      </c>
      <c r="D39" s="61"/>
      <c r="E39" s="658"/>
      <c r="F39" s="752"/>
      <c r="G39" s="34"/>
      <c r="H39" s="281" t="str">
        <f t="shared" si="15"/>
        <v/>
      </c>
      <c r="I39" s="61"/>
      <c r="J39" s="62"/>
      <c r="K39" s="423">
        <f>MAX(K40-$A$24+1,0)</f>
        <v>0</v>
      </c>
      <c r="L39" s="424">
        <f>IF(ISERROR(MAX(D18*0.0005*K39,0)),0,MAX(D18*0.0005*K39,0))</f>
        <v>0</v>
      </c>
      <c r="N39" s="143"/>
      <c r="O39" s="143"/>
      <c r="P39" s="103"/>
      <c r="Q39" s="103"/>
      <c r="R39" s="103"/>
      <c r="S39" s="103"/>
      <c r="T39" s="103"/>
      <c r="U39" s="250">
        <f>SUM(U31:U38)</f>
        <v>0</v>
      </c>
      <c r="V39" s="302" t="str">
        <f t="shared" si="11"/>
        <v/>
      </c>
    </row>
    <row r="40" spans="1:22" ht="17.149999999999999" customHeight="1" outlineLevel="1" thickTop="1" thickBot="1" x14ac:dyDescent="0.4">
      <c r="A40" s="32"/>
      <c r="C40" s="281" t="str">
        <f t="shared" si="14"/>
        <v/>
      </c>
      <c r="D40" s="61"/>
      <c r="E40" s="658"/>
      <c r="F40" s="752"/>
      <c r="G40" s="34"/>
      <c r="H40" s="281" t="str">
        <f t="shared" si="15"/>
        <v/>
      </c>
      <c r="I40" s="61"/>
      <c r="J40" s="62"/>
      <c r="K40" s="425">
        <f>MIN(C23,H23,M25)</f>
        <v>0</v>
      </c>
      <c r="L40" s="426" t="str">
        <f>SUBSTITUTE(TEXT(L39,"# ##0\ рублей ,00\ копеек"),",",)</f>
        <v>0 рублей 00 копеек</v>
      </c>
    </row>
    <row r="41" spans="1:22" ht="17.149999999999999" customHeight="1" outlineLevel="1" thickTop="1" thickBot="1" x14ac:dyDescent="0.4">
      <c r="A41" s="32"/>
      <c r="C41" s="281" t="str">
        <f t="shared" si="14"/>
        <v/>
      </c>
      <c r="D41" s="61"/>
      <c r="E41" s="658"/>
      <c r="F41" s="752"/>
      <c r="G41" s="34"/>
      <c r="H41" s="281" t="str">
        <f t="shared" si="15"/>
        <v/>
      </c>
      <c r="I41" s="61"/>
      <c r="J41" s="62"/>
      <c r="K41" s="53"/>
      <c r="L41" s="55"/>
      <c r="N41" s="774" t="s">
        <v>1626</v>
      </c>
      <c r="O41" s="774"/>
      <c r="P41" s="774"/>
      <c r="Q41" s="774"/>
      <c r="R41" s="774"/>
      <c r="S41" s="774"/>
      <c r="T41" s="774"/>
      <c r="U41" s="774"/>
      <c r="V41" s="774"/>
    </row>
    <row r="42" spans="1:22" ht="17.149999999999999" customHeight="1" outlineLevel="1" thickTop="1" thickBot="1" x14ac:dyDescent="0.4">
      <c r="A42" s="32"/>
      <c r="C42" s="281" t="str">
        <f t="shared" si="14"/>
        <v/>
      </c>
      <c r="D42" s="61"/>
      <c r="E42" s="658"/>
      <c r="F42" s="752"/>
      <c r="G42" s="34"/>
      <c r="H42" s="281" t="str">
        <f t="shared" si="15"/>
        <v/>
      </c>
      <c r="I42" s="61"/>
      <c r="J42" s="62"/>
      <c r="K42" s="53"/>
      <c r="L42" s="55"/>
      <c r="N42" s="247" t="str">
        <f>IF(ISBLANK(M187),"",M187)</f>
        <v/>
      </c>
      <c r="O42" s="214">
        <f>G191</f>
        <v>0</v>
      </c>
      <c r="P42" s="300" t="str">
        <f t="shared" ref="P42" si="16">IF(O42=0,"",SUBSTITUTE(TEXT(O42,"# ##0\ рублей ,00\ копеек"),",",))</f>
        <v/>
      </c>
      <c r="Q42" s="219">
        <f>R42-1</f>
        <v>0</v>
      </c>
      <c r="R42" s="219">
        <f>J192+1</f>
        <v>1</v>
      </c>
      <c r="S42" s="219" t="str">
        <f>IF(ISBLANK(L187),"",L187)</f>
        <v/>
      </c>
      <c r="T42" s="222">
        <f>MAX(P189,0)</f>
        <v>0</v>
      </c>
      <c r="U42" s="221">
        <f>Q189</f>
        <v>0</v>
      </c>
      <c r="V42" s="300" t="str">
        <f t="shared" ref="V42" si="17">IF(U42=0,"",SUBSTITUTE(TEXT(U42,"# ##0\ рублей ,00\ копеек"),",",))</f>
        <v/>
      </c>
    </row>
    <row r="43" spans="1:22" ht="17.149999999999999" customHeight="1" outlineLevel="1" thickTop="1" thickBot="1" x14ac:dyDescent="0.4">
      <c r="A43" s="32"/>
      <c r="C43" s="281" t="str">
        <f t="shared" si="14"/>
        <v/>
      </c>
      <c r="D43" s="38"/>
      <c r="E43" s="659"/>
      <c r="F43" s="752"/>
      <c r="G43" s="40"/>
      <c r="H43" s="281" t="str">
        <f t="shared" si="15"/>
        <v/>
      </c>
      <c r="I43" s="38"/>
      <c r="J43" s="39"/>
      <c r="K43" s="53"/>
      <c r="L43" s="55"/>
      <c r="N43" s="774" t="s">
        <v>80</v>
      </c>
      <c r="O43" s="774"/>
      <c r="P43" s="774"/>
      <c r="Q43" s="774"/>
      <c r="R43" s="774"/>
      <c r="S43" s="774"/>
      <c r="T43" s="774"/>
      <c r="U43" s="774"/>
      <c r="V43" s="774"/>
    </row>
    <row r="44" spans="1:22" ht="17.149999999999999" customHeight="1" outlineLevel="1" thickTop="1" thickBot="1" x14ac:dyDescent="0.4">
      <c r="A44" s="171" t="s">
        <v>47</v>
      </c>
      <c r="B44" s="208">
        <f>SUM(B34:B43)</f>
        <v>0</v>
      </c>
      <c r="C44" s="282" t="str">
        <f>IF(B44=0,"",SUBSTITUTE(TEXT(B44,"# ##0\ рублей ,00\ копеек"),",",))</f>
        <v/>
      </c>
      <c r="D44" s="49"/>
      <c r="E44" s="660"/>
      <c r="F44" s="744" t="s">
        <v>47</v>
      </c>
      <c r="G44" s="208">
        <f>SUM(G34:G43)</f>
        <v>0</v>
      </c>
      <c r="H44" s="282" t="str">
        <f>IF(G44=0,"",SUBSTITUTE(TEXT(G44,"# ##0\ рублей ,00\ копеек"),",",))</f>
        <v/>
      </c>
      <c r="I44" s="49"/>
      <c r="J44" s="50"/>
      <c r="K44" s="54"/>
      <c r="L44" s="56"/>
      <c r="N44" s="247" t="str">
        <f>IF(K39&lt;&gt;0,IF(K40=C23,"ОТКАЗ",IF(K40=H23,"ВЫПЛАТА",IF(K40=M25,"РЕМОНТ"))),IF(K65&lt;&gt;0,IF(K66=C49,"ОТКАЗ",IF(K66=H49,"ВЫПЛАТА",IF(K66=M51,"РЕМОНТ"))),IF(K91&lt;&gt;0,IF(K92=C75,"ОТКАЗ",IF(K92=H75,"ВЫПЛАТА",IF(K92=M77,"РЕМОНТ"))),IF(K117&lt;&gt;0,IF(K118=C101,"ОТКАЗ",IF(K118=H101,"ВЫПЛАТА",IF(K118=M103,"РЕМОНТ"))),IF(K143&lt;&gt;0,IF(K144=C127,"ОТКАЗ",IF(K144=H127,"ВЫПЛАТА",IF(K144=M129,"РЕМОНТ"))),IF(K169&lt;&gt;0,IF(K170=C153,"ОТКАЗ",IF(K170=H153,"ВЫПЛАТА",IF(K170=M155,"РЕМОНТ"))),""))))))</f>
        <v/>
      </c>
      <c r="O44" s="429" t="str">
        <f>IF(H23&lt;&gt;"",G34,IF(H49&lt;&gt;"",G60,IF(H75&lt;&gt;"",G86,IF(H101&lt;&gt;"",G112,IF(H127&lt;&gt;"",G138,IF(H153&lt;&gt;"",G164,""))))))</f>
        <v/>
      </c>
      <c r="P44" s="300" t="str">
        <f t="shared" ref="P44" si="18">IF(O44=0,"",SUBSTITUTE(TEXT(O44,"# ##0\ рублей ,00\ копеек"),",",))</f>
        <v/>
      </c>
      <c r="Q44" s="430">
        <f>R44-1</f>
        <v>20</v>
      </c>
      <c r="R44" s="219">
        <f>A$24</f>
        <v>21</v>
      </c>
      <c r="S44" s="219" t="str">
        <f>IF(K169&lt;&gt;0,K170,IF(K143&lt;&gt;0,K144,IF(K117&lt;&gt;0,K118,IF(K91&lt;&gt;0,K92,IF(K65&lt;&gt;0,K66,IF(K39&lt;&gt;0,K40,""))))))</f>
        <v/>
      </c>
      <c r="T44" s="220" t="e">
        <f>MAX(S44-R44+1,0)</f>
        <v>#VALUE!</v>
      </c>
      <c r="U44" s="221" t="e">
        <f>D18*0.0005*T44</f>
        <v>#VALUE!</v>
      </c>
      <c r="V44" s="300" t="e">
        <f t="shared" ref="V44" si="19">IF(U44=0,"",SUBSTITUTE(TEXT(U44,"# ##0\ рублей ,00\ копеек"),",",))</f>
        <v>#VALUE!</v>
      </c>
    </row>
    <row r="45" spans="1:22" s="615" customFormat="1" ht="17.149999999999999" customHeight="1" thickTop="1" thickBot="1" x14ac:dyDescent="0.4">
      <c r="A45" s="616"/>
      <c r="B45" s="645"/>
      <c r="C45" s="617"/>
      <c r="D45" s="617"/>
      <c r="E45" s="617"/>
      <c r="F45" s="617"/>
      <c r="G45" s="617"/>
      <c r="H45" s="617"/>
      <c r="I45" s="617"/>
      <c r="J45" s="617"/>
      <c r="K45" s="617"/>
      <c r="L45" s="618"/>
      <c r="O45" s="619" t="str">
        <f>IF(H23&lt;&gt;"",I23,IF(H49&lt;&gt;"",I49,IF(H75&lt;&gt;"",I75,IF(H101&lt;&gt;"",I101,IF(H127&lt;&gt;"",I127,IF(H153&lt;&gt;"",I153,""))))))</f>
        <v/>
      </c>
      <c r="P45" s="620" t="str">
        <f>IF(M25&lt;&gt;"",J23,IF(M51&lt;&gt;"",J49,IF(M77&lt;&gt;"",J75,IF(M103&lt;&gt;"",J101,IF(M129&lt;&gt;"",J127,IF(M155&lt;&gt;"",J153,""))))))</f>
        <v/>
      </c>
      <c r="Q45" s="621" t="str">
        <f>IF(M25&lt;&gt;"",K23,IF(M51&lt;&gt;"",K49,IF(M77&lt;&gt;"",K75,IF(M103&lt;&gt;"",K101,IF(M129&lt;&gt;"",K127,IF(M155&lt;&gt;"",K153,""))))))</f>
        <v/>
      </c>
    </row>
    <row r="46" spans="1:22" ht="17.149999999999999" customHeight="1" thickTop="1" thickBot="1" x14ac:dyDescent="0.4">
      <c r="A46" s="820" t="s">
        <v>638</v>
      </c>
      <c r="B46" s="821"/>
      <c r="C46" s="821"/>
      <c r="D46" s="821"/>
      <c r="E46" s="821"/>
      <c r="F46" s="821"/>
      <c r="G46" s="821"/>
      <c r="H46" s="821"/>
      <c r="I46" s="821"/>
      <c r="J46" s="821"/>
      <c r="K46" s="821"/>
      <c r="L46" s="821"/>
      <c r="M46" s="821"/>
      <c r="N46" s="822"/>
    </row>
    <row r="47" spans="1:22" ht="17.149999999999999" customHeight="1" outlineLevel="1" thickTop="1" thickBot="1" x14ac:dyDescent="0.4">
      <c r="A47" s="777" t="s">
        <v>146</v>
      </c>
      <c r="B47" s="779"/>
      <c r="C47" s="815" t="s">
        <v>600</v>
      </c>
      <c r="D47" s="816"/>
      <c r="E47" s="817"/>
      <c r="F47" s="780" t="s">
        <v>617</v>
      </c>
      <c r="G47" s="782"/>
      <c r="H47" s="780" t="s">
        <v>601</v>
      </c>
      <c r="I47" s="782"/>
      <c r="J47" s="780" t="s">
        <v>588</v>
      </c>
      <c r="K47" s="781"/>
      <c r="L47" s="781"/>
      <c r="M47" s="781"/>
      <c r="N47" s="782"/>
    </row>
    <row r="48" spans="1:22" ht="17.149999999999999" customHeight="1" outlineLevel="1" thickTop="1" thickBot="1" x14ac:dyDescent="0.4">
      <c r="A48" s="172" t="s">
        <v>5</v>
      </c>
      <c r="B48" s="679" t="s">
        <v>612</v>
      </c>
      <c r="C48" s="172" t="s">
        <v>5</v>
      </c>
      <c r="D48" s="172" t="s">
        <v>4</v>
      </c>
      <c r="E48" s="739" t="s">
        <v>602</v>
      </c>
      <c r="F48" s="739" t="s">
        <v>5</v>
      </c>
      <c r="G48" s="172" t="s">
        <v>606</v>
      </c>
      <c r="H48" s="172" t="s">
        <v>5</v>
      </c>
      <c r="I48" s="172" t="s">
        <v>603</v>
      </c>
      <c r="J48" s="172" t="s">
        <v>5</v>
      </c>
      <c r="K48" s="172" t="s">
        <v>4</v>
      </c>
      <c r="L48" s="172" t="s">
        <v>604</v>
      </c>
      <c r="M48" s="172" t="s">
        <v>668</v>
      </c>
      <c r="N48" s="172" t="s">
        <v>666</v>
      </c>
    </row>
    <row r="49" spans="1:14" ht="17.149999999999999" customHeight="1" outlineLevel="1" thickTop="1" thickBot="1" x14ac:dyDescent="0.4">
      <c r="A49" s="176"/>
      <c r="B49" s="684"/>
      <c r="C49" s="24"/>
      <c r="D49" s="181"/>
      <c r="E49" s="654"/>
      <c r="F49" s="697"/>
      <c r="G49" s="181"/>
      <c r="H49" s="24"/>
      <c r="I49" s="181"/>
      <c r="J49" s="24"/>
      <c r="K49" s="181"/>
      <c r="L49" s="180"/>
      <c r="M49" s="181"/>
      <c r="N49" s="182"/>
    </row>
    <row r="50" spans="1:14" ht="17.149999999999999" customHeight="1" outlineLevel="1" thickTop="1" thickBot="1" x14ac:dyDescent="0.4">
      <c r="A50" s="277">
        <f>IF(WEEKDAY(WORKDAY.INTL(A49,30,"0000000"),2)=6,WORKDAY.INTL(A49,30,"0000000")+2,IF(WEEKDAY(WORKDAY.INTL(A49,30,"0000000"),2)=7,WORKDAY.INTL(A49,30,"0000000")+1,WORKDAY.INTL(A49,30,"0000000")))</f>
        <v>30</v>
      </c>
      <c r="C50" s="105"/>
      <c r="D50" s="303" t="str">
        <f>IF(WEEKDAY(WORKDAY.INTL(A49,20,"0000000",DRAFT!X28:X149),2)=6,"СБТ",IF(WEEKDAY(WORKDAY.INTL(A49,20,"0000000",DRAFT!X28:X149),2)=7,"ВКС",""))</f>
        <v/>
      </c>
      <c r="E50" s="661"/>
      <c r="F50" s="661"/>
      <c r="G50" s="105"/>
      <c r="H50" s="105"/>
      <c r="I50" s="105"/>
      <c r="J50" s="105"/>
      <c r="K50" s="105"/>
      <c r="L50" s="132"/>
      <c r="M50" s="400" t="s">
        <v>5516</v>
      </c>
    </row>
    <row r="51" spans="1:14" ht="17.149999999999999" customHeight="1" outlineLevel="1" thickTop="1" thickBot="1" x14ac:dyDescent="0.4">
      <c r="A51" s="815" t="s">
        <v>636</v>
      </c>
      <c r="B51" s="816"/>
      <c r="C51" s="816"/>
      <c r="D51" s="816"/>
      <c r="E51" s="816"/>
      <c r="F51" s="816"/>
      <c r="G51" s="816"/>
      <c r="H51" s="817"/>
      <c r="I51" s="815" t="s">
        <v>637</v>
      </c>
      <c r="J51" s="816"/>
      <c r="K51" s="816"/>
      <c r="L51" s="817"/>
      <c r="M51" s="24"/>
    </row>
    <row r="52" spans="1:14" ht="17.149999999999999" customHeight="1" outlineLevel="1" thickTop="1" thickBot="1" x14ac:dyDescent="0.4">
      <c r="A52" s="172" t="s">
        <v>5</v>
      </c>
      <c r="B52" s="679" t="s">
        <v>4</v>
      </c>
      <c r="C52" s="183" t="s">
        <v>606</v>
      </c>
      <c r="D52" s="183" t="s">
        <v>607</v>
      </c>
      <c r="E52" s="743" t="s">
        <v>608</v>
      </c>
      <c r="F52" s="743" t="s">
        <v>609</v>
      </c>
      <c r="G52" s="183" t="s">
        <v>610</v>
      </c>
      <c r="H52" s="183" t="s">
        <v>618</v>
      </c>
      <c r="I52" s="172" t="s">
        <v>5</v>
      </c>
      <c r="J52" s="172" t="s">
        <v>4</v>
      </c>
      <c r="K52" s="183" t="s">
        <v>606</v>
      </c>
      <c r="L52" s="183" t="s">
        <v>611</v>
      </c>
    </row>
    <row r="53" spans="1:14" ht="17.149999999999999" customHeight="1" outlineLevel="1" thickTop="1" x14ac:dyDescent="0.35">
      <c r="A53" s="187"/>
      <c r="B53" s="684"/>
      <c r="C53" s="165"/>
      <c r="D53" s="184"/>
      <c r="E53" s="656"/>
      <c r="F53" s="656"/>
      <c r="G53" s="184"/>
      <c r="H53" s="188"/>
      <c r="I53" s="24"/>
      <c r="J53" s="181"/>
      <c r="K53" s="181"/>
      <c r="L53" s="186"/>
      <c r="M53" s="243">
        <f>F53-G53</f>
        <v>0</v>
      </c>
    </row>
    <row r="54" spans="1:14" ht="17.149999999999999" customHeight="1" outlineLevel="1" thickBot="1" x14ac:dyDescent="0.4">
      <c r="A54" s="133"/>
      <c r="C54" s="105"/>
      <c r="D54" s="242" t="str">
        <f>SUBSTITUTE(TEXT(D53,"# ##0\ рублей ,00\ копеек"),",",)</f>
        <v>0 рублей 00 копеек</v>
      </c>
      <c r="E54" s="657" t="str">
        <f>SUBSTITUTE(TEXT(E53,"# ##0\ рублей ,00\ копеек"),",",)</f>
        <v>0 рублей 00 копеек</v>
      </c>
      <c r="F54" s="657" t="str">
        <f>SUBSTITUTE(TEXT(F53,"# ##0\ рублей ,00\ копеек"),",",)</f>
        <v>0 рублей 00 копеек</v>
      </c>
      <c r="G54" s="242" t="str">
        <f>SUBSTITUTE(TEXT(G53,"# ##0\ рублей ,00\ копеек"),",",)</f>
        <v>0 рублей 00 копеек</v>
      </c>
      <c r="H54" s="105"/>
      <c r="I54" s="135"/>
      <c r="J54" s="135"/>
      <c r="K54" s="135"/>
      <c r="L54" s="283" t="str">
        <f>SUBSTITUTE(TEXT(L53,"# ##0\ рублей ,00\ копеек"),",",)</f>
        <v>0 рублей 00 копеек</v>
      </c>
      <c r="M54" s="242" t="str">
        <f>SUBSTITUTE(TEXT(M53,"# ##0\ рублей ,00\ копеек"),",",)</f>
        <v>0 рублей 00 копеек</v>
      </c>
    </row>
    <row r="55" spans="1:14" ht="17.149999999999999" customHeight="1" outlineLevel="1" thickTop="1" thickBot="1" x14ac:dyDescent="0.4">
      <c r="A55" s="823" t="s">
        <v>620</v>
      </c>
      <c r="B55" s="824"/>
      <c r="C55" s="824"/>
      <c r="D55" s="824"/>
      <c r="E55" s="824"/>
      <c r="F55" s="824"/>
      <c r="G55" s="824"/>
      <c r="H55" s="825"/>
      <c r="I55" s="823" t="s">
        <v>621</v>
      </c>
      <c r="J55" s="824"/>
      <c r="K55" s="824"/>
      <c r="L55" s="825"/>
    </row>
    <row r="56" spans="1:14" ht="17.149999999999999" customHeight="1" outlineLevel="1" thickTop="1" thickBot="1" x14ac:dyDescent="0.4">
      <c r="A56" s="172" t="s">
        <v>5</v>
      </c>
      <c r="B56" s="679" t="s">
        <v>4</v>
      </c>
      <c r="C56" s="183" t="s">
        <v>606</v>
      </c>
      <c r="D56" s="183" t="s">
        <v>607</v>
      </c>
      <c r="E56" s="743" t="s">
        <v>608</v>
      </c>
      <c r="F56" s="743" t="s">
        <v>609</v>
      </c>
      <c r="G56" s="183" t="s">
        <v>610</v>
      </c>
      <c r="H56" s="183" t="s">
        <v>618</v>
      </c>
      <c r="I56" s="172" t="s">
        <v>5</v>
      </c>
      <c r="J56" s="172" t="s">
        <v>4</v>
      </c>
      <c r="K56" s="183" t="s">
        <v>606</v>
      </c>
      <c r="L56" s="183" t="s">
        <v>611</v>
      </c>
    </row>
    <row r="57" spans="1:14" ht="17.149999999999999" customHeight="1" outlineLevel="1" thickTop="1" x14ac:dyDescent="0.35">
      <c r="A57" s="187"/>
      <c r="B57" s="684"/>
      <c r="C57" s="165"/>
      <c r="D57" s="184"/>
      <c r="E57" s="656"/>
      <c r="F57" s="656"/>
      <c r="G57" s="184"/>
      <c r="H57" s="185"/>
      <c r="I57" s="187"/>
      <c r="J57" s="165"/>
      <c r="K57" s="165"/>
      <c r="L57" s="186"/>
      <c r="M57" s="243">
        <f>F57-G57</f>
        <v>0</v>
      </c>
    </row>
    <row r="58" spans="1:14" ht="17.149999999999999" customHeight="1" outlineLevel="1" thickBot="1" x14ac:dyDescent="0.4">
      <c r="A58" s="133"/>
      <c r="C58" s="105"/>
      <c r="D58" s="242" t="str">
        <f>SUBSTITUTE(TEXT(D57,"# ##0\ рублей ,00\ копеек"),",",)</f>
        <v>0 рублей 00 копеек</v>
      </c>
      <c r="E58" s="657" t="str">
        <f>SUBSTITUTE(TEXT(E57,"# ##0\ рублей ,00\ копеек"),",",)</f>
        <v>0 рублей 00 копеек</v>
      </c>
      <c r="F58" s="657" t="str">
        <f>SUBSTITUTE(TEXT(F57,"# ##0\ рублей ,00\ копеек"),",",)</f>
        <v>0 рублей 00 копеек</v>
      </c>
      <c r="G58" s="242" t="str">
        <f>SUBSTITUTE(TEXT(G57,"# ##0\ рублей ,00\ копеек"),",",)</f>
        <v>0 рублей 00 копеек</v>
      </c>
      <c r="H58" s="105"/>
      <c r="I58" s="136"/>
      <c r="J58" s="136"/>
      <c r="K58" s="136"/>
      <c r="L58" s="284" t="str">
        <f>SUBSTITUTE(TEXT(L57,"# ##0\ рублей ,00\ копеек"),",",)</f>
        <v>0 рублей 00 копеек</v>
      </c>
      <c r="M58" s="242" t="str">
        <f>SUBSTITUTE(TEXT(M57,"# ##0\ рублей ,00\ копеек"),",",)</f>
        <v>0 рублей 00 копеек</v>
      </c>
    </row>
    <row r="59" spans="1:14" ht="17.149999999999999" customHeight="1" outlineLevel="1" thickTop="1" thickBot="1" x14ac:dyDescent="0.4">
      <c r="A59" s="808" t="s">
        <v>1</v>
      </c>
      <c r="B59" s="826"/>
      <c r="C59" s="809"/>
      <c r="D59" s="172" t="s">
        <v>45</v>
      </c>
      <c r="E59" s="739" t="s">
        <v>46</v>
      </c>
      <c r="F59" s="808" t="s">
        <v>619</v>
      </c>
      <c r="G59" s="814"/>
      <c r="H59" s="809"/>
      <c r="I59" s="172" t="s">
        <v>45</v>
      </c>
      <c r="J59" s="172" t="s">
        <v>46</v>
      </c>
      <c r="K59" s="808" t="s">
        <v>463</v>
      </c>
      <c r="L59" s="809"/>
    </row>
    <row r="60" spans="1:14" ht="17.149999999999999" customHeight="1" outlineLevel="1" thickTop="1" thickBot="1" x14ac:dyDescent="0.4">
      <c r="A60" s="32"/>
      <c r="C60" s="281" t="str">
        <f>IF(ISBLANK(B60),"",SUBSTITUTE(TEXT(B60,"# ##0\ рублей ,00\ копеек"),",",))</f>
        <v/>
      </c>
      <c r="D60" s="61"/>
      <c r="E60" s="658"/>
      <c r="F60" s="752"/>
      <c r="G60" s="28"/>
      <c r="H60" s="281" t="str">
        <f>IF(ISBLANK(G60),"",SUBSTITUTE(TEXT(G60,"# ##0\ рублей ,00\ копеек"),",",))</f>
        <v/>
      </c>
      <c r="I60" s="61"/>
      <c r="J60" s="62"/>
      <c r="K60" s="172" t="s">
        <v>660</v>
      </c>
      <c r="L60" s="172" t="s">
        <v>634</v>
      </c>
    </row>
    <row r="61" spans="1:14" ht="17.149999999999999" customHeight="1" outlineLevel="1" thickTop="1" x14ac:dyDescent="0.35">
      <c r="A61" s="32"/>
      <c r="C61" s="281" t="str">
        <f>IF(ISBLANK(B61),"",SUBSTITUTE(TEXT(B61,"# ##0\ рублей ,00\ копеек"),",",))</f>
        <v/>
      </c>
      <c r="D61" s="156"/>
      <c r="E61" s="662"/>
      <c r="F61" s="752"/>
      <c r="G61" s="33"/>
      <c r="H61" s="281" t="str">
        <f>IF(ISBLANK(G61),"",SUBSTITUTE(TEXT(G61,"# ##0\ рублей ,00\ копеек"),",",))</f>
        <v/>
      </c>
      <c r="I61" s="61"/>
      <c r="J61" s="62"/>
      <c r="K61" s="423">
        <f>MAX(H49-$A$24+1,0)</f>
        <v>0</v>
      </c>
      <c r="L61" s="424">
        <f>MAX(G60*K61*0.01,0)</f>
        <v>0</v>
      </c>
    </row>
    <row r="62" spans="1:14" ht="17.149999999999999" customHeight="1" outlineLevel="1" thickBot="1" x14ac:dyDescent="0.4">
      <c r="A62" s="32"/>
      <c r="C62" s="281" t="str">
        <f t="shared" ref="C62:C69" si="20">IF(ISBLANK(B62),"",SUBSTITUTE(TEXT(B62,"# ##0\ рублей ,00\ копеек"),",",))</f>
        <v/>
      </c>
      <c r="D62" s="156"/>
      <c r="E62" s="662"/>
      <c r="F62" s="752"/>
      <c r="G62" s="33"/>
      <c r="H62" s="281" t="str">
        <f t="shared" ref="H62:H69" si="21">IF(ISBLANK(G62),"",SUBSTITUTE(TEXT(G62,"# ##0\ рублей ,00\ копеек"),",",))</f>
        <v/>
      </c>
      <c r="I62" s="61"/>
      <c r="J62" s="62"/>
      <c r="K62" s="427"/>
      <c r="L62" s="428" t="str">
        <f>SUBSTITUTE(TEXT(L61,"# ##0\ рублей ,00\ копеек"),",",)</f>
        <v>0 рублей 00 копеек</v>
      </c>
      <c r="M62" s="51" t="s">
        <v>151</v>
      </c>
    </row>
    <row r="63" spans="1:14" ht="17.149999999999999" customHeight="1" outlineLevel="1" thickTop="1" thickBot="1" x14ac:dyDescent="0.4">
      <c r="A63" s="32"/>
      <c r="C63" s="281" t="str">
        <f t="shared" si="20"/>
        <v/>
      </c>
      <c r="D63" s="156"/>
      <c r="E63" s="662"/>
      <c r="F63" s="752"/>
      <c r="G63" s="34"/>
      <c r="H63" s="281" t="str">
        <f t="shared" si="21"/>
        <v/>
      </c>
      <c r="I63" s="61"/>
      <c r="J63" s="62"/>
      <c r="K63" s="808" t="s">
        <v>80</v>
      </c>
      <c r="L63" s="809"/>
    </row>
    <row r="64" spans="1:14" ht="17.149999999999999" customHeight="1" outlineLevel="1" thickTop="1" thickBot="1" x14ac:dyDescent="0.4">
      <c r="A64" s="32"/>
      <c r="C64" s="281" t="str">
        <f t="shared" si="20"/>
        <v/>
      </c>
      <c r="D64" s="156"/>
      <c r="E64" s="662"/>
      <c r="F64" s="752"/>
      <c r="G64" s="34"/>
      <c r="H64" s="281" t="str">
        <f t="shared" si="21"/>
        <v/>
      </c>
      <c r="I64" s="61"/>
      <c r="J64" s="62"/>
      <c r="K64" s="172" t="s">
        <v>660</v>
      </c>
      <c r="L64" s="172" t="s">
        <v>634</v>
      </c>
    </row>
    <row r="65" spans="1:14" ht="17.149999999999999" customHeight="1" outlineLevel="1" thickTop="1" x14ac:dyDescent="0.35">
      <c r="A65" s="32"/>
      <c r="C65" s="281" t="str">
        <f t="shared" si="20"/>
        <v/>
      </c>
      <c r="D65" s="61"/>
      <c r="E65" s="658"/>
      <c r="F65" s="752"/>
      <c r="G65" s="34"/>
      <c r="H65" s="281" t="str">
        <f t="shared" si="21"/>
        <v/>
      </c>
      <c r="I65" s="61"/>
      <c r="J65" s="62"/>
      <c r="K65" s="423">
        <f>IF(K39=0,MAX(K66-$A$24+1,0),0)</f>
        <v>0</v>
      </c>
      <c r="L65" s="424">
        <f>IFERROR(MAX(D18*0.0005*K65,0),0)</f>
        <v>0</v>
      </c>
    </row>
    <row r="66" spans="1:14" ht="17.149999999999999" customHeight="1" outlineLevel="1" x14ac:dyDescent="0.35">
      <c r="A66" s="32"/>
      <c r="C66" s="281" t="str">
        <f t="shared" si="20"/>
        <v/>
      </c>
      <c r="D66" s="61"/>
      <c r="E66" s="658"/>
      <c r="F66" s="752"/>
      <c r="G66" s="34"/>
      <c r="H66" s="281" t="str">
        <f t="shared" si="21"/>
        <v/>
      </c>
      <c r="I66" s="61"/>
      <c r="J66" s="62"/>
      <c r="K66" s="425">
        <f>MIN(C49,H49,M51)</f>
        <v>0</v>
      </c>
      <c r="L66" s="426" t="str">
        <f>SUBSTITUTE(TEXT(L65,"# ##0\ рублей ,00\ копеек"),",",)</f>
        <v>0 рублей 00 копеек</v>
      </c>
    </row>
    <row r="67" spans="1:14" ht="17.149999999999999" customHeight="1" outlineLevel="1" x14ac:dyDescent="0.35">
      <c r="A67" s="32"/>
      <c r="C67" s="281" t="str">
        <f t="shared" si="20"/>
        <v/>
      </c>
      <c r="D67" s="61"/>
      <c r="E67" s="658"/>
      <c r="F67" s="752"/>
      <c r="G67" s="34"/>
      <c r="H67" s="281" t="str">
        <f t="shared" si="21"/>
        <v/>
      </c>
      <c r="I67" s="61"/>
      <c r="J67" s="62"/>
      <c r="K67" s="105"/>
      <c r="L67" s="132"/>
    </row>
    <row r="68" spans="1:14" ht="17.149999999999999" customHeight="1" outlineLevel="1" x14ac:dyDescent="0.35">
      <c r="A68" s="32"/>
      <c r="C68" s="281" t="str">
        <f t="shared" si="20"/>
        <v/>
      </c>
      <c r="D68" s="61"/>
      <c r="E68" s="658"/>
      <c r="F68" s="752"/>
      <c r="G68" s="34"/>
      <c r="H68" s="281" t="str">
        <f t="shared" si="21"/>
        <v/>
      </c>
      <c r="I68" s="61"/>
      <c r="J68" s="62"/>
      <c r="K68" s="105"/>
      <c r="L68" s="132"/>
    </row>
    <row r="69" spans="1:14" ht="17.149999999999999" customHeight="1" outlineLevel="1" thickBot="1" x14ac:dyDescent="0.4">
      <c r="A69" s="32"/>
      <c r="C69" s="281" t="str">
        <f t="shared" si="20"/>
        <v/>
      </c>
      <c r="D69" s="38"/>
      <c r="E69" s="659"/>
      <c r="F69" s="752"/>
      <c r="G69" s="40"/>
      <c r="H69" s="281" t="str">
        <f t="shared" si="21"/>
        <v/>
      </c>
      <c r="I69" s="38"/>
      <c r="J69" s="39"/>
      <c r="K69" s="105"/>
      <c r="L69" s="132"/>
    </row>
    <row r="70" spans="1:14" ht="17.149999999999999" customHeight="1" outlineLevel="1" thickTop="1" thickBot="1" x14ac:dyDescent="0.4">
      <c r="A70" s="171" t="s">
        <v>47</v>
      </c>
      <c r="B70" s="208">
        <f>SUM(B60:B69)</f>
        <v>0</v>
      </c>
      <c r="C70" s="282" t="str">
        <f>IF(B70=0,"",SUBSTITUTE(TEXT(B70,"# ##0\ рублей ,00\ копеек"),",",))</f>
        <v/>
      </c>
      <c r="D70" s="49"/>
      <c r="E70" s="660"/>
      <c r="F70" s="744" t="s">
        <v>47</v>
      </c>
      <c r="G70" s="208">
        <f>SUM(G60:G69)</f>
        <v>0</v>
      </c>
      <c r="H70" s="282" t="str">
        <f>IF(G70=0,"",SUBSTITUTE(TEXT(G70,"# ##0\ рублей ,00\ копеек"),",",))</f>
        <v/>
      </c>
      <c r="I70" s="49"/>
      <c r="J70" s="50"/>
      <c r="K70" s="136"/>
      <c r="L70" s="137"/>
    </row>
    <row r="71" spans="1:14" ht="17.149999999999999" customHeight="1" thickTop="1" thickBot="1" x14ac:dyDescent="0.4">
      <c r="A71" s="133"/>
      <c r="B71" s="645"/>
      <c r="C71" s="617"/>
      <c r="D71" s="617"/>
      <c r="E71" s="617"/>
      <c r="F71" s="617"/>
      <c r="G71" s="105"/>
      <c r="H71" s="105"/>
      <c r="I71" s="105"/>
      <c r="J71" s="105"/>
      <c r="K71" s="105"/>
      <c r="L71" s="134"/>
    </row>
    <row r="72" spans="1:14" ht="17.149999999999999" customHeight="1" thickTop="1" thickBot="1" x14ac:dyDescent="0.4">
      <c r="A72" s="820" t="s">
        <v>639</v>
      </c>
      <c r="B72" s="821"/>
      <c r="C72" s="821"/>
      <c r="D72" s="821"/>
      <c r="E72" s="821"/>
      <c r="F72" s="821"/>
      <c r="G72" s="821"/>
      <c r="H72" s="821"/>
      <c r="I72" s="821"/>
      <c r="J72" s="821"/>
      <c r="K72" s="821"/>
      <c r="L72" s="821"/>
      <c r="M72" s="821"/>
      <c r="N72" s="822"/>
    </row>
    <row r="73" spans="1:14" ht="17.149999999999999" customHeight="1" outlineLevel="1" thickTop="1" thickBot="1" x14ac:dyDescent="0.4">
      <c r="A73" s="777" t="s">
        <v>146</v>
      </c>
      <c r="B73" s="779"/>
      <c r="C73" s="815" t="s">
        <v>600</v>
      </c>
      <c r="D73" s="816"/>
      <c r="E73" s="817"/>
      <c r="F73" s="780" t="s">
        <v>617</v>
      </c>
      <c r="G73" s="782"/>
      <c r="H73" s="780" t="s">
        <v>601</v>
      </c>
      <c r="I73" s="782"/>
      <c r="J73" s="780" t="s">
        <v>588</v>
      </c>
      <c r="K73" s="781"/>
      <c r="L73" s="781"/>
      <c r="M73" s="781"/>
      <c r="N73" s="782"/>
    </row>
    <row r="74" spans="1:14" ht="17.149999999999999" customHeight="1" outlineLevel="1" thickTop="1" thickBot="1" x14ac:dyDescent="0.4">
      <c r="A74" s="172" t="s">
        <v>5</v>
      </c>
      <c r="B74" s="679" t="s">
        <v>612</v>
      </c>
      <c r="C74" s="172" t="s">
        <v>5</v>
      </c>
      <c r="D74" s="172" t="s">
        <v>4</v>
      </c>
      <c r="E74" s="739" t="s">
        <v>602</v>
      </c>
      <c r="F74" s="739" t="s">
        <v>5</v>
      </c>
      <c r="G74" s="172" t="s">
        <v>606</v>
      </c>
      <c r="H74" s="172" t="s">
        <v>5</v>
      </c>
      <c r="I74" s="172" t="s">
        <v>603</v>
      </c>
      <c r="J74" s="172" t="s">
        <v>5</v>
      </c>
      <c r="K74" s="172" t="s">
        <v>4</v>
      </c>
      <c r="L74" s="172" t="s">
        <v>604</v>
      </c>
      <c r="M74" s="172" t="s">
        <v>668</v>
      </c>
      <c r="N74" s="172" t="s">
        <v>666</v>
      </c>
    </row>
    <row r="75" spans="1:14" ht="17.149999999999999" customHeight="1" outlineLevel="1" thickTop="1" thickBot="1" x14ac:dyDescent="0.4">
      <c r="A75" s="176"/>
      <c r="B75" s="683"/>
      <c r="C75" s="24"/>
      <c r="D75" s="181"/>
      <c r="E75" s="654"/>
      <c r="F75" s="697"/>
      <c r="G75" s="181"/>
      <c r="H75" s="24"/>
      <c r="I75" s="181"/>
      <c r="J75" s="24"/>
      <c r="K75" s="181"/>
      <c r="L75" s="180"/>
      <c r="M75" s="181"/>
      <c r="N75" s="182"/>
    </row>
    <row r="76" spans="1:14" ht="17.149999999999999" customHeight="1" outlineLevel="1" thickTop="1" thickBot="1" x14ac:dyDescent="0.4">
      <c r="A76" s="285">
        <f>IF(WEEKDAY(WORKDAY.INTL(A75,30,"0000000"),2)=6,WORKDAY.INTL(A75,30,"0000000")+2,IF(WEEKDAY(WORKDAY.INTL(A75,30,"0000000"),2)=7,WORKDAY.INTL(A75,30,"0000000")+1,WORKDAY.INTL(A75,30,"0000000")))</f>
        <v>30</v>
      </c>
      <c r="C76" s="105"/>
      <c r="D76" s="303" t="str">
        <f>IF(WEEKDAY(WORKDAY.INTL(A75,20,"0000000",DRAFT!X54:X175),2)=6,"СБТ",IF(WEEKDAY(WORKDAY.INTL(A75,20,"0000000",DRAFT!X54:X175),2)=7,"ВКС",""))</f>
        <v/>
      </c>
      <c r="E76" s="661"/>
      <c r="F76" s="661"/>
      <c r="G76" s="105"/>
      <c r="H76" s="105"/>
      <c r="I76" s="105"/>
      <c r="J76" s="105"/>
      <c r="K76" s="105"/>
      <c r="L76" s="132"/>
      <c r="M76" s="400" t="s">
        <v>5516</v>
      </c>
    </row>
    <row r="77" spans="1:14" ht="17.149999999999999" customHeight="1" outlineLevel="1" thickTop="1" thickBot="1" x14ac:dyDescent="0.4">
      <c r="A77" s="815" t="s">
        <v>636</v>
      </c>
      <c r="B77" s="816"/>
      <c r="C77" s="816"/>
      <c r="D77" s="816"/>
      <c r="E77" s="816"/>
      <c r="F77" s="816"/>
      <c r="G77" s="816"/>
      <c r="H77" s="817"/>
      <c r="I77" s="815" t="s">
        <v>637</v>
      </c>
      <c r="J77" s="816"/>
      <c r="K77" s="816"/>
      <c r="L77" s="817"/>
      <c r="M77" s="24"/>
    </row>
    <row r="78" spans="1:14" ht="17.149999999999999" customHeight="1" outlineLevel="1" thickTop="1" thickBot="1" x14ac:dyDescent="0.4">
      <c r="A78" s="172" t="s">
        <v>5</v>
      </c>
      <c r="B78" s="679" t="s">
        <v>4</v>
      </c>
      <c r="C78" s="183" t="s">
        <v>606</v>
      </c>
      <c r="D78" s="183" t="s">
        <v>607</v>
      </c>
      <c r="E78" s="743" t="s">
        <v>608</v>
      </c>
      <c r="F78" s="743" t="s">
        <v>609</v>
      </c>
      <c r="G78" s="183" t="s">
        <v>610</v>
      </c>
      <c r="H78" s="183" t="s">
        <v>618</v>
      </c>
      <c r="I78" s="172" t="s">
        <v>5</v>
      </c>
      <c r="J78" s="172" t="s">
        <v>4</v>
      </c>
      <c r="K78" s="183" t="s">
        <v>606</v>
      </c>
      <c r="L78" s="183" t="s">
        <v>611</v>
      </c>
    </row>
    <row r="79" spans="1:14" ht="17.149999999999999" customHeight="1" outlineLevel="1" thickTop="1" x14ac:dyDescent="0.35">
      <c r="A79" s="187"/>
      <c r="B79" s="683"/>
      <c r="C79" s="165"/>
      <c r="D79" s="184"/>
      <c r="E79" s="656"/>
      <c r="F79" s="656"/>
      <c r="G79" s="184"/>
      <c r="H79" s="185"/>
      <c r="I79" s="24"/>
      <c r="J79" s="181"/>
      <c r="K79" s="181"/>
      <c r="L79" s="186"/>
      <c r="M79" s="243">
        <f>F79-G79</f>
        <v>0</v>
      </c>
    </row>
    <row r="80" spans="1:14" ht="17.149999999999999" customHeight="1" outlineLevel="1" thickBot="1" x14ac:dyDescent="0.4">
      <c r="A80" s="133"/>
      <c r="C80" s="105"/>
      <c r="D80" s="280" t="str">
        <f>SUBSTITUTE(TEXT(D79,"# ##0\ рублей ,00\ копеек"),",",)</f>
        <v>0 рублей 00 копеек</v>
      </c>
      <c r="E80" s="663" t="str">
        <f>SUBSTITUTE(TEXT(E79,"# ##0\ рублей ,00\ копеек"),",",)</f>
        <v>0 рублей 00 копеек</v>
      </c>
      <c r="F80" s="663" t="str">
        <f>SUBSTITUTE(TEXT(F79,"# ##0\ рублей ,00\ копеек"),",",)</f>
        <v>0 рублей 00 копеек</v>
      </c>
      <c r="G80" s="280" t="str">
        <f>SUBSTITUTE(TEXT(G79,"# ##0\ рублей ,00\ копеек"),",",)</f>
        <v>0 рублей 00 копеек</v>
      </c>
      <c r="H80" s="105"/>
      <c r="I80" s="105"/>
      <c r="J80" s="105"/>
      <c r="K80" s="105"/>
      <c r="L80" s="280" t="str">
        <f>SUBSTITUTE(TEXT(L79,"# ##0\ рублей ,00\ копеек"),",",)</f>
        <v>0 рублей 00 копеек</v>
      </c>
      <c r="M80" s="242" t="str">
        <f>SUBSTITUTE(TEXT(M79,"# ##0\ рублей ,00\ копеек"),",",)</f>
        <v>0 рублей 00 копеек</v>
      </c>
    </row>
    <row r="81" spans="1:13" ht="17.149999999999999" customHeight="1" outlineLevel="1" thickTop="1" thickBot="1" x14ac:dyDescent="0.4">
      <c r="A81" s="823" t="s">
        <v>620</v>
      </c>
      <c r="B81" s="824"/>
      <c r="C81" s="824"/>
      <c r="D81" s="824"/>
      <c r="E81" s="824"/>
      <c r="F81" s="824"/>
      <c r="G81" s="824"/>
      <c r="H81" s="825"/>
      <c r="I81" s="823" t="s">
        <v>621</v>
      </c>
      <c r="J81" s="824"/>
      <c r="K81" s="824"/>
      <c r="L81" s="825"/>
    </row>
    <row r="82" spans="1:13" ht="17.149999999999999" customHeight="1" outlineLevel="1" thickTop="1" thickBot="1" x14ac:dyDescent="0.4">
      <c r="A82" s="172" t="s">
        <v>5</v>
      </c>
      <c r="B82" s="679" t="s">
        <v>4</v>
      </c>
      <c r="C82" s="183" t="s">
        <v>606</v>
      </c>
      <c r="D82" s="183" t="s">
        <v>607</v>
      </c>
      <c r="E82" s="743" t="s">
        <v>608</v>
      </c>
      <c r="F82" s="743" t="s">
        <v>609</v>
      </c>
      <c r="G82" s="183" t="s">
        <v>610</v>
      </c>
      <c r="H82" s="183" t="s">
        <v>618</v>
      </c>
      <c r="I82" s="172" t="s">
        <v>5</v>
      </c>
      <c r="J82" s="172" t="s">
        <v>4</v>
      </c>
      <c r="K82" s="183" t="s">
        <v>606</v>
      </c>
      <c r="L82" s="183" t="s">
        <v>611</v>
      </c>
    </row>
    <row r="83" spans="1:13" ht="17.149999999999999" customHeight="1" outlineLevel="1" thickTop="1" x14ac:dyDescent="0.35">
      <c r="A83" s="187"/>
      <c r="B83" s="683"/>
      <c r="C83" s="165"/>
      <c r="D83" s="184"/>
      <c r="E83" s="656"/>
      <c r="F83" s="656"/>
      <c r="G83" s="184"/>
      <c r="H83" s="185"/>
      <c r="I83" s="24"/>
      <c r="J83" s="181"/>
      <c r="K83" s="181"/>
      <c r="L83" s="186"/>
      <c r="M83" s="243">
        <f>F83-G83</f>
        <v>0</v>
      </c>
    </row>
    <row r="84" spans="1:13" ht="17.149999999999999" customHeight="1" outlineLevel="1" thickBot="1" x14ac:dyDescent="0.4">
      <c r="A84" s="133"/>
      <c r="C84" s="105"/>
      <c r="D84" s="280" t="str">
        <f>SUBSTITUTE(TEXT(D83,"# ##0\ рублей ,00\ копеек"),",",)</f>
        <v>0 рублей 00 копеек</v>
      </c>
      <c r="E84" s="663" t="str">
        <f>SUBSTITUTE(TEXT(E83,"# ##0\ рублей ,00\ копеек"),",",)</f>
        <v>0 рублей 00 копеек</v>
      </c>
      <c r="F84" s="663" t="str">
        <f>SUBSTITUTE(TEXT(F83,"# ##0\ рублей ,00\ копеек"),",",)</f>
        <v>0 рублей 00 копеек</v>
      </c>
      <c r="G84" s="280" t="str">
        <f>SUBSTITUTE(TEXT(G83,"# ##0\ рублей ,00\ копеек"),",",)</f>
        <v>0 рублей 00 копеек</v>
      </c>
      <c r="H84" s="105"/>
      <c r="I84" s="105"/>
      <c r="J84" s="105"/>
      <c r="K84" s="105"/>
      <c r="L84" s="280" t="str">
        <f>SUBSTITUTE(TEXT(L83,"# ##0\ рублей ,00\ копеек"),",",)</f>
        <v>0 рублей 00 копеек</v>
      </c>
      <c r="M84" s="242" t="str">
        <f>SUBSTITUTE(TEXT(M83,"# ##0\ рублей ,00\ копеек"),",",)</f>
        <v>0 рублей 00 копеек</v>
      </c>
    </row>
    <row r="85" spans="1:13" ht="17.149999999999999" customHeight="1" outlineLevel="1" thickTop="1" thickBot="1" x14ac:dyDescent="0.4">
      <c r="A85" s="808" t="s">
        <v>1</v>
      </c>
      <c r="B85" s="814"/>
      <c r="C85" s="809"/>
      <c r="D85" s="172" t="s">
        <v>45</v>
      </c>
      <c r="E85" s="739" t="s">
        <v>46</v>
      </c>
      <c r="F85" s="808" t="s">
        <v>619</v>
      </c>
      <c r="G85" s="814"/>
      <c r="H85" s="809"/>
      <c r="I85" s="172" t="s">
        <v>45</v>
      </c>
      <c r="J85" s="172" t="s">
        <v>46</v>
      </c>
      <c r="K85" s="808" t="s">
        <v>463</v>
      </c>
      <c r="L85" s="809"/>
    </row>
    <row r="86" spans="1:13" ht="17.149999999999999" customHeight="1" outlineLevel="1" thickTop="1" thickBot="1" x14ac:dyDescent="0.4">
      <c r="A86" s="32"/>
      <c r="C86" s="281" t="str">
        <f>IF(ISBLANK(B86),"",SUBSTITUTE(TEXT(B86,"# ##0\ рублей ,00\ копеек"),",",))</f>
        <v/>
      </c>
      <c r="D86" s="61"/>
      <c r="E86" s="658"/>
      <c r="F86" s="701"/>
      <c r="G86" s="28"/>
      <c r="H86" s="281" t="str">
        <f>IF(ISBLANK(G86),"",SUBSTITUTE(TEXT(G86,"# ##0\ рублей ,00\ копеек"),",",))</f>
        <v/>
      </c>
      <c r="I86" s="61"/>
      <c r="J86" s="62"/>
      <c r="K86" s="172" t="s">
        <v>660</v>
      </c>
      <c r="L86" s="172" t="s">
        <v>634</v>
      </c>
    </row>
    <row r="87" spans="1:13" ht="17.149999999999999" customHeight="1" outlineLevel="1" thickTop="1" x14ac:dyDescent="0.35">
      <c r="A87" s="32"/>
      <c r="C87" s="281" t="str">
        <f>IF(ISBLANK(B87),"",SUBSTITUTE(TEXT(B87,"# ##0\ рублей ,00\ копеек"),",",))</f>
        <v/>
      </c>
      <c r="D87" s="61"/>
      <c r="E87" s="658"/>
      <c r="F87" s="701"/>
      <c r="G87" s="33"/>
      <c r="H87" s="281" t="str">
        <f>IF(ISBLANK(G87),"",SUBSTITUTE(TEXT(G87,"# ##0\ рублей ,00\ копеек"),",",))</f>
        <v/>
      </c>
      <c r="I87" s="61"/>
      <c r="J87" s="62"/>
      <c r="K87" s="278">
        <f>MAX(H75-$A$24+1,0)</f>
        <v>0</v>
      </c>
      <c r="L87" s="279">
        <f>MAX(G86*K87*0.01,0)</f>
        <v>0</v>
      </c>
    </row>
    <row r="88" spans="1:13" ht="17.149999999999999" customHeight="1" outlineLevel="1" thickBot="1" x14ac:dyDescent="0.4">
      <c r="A88" s="32"/>
      <c r="C88" s="281" t="str">
        <f t="shared" ref="C88:C95" si="22">IF(ISBLANK(B88),"",SUBSTITUTE(TEXT(B88,"# ##0\ рублей ,00\ копеек"),",",))</f>
        <v/>
      </c>
      <c r="D88" s="61"/>
      <c r="E88" s="658"/>
      <c r="F88" s="701"/>
      <c r="G88" s="33"/>
      <c r="H88" s="281" t="str">
        <f t="shared" ref="H88:H95" si="23">IF(ISBLANK(G88),"",SUBSTITUTE(TEXT(G88,"# ##0\ рублей ,00\ копеек"),",",))</f>
        <v/>
      </c>
      <c r="I88" s="61"/>
      <c r="J88" s="62"/>
      <c r="K88" s="53"/>
      <c r="L88" s="280" t="str">
        <f>SUBSTITUTE(TEXT(L87,"# ##0\ рублей ,00\ копеек"),",",)</f>
        <v>0 рублей 00 копеек</v>
      </c>
      <c r="M88" s="51" t="s">
        <v>151</v>
      </c>
    </row>
    <row r="89" spans="1:13" ht="17.149999999999999" customHeight="1" outlineLevel="1" thickTop="1" thickBot="1" x14ac:dyDescent="0.4">
      <c r="A89" s="32"/>
      <c r="C89" s="281" t="str">
        <f t="shared" si="22"/>
        <v/>
      </c>
      <c r="D89" s="61"/>
      <c r="E89" s="658"/>
      <c r="F89" s="701"/>
      <c r="G89" s="34"/>
      <c r="H89" s="281" t="str">
        <f t="shared" si="23"/>
        <v/>
      </c>
      <c r="I89" s="61"/>
      <c r="J89" s="62"/>
      <c r="K89" s="808" t="s">
        <v>80</v>
      </c>
      <c r="L89" s="809"/>
    </row>
    <row r="90" spans="1:13" ht="17.149999999999999" customHeight="1" outlineLevel="1" thickTop="1" thickBot="1" x14ac:dyDescent="0.4">
      <c r="A90" s="32"/>
      <c r="C90" s="281" t="str">
        <f t="shared" si="22"/>
        <v/>
      </c>
      <c r="D90" s="61"/>
      <c r="E90" s="658"/>
      <c r="F90" s="701"/>
      <c r="G90" s="34"/>
      <c r="H90" s="281" t="str">
        <f t="shared" si="23"/>
        <v/>
      </c>
      <c r="I90" s="61"/>
      <c r="J90" s="62"/>
      <c r="K90" s="172" t="s">
        <v>660</v>
      </c>
      <c r="L90" s="172" t="s">
        <v>634</v>
      </c>
    </row>
    <row r="91" spans="1:13" ht="17.149999999999999" customHeight="1" outlineLevel="1" thickTop="1" x14ac:dyDescent="0.35">
      <c r="A91" s="32"/>
      <c r="C91" s="281" t="str">
        <f t="shared" si="22"/>
        <v/>
      </c>
      <c r="D91" s="61"/>
      <c r="E91" s="658"/>
      <c r="F91" s="701"/>
      <c r="G91" s="34"/>
      <c r="H91" s="281" t="str">
        <f t="shared" si="23"/>
        <v/>
      </c>
      <c r="I91" s="61"/>
      <c r="J91" s="62"/>
      <c r="K91" s="278">
        <f>IF(AND(K39=0,K65=0),MAX(K92-$A$24+1,0),0)</f>
        <v>0</v>
      </c>
      <c r="L91" s="279">
        <f>IFERROR(MAX(D18*0.0005*K91,0),0)</f>
        <v>0</v>
      </c>
    </row>
    <row r="92" spans="1:13" ht="17.149999999999999" customHeight="1" outlineLevel="1" x14ac:dyDescent="0.35">
      <c r="A92" s="32"/>
      <c r="C92" s="281" t="str">
        <f t="shared" si="22"/>
        <v/>
      </c>
      <c r="D92" s="61"/>
      <c r="E92" s="658"/>
      <c r="F92" s="701"/>
      <c r="G92" s="34"/>
      <c r="H92" s="281" t="str">
        <f t="shared" si="23"/>
        <v/>
      </c>
      <c r="I92" s="61"/>
      <c r="J92" s="62"/>
      <c r="K92" s="414">
        <f>MIN(C75,H75,M77)</f>
        <v>0</v>
      </c>
      <c r="L92" s="280" t="str">
        <f>SUBSTITUTE(TEXT(L91,"# ##0\ рублей ,00\ копеек"),",",)</f>
        <v>0 рублей 00 копеек</v>
      </c>
    </row>
    <row r="93" spans="1:13" ht="17.149999999999999" customHeight="1" outlineLevel="1" x14ac:dyDescent="0.35">
      <c r="A93" s="32"/>
      <c r="C93" s="281" t="str">
        <f t="shared" si="22"/>
        <v/>
      </c>
      <c r="D93" s="61"/>
      <c r="E93" s="658"/>
      <c r="F93" s="701"/>
      <c r="G93" s="34"/>
      <c r="H93" s="281" t="str">
        <f t="shared" si="23"/>
        <v/>
      </c>
      <c r="I93" s="61"/>
      <c r="J93" s="62"/>
      <c r="K93" s="105"/>
      <c r="L93" s="132"/>
    </row>
    <row r="94" spans="1:13" ht="17.149999999999999" customHeight="1" outlineLevel="1" x14ac:dyDescent="0.35">
      <c r="A94" s="32"/>
      <c r="C94" s="281" t="str">
        <f t="shared" si="22"/>
        <v/>
      </c>
      <c r="D94" s="61"/>
      <c r="E94" s="658"/>
      <c r="F94" s="701"/>
      <c r="G94" s="34"/>
      <c r="H94" s="281" t="str">
        <f t="shared" si="23"/>
        <v/>
      </c>
      <c r="I94" s="61"/>
      <c r="J94" s="62"/>
      <c r="K94" s="105"/>
      <c r="L94" s="132"/>
    </row>
    <row r="95" spans="1:13" ht="17.149999999999999" customHeight="1" outlineLevel="1" thickBot="1" x14ac:dyDescent="0.4">
      <c r="A95" s="32"/>
      <c r="C95" s="281" t="str">
        <f t="shared" si="22"/>
        <v/>
      </c>
      <c r="D95" s="38"/>
      <c r="E95" s="659"/>
      <c r="F95" s="701"/>
      <c r="G95" s="40"/>
      <c r="H95" s="281" t="str">
        <f t="shared" si="23"/>
        <v/>
      </c>
      <c r="I95" s="38"/>
      <c r="J95" s="39"/>
      <c r="K95" s="105"/>
      <c r="L95" s="132"/>
    </row>
    <row r="96" spans="1:13" ht="17.149999999999999" customHeight="1" outlineLevel="1" thickTop="1" thickBot="1" x14ac:dyDescent="0.4">
      <c r="A96" s="171" t="s">
        <v>47</v>
      </c>
      <c r="B96" s="208">
        <f>SUM(B86:B95)</f>
        <v>0</v>
      </c>
      <c r="C96" s="282" t="str">
        <f>IF(B96=0,"",SUBSTITUTE(TEXT(B96,"# ##0\ рублей ,00\ копеек"),",",))</f>
        <v/>
      </c>
      <c r="D96" s="49"/>
      <c r="E96" s="660"/>
      <c r="F96" s="744" t="s">
        <v>47</v>
      </c>
      <c r="G96" s="208">
        <f>SUM(G86:G95)</f>
        <v>0</v>
      </c>
      <c r="H96" s="282" t="str">
        <f>IF(G96=0,"",SUBSTITUTE(TEXT(G96,"# ##0\ рублей ,00\ копеек"),",",))</f>
        <v/>
      </c>
      <c r="I96" s="49"/>
      <c r="J96" s="50"/>
      <c r="K96" s="136"/>
      <c r="L96" s="137"/>
    </row>
    <row r="97" spans="1:14" ht="17.149999999999999" customHeight="1" thickTop="1" thickBot="1" x14ac:dyDescent="0.4">
      <c r="A97" s="133"/>
      <c r="B97" s="645"/>
      <c r="C97" s="617"/>
      <c r="D97" s="617"/>
      <c r="E97" s="617"/>
      <c r="F97" s="617"/>
      <c r="G97" s="105"/>
      <c r="H97" s="105"/>
      <c r="I97" s="105"/>
      <c r="J97" s="105"/>
      <c r="K97" s="105"/>
      <c r="L97" s="105"/>
    </row>
    <row r="98" spans="1:14" ht="17.149999999999999" customHeight="1" thickTop="1" thickBot="1" x14ac:dyDescent="0.4">
      <c r="A98" s="820" t="s">
        <v>640</v>
      </c>
      <c r="B98" s="821"/>
      <c r="C98" s="821"/>
      <c r="D98" s="821"/>
      <c r="E98" s="821"/>
      <c r="F98" s="821"/>
      <c r="G98" s="821"/>
      <c r="H98" s="821"/>
      <c r="I98" s="821"/>
      <c r="J98" s="821"/>
      <c r="K98" s="821"/>
      <c r="L98" s="821"/>
      <c r="M98" s="821"/>
      <c r="N98" s="822"/>
    </row>
    <row r="99" spans="1:14" ht="17.149999999999999" customHeight="1" outlineLevel="1" thickTop="1" thickBot="1" x14ac:dyDescent="0.4">
      <c r="A99" s="777" t="s">
        <v>146</v>
      </c>
      <c r="B99" s="779"/>
      <c r="C99" s="815" t="s">
        <v>600</v>
      </c>
      <c r="D99" s="816"/>
      <c r="E99" s="817"/>
      <c r="F99" s="780" t="s">
        <v>617</v>
      </c>
      <c r="G99" s="782"/>
      <c r="H99" s="780" t="s">
        <v>601</v>
      </c>
      <c r="I99" s="782"/>
      <c r="J99" s="780" t="s">
        <v>588</v>
      </c>
      <c r="K99" s="781"/>
      <c r="L99" s="781"/>
      <c r="M99" s="781"/>
      <c r="N99" s="782"/>
    </row>
    <row r="100" spans="1:14" ht="17.149999999999999" customHeight="1" outlineLevel="1" thickTop="1" thickBot="1" x14ac:dyDescent="0.4">
      <c r="A100" s="172" t="s">
        <v>5</v>
      </c>
      <c r="B100" s="679" t="s">
        <v>612</v>
      </c>
      <c r="C100" s="172" t="s">
        <v>5</v>
      </c>
      <c r="D100" s="172" t="s">
        <v>4</v>
      </c>
      <c r="E100" s="739" t="s">
        <v>602</v>
      </c>
      <c r="F100" s="739" t="s">
        <v>5</v>
      </c>
      <c r="G100" s="172" t="s">
        <v>606</v>
      </c>
      <c r="H100" s="172" t="s">
        <v>5</v>
      </c>
      <c r="I100" s="172" t="s">
        <v>603</v>
      </c>
      <c r="J100" s="172" t="s">
        <v>5</v>
      </c>
      <c r="K100" s="172" t="s">
        <v>4</v>
      </c>
      <c r="L100" s="172" t="s">
        <v>604</v>
      </c>
      <c r="M100" s="172" t="s">
        <v>668</v>
      </c>
      <c r="N100" s="172" t="s">
        <v>666</v>
      </c>
    </row>
    <row r="101" spans="1:14" ht="17.149999999999999" customHeight="1" outlineLevel="1" thickTop="1" thickBot="1" x14ac:dyDescent="0.4">
      <c r="A101" s="176"/>
      <c r="B101" s="683"/>
      <c r="C101" s="24"/>
      <c r="D101" s="181"/>
      <c r="E101" s="654"/>
      <c r="F101" s="697"/>
      <c r="G101" s="181"/>
      <c r="H101" s="24"/>
      <c r="I101" s="181"/>
      <c r="J101" s="24"/>
      <c r="K101" s="181"/>
      <c r="L101" s="180"/>
      <c r="M101" s="181"/>
      <c r="N101" s="182"/>
    </row>
    <row r="102" spans="1:14" ht="17.149999999999999" customHeight="1" outlineLevel="1" thickTop="1" thickBot="1" x14ac:dyDescent="0.4">
      <c r="A102" s="285">
        <f>IF(WEEKDAY(WORKDAY.INTL(A101,30,"0000000"),2)=6,WORKDAY.INTL(A101,30,"0000000")+2,IF(WEEKDAY(WORKDAY.INTL(A101,30,"0000000"),2)=7,WORKDAY.INTL(A101,30,"0000000")+1,WORKDAY.INTL(A101,30,"0000000")))</f>
        <v>30</v>
      </c>
      <c r="C102" s="105"/>
      <c r="D102" s="303" t="str">
        <f>IF(WEEKDAY(WORKDAY.INTL(A101,20,"0000000",DRAFT!X80:X201),2)=6,"СБТ",IF(WEEKDAY(WORKDAY.INTL(A101,20,"0000000",DRAFT!X80:X201),2)=7,"ВКС",""))</f>
        <v/>
      </c>
      <c r="E102" s="661"/>
      <c r="F102" s="661"/>
      <c r="G102" s="105"/>
      <c r="H102" s="105"/>
      <c r="I102" s="105"/>
      <c r="J102" s="105"/>
      <c r="K102" s="105"/>
      <c r="L102" s="132"/>
      <c r="M102" s="400" t="s">
        <v>5516</v>
      </c>
    </row>
    <row r="103" spans="1:14" ht="17.149999999999999" customHeight="1" outlineLevel="1" thickTop="1" thickBot="1" x14ac:dyDescent="0.4">
      <c r="A103" s="815" t="s">
        <v>636</v>
      </c>
      <c r="B103" s="816"/>
      <c r="C103" s="816"/>
      <c r="D103" s="816"/>
      <c r="E103" s="816"/>
      <c r="F103" s="816"/>
      <c r="G103" s="816"/>
      <c r="H103" s="817"/>
      <c r="I103" s="815" t="s">
        <v>637</v>
      </c>
      <c r="J103" s="816"/>
      <c r="K103" s="816"/>
      <c r="L103" s="817"/>
      <c r="M103" s="24"/>
    </row>
    <row r="104" spans="1:14" ht="17.149999999999999" customHeight="1" outlineLevel="1" thickTop="1" thickBot="1" x14ac:dyDescent="0.4">
      <c r="A104" s="172" t="s">
        <v>5</v>
      </c>
      <c r="B104" s="679" t="s">
        <v>4</v>
      </c>
      <c r="C104" s="183" t="s">
        <v>606</v>
      </c>
      <c r="D104" s="183" t="s">
        <v>607</v>
      </c>
      <c r="E104" s="743" t="s">
        <v>608</v>
      </c>
      <c r="F104" s="743" t="s">
        <v>609</v>
      </c>
      <c r="G104" s="183" t="s">
        <v>610</v>
      </c>
      <c r="H104" s="183" t="s">
        <v>618</v>
      </c>
      <c r="I104" s="172" t="s">
        <v>5</v>
      </c>
      <c r="J104" s="172" t="s">
        <v>4</v>
      </c>
      <c r="K104" s="183" t="s">
        <v>606</v>
      </c>
      <c r="L104" s="183" t="s">
        <v>611</v>
      </c>
    </row>
    <row r="105" spans="1:14" ht="17.149999999999999" customHeight="1" outlineLevel="1" thickTop="1" x14ac:dyDescent="0.35">
      <c r="A105" s="187"/>
      <c r="B105" s="683"/>
      <c r="C105" s="165"/>
      <c r="D105" s="184"/>
      <c r="E105" s="656"/>
      <c r="F105" s="656"/>
      <c r="G105" s="184"/>
      <c r="H105" s="185"/>
      <c r="I105" s="24"/>
      <c r="J105" s="181"/>
      <c r="K105" s="181"/>
      <c r="L105" s="186"/>
      <c r="M105" s="243">
        <f>F105-G105</f>
        <v>0</v>
      </c>
    </row>
    <row r="106" spans="1:14" ht="17.149999999999999" customHeight="1" outlineLevel="1" thickBot="1" x14ac:dyDescent="0.4">
      <c r="A106" s="133"/>
      <c r="C106" s="105"/>
      <c r="D106" s="242" t="str">
        <f>SUBSTITUTE(TEXT(D105,"# ##0\ рублей ,00\ копеек"),",",)</f>
        <v>0 рублей 00 копеек</v>
      </c>
      <c r="E106" s="657" t="str">
        <f>SUBSTITUTE(TEXT(E105,"# ##0\ рублей ,00\ копеек"),",",)</f>
        <v>0 рублей 00 копеек</v>
      </c>
      <c r="F106" s="657" t="str">
        <f>SUBSTITUTE(TEXT(F105,"# ##0\ рублей ,00\ копеек"),",",)</f>
        <v>0 рублей 00 копеек</v>
      </c>
      <c r="G106" s="242" t="str">
        <f>SUBSTITUTE(TEXT(G105,"# ##0\ рублей ,00\ копеек"),",",)</f>
        <v>0 рублей 00 копеек</v>
      </c>
      <c r="H106" s="105"/>
      <c r="I106" s="105"/>
      <c r="J106" s="105"/>
      <c r="K106" s="105"/>
      <c r="L106" s="242" t="str">
        <f>SUBSTITUTE(TEXT(L105,"# ##0\ рублей ,00\ копеек"),",",)</f>
        <v>0 рублей 00 копеек</v>
      </c>
      <c r="M106" s="242" t="str">
        <f>SUBSTITUTE(TEXT(M105,"# ##0\ рублей ,00\ копеек"),",",)</f>
        <v>0 рублей 00 копеек</v>
      </c>
    </row>
    <row r="107" spans="1:14" ht="17.149999999999999" customHeight="1" outlineLevel="1" thickTop="1" thickBot="1" x14ac:dyDescent="0.4">
      <c r="A107" s="823" t="s">
        <v>620</v>
      </c>
      <c r="B107" s="824"/>
      <c r="C107" s="824"/>
      <c r="D107" s="824"/>
      <c r="E107" s="824"/>
      <c r="F107" s="824"/>
      <c r="G107" s="824"/>
      <c r="H107" s="825"/>
      <c r="I107" s="823" t="s">
        <v>621</v>
      </c>
      <c r="J107" s="824"/>
      <c r="K107" s="824"/>
      <c r="L107" s="825"/>
    </row>
    <row r="108" spans="1:14" ht="17.149999999999999" customHeight="1" outlineLevel="1" thickTop="1" thickBot="1" x14ac:dyDescent="0.4">
      <c r="A108" s="172" t="s">
        <v>5</v>
      </c>
      <c r="B108" s="679" t="s">
        <v>4</v>
      </c>
      <c r="C108" s="183" t="s">
        <v>606</v>
      </c>
      <c r="D108" s="183" t="s">
        <v>607</v>
      </c>
      <c r="E108" s="743" t="s">
        <v>608</v>
      </c>
      <c r="F108" s="743" t="s">
        <v>609</v>
      </c>
      <c r="G108" s="183" t="s">
        <v>610</v>
      </c>
      <c r="H108" s="183" t="s">
        <v>618</v>
      </c>
      <c r="I108" s="172" t="s">
        <v>5</v>
      </c>
      <c r="J108" s="172" t="s">
        <v>4</v>
      </c>
      <c r="K108" s="183" t="s">
        <v>606</v>
      </c>
      <c r="L108" s="183" t="s">
        <v>611</v>
      </c>
    </row>
    <row r="109" spans="1:14" ht="17.149999999999999" customHeight="1" outlineLevel="1" thickTop="1" x14ac:dyDescent="0.35">
      <c r="A109" s="187"/>
      <c r="B109" s="683"/>
      <c r="C109" s="165"/>
      <c r="D109" s="184"/>
      <c r="E109" s="656"/>
      <c r="F109" s="656"/>
      <c r="G109" s="184"/>
      <c r="H109" s="185"/>
      <c r="I109" s="24"/>
      <c r="J109" s="181"/>
      <c r="K109" s="181"/>
      <c r="L109" s="186"/>
      <c r="M109" s="243">
        <f>F109-G109</f>
        <v>0</v>
      </c>
    </row>
    <row r="110" spans="1:14" ht="17.149999999999999" customHeight="1" outlineLevel="1" thickBot="1" x14ac:dyDescent="0.4">
      <c r="A110" s="133"/>
      <c r="C110" s="105"/>
      <c r="D110" s="242" t="str">
        <f>SUBSTITUTE(TEXT(D109,"# ##0\ рублей ,00\ копеек"),",",)</f>
        <v>0 рублей 00 копеек</v>
      </c>
      <c r="E110" s="657" t="str">
        <f>SUBSTITUTE(TEXT(E109,"# ##0\ рублей ,00\ копеек"),",",)</f>
        <v>0 рублей 00 копеек</v>
      </c>
      <c r="F110" s="657" t="str">
        <f>SUBSTITUTE(TEXT(F109,"# ##0\ рублей ,00\ копеек"),",",)</f>
        <v>0 рублей 00 копеек</v>
      </c>
      <c r="G110" s="242" t="str">
        <f>SUBSTITUTE(TEXT(G109,"# ##0\ рублей ,00\ копеек"),",",)</f>
        <v>0 рублей 00 копеек</v>
      </c>
      <c r="H110" s="105"/>
      <c r="I110" s="105"/>
      <c r="J110" s="105"/>
      <c r="K110" s="105"/>
      <c r="L110" s="242" t="str">
        <f>SUBSTITUTE(TEXT(L109,"# ##0\ рублей ,00\ копеек"),",",)</f>
        <v>0 рублей 00 копеек</v>
      </c>
      <c r="M110" s="242" t="str">
        <f>SUBSTITUTE(TEXT(M109,"# ##0\ рублей ,00\ копеек"),",",)</f>
        <v>0 рублей 00 копеек</v>
      </c>
    </row>
    <row r="111" spans="1:14" ht="17.149999999999999" customHeight="1" outlineLevel="1" thickTop="1" thickBot="1" x14ac:dyDescent="0.4">
      <c r="A111" s="808" t="s">
        <v>1</v>
      </c>
      <c r="B111" s="814"/>
      <c r="C111" s="809"/>
      <c r="D111" s="172" t="s">
        <v>45</v>
      </c>
      <c r="E111" s="739" t="s">
        <v>46</v>
      </c>
      <c r="F111" s="808" t="s">
        <v>619</v>
      </c>
      <c r="G111" s="814"/>
      <c r="H111" s="809"/>
      <c r="I111" s="172" t="s">
        <v>45</v>
      </c>
      <c r="J111" s="172" t="s">
        <v>46</v>
      </c>
      <c r="K111" s="808" t="s">
        <v>463</v>
      </c>
      <c r="L111" s="809"/>
    </row>
    <row r="112" spans="1:14" ht="17.149999999999999" customHeight="1" outlineLevel="1" thickTop="1" thickBot="1" x14ac:dyDescent="0.4">
      <c r="A112" s="32"/>
      <c r="C112" s="281" t="str">
        <f>IF(ISBLANK(B112),"",SUBSTITUTE(TEXT(B112,"# ##0\ рублей ,00\ копеек"),",",))</f>
        <v/>
      </c>
      <c r="D112" s="61"/>
      <c r="E112" s="658"/>
      <c r="F112" s="701"/>
      <c r="G112" s="28"/>
      <c r="H112" s="281" t="str">
        <f>IF(ISBLANK(G112),"",SUBSTITUTE(TEXT(G112,"# ##0\ рублей ,00\ копеек"),",",))</f>
        <v/>
      </c>
      <c r="I112" s="61"/>
      <c r="J112" s="62"/>
      <c r="K112" s="172" t="s">
        <v>660</v>
      </c>
      <c r="L112" s="172" t="s">
        <v>634</v>
      </c>
    </row>
    <row r="113" spans="1:14" ht="17.149999999999999" customHeight="1" outlineLevel="1" thickTop="1" x14ac:dyDescent="0.35">
      <c r="A113" s="381"/>
      <c r="C113" s="281" t="str">
        <f>IF(ISBLANK(B113),"",SUBSTITUTE(TEXT(B113,"# ##0\ рублей ,00\ копеек"),",",))</f>
        <v/>
      </c>
      <c r="D113" s="61"/>
      <c r="E113" s="658"/>
      <c r="F113" s="701"/>
      <c r="G113" s="33"/>
      <c r="H113" s="281" t="str">
        <f>IF(ISBLANK(G113),"",SUBSTITUTE(TEXT(G113,"# ##0\ рублей ,00\ копеек"),",",))</f>
        <v/>
      </c>
      <c r="I113" s="61"/>
      <c r="J113" s="62"/>
      <c r="K113" s="278">
        <f>MAX(H101-$A$24+1,0)</f>
        <v>0</v>
      </c>
      <c r="L113" s="279">
        <f>MAX(G112*K113*0.01,0)</f>
        <v>0</v>
      </c>
    </row>
    <row r="114" spans="1:14" ht="17.149999999999999" customHeight="1" outlineLevel="1" thickBot="1" x14ac:dyDescent="0.4">
      <c r="A114" s="381"/>
      <c r="C114" s="281" t="str">
        <f t="shared" ref="C114:C121" si="24">IF(ISBLANK(B114),"",SUBSTITUTE(TEXT(B114,"# ##0\ рублей ,00\ копеек"),",",))</f>
        <v/>
      </c>
      <c r="D114" s="61"/>
      <c r="E114" s="658"/>
      <c r="F114" s="701"/>
      <c r="G114" s="33"/>
      <c r="H114" s="281" t="str">
        <f t="shared" ref="H114:H121" si="25">IF(ISBLANK(G114),"",SUBSTITUTE(TEXT(G114,"# ##0\ рублей ,00\ копеек"),",",))</f>
        <v/>
      </c>
      <c r="I114" s="61"/>
      <c r="J114" s="62"/>
      <c r="K114" s="53"/>
      <c r="L114" s="280" t="str">
        <f>SUBSTITUTE(TEXT(L113,"# ##0\ рублей ,00\ копеек"),",",)</f>
        <v>0 рублей 00 копеек</v>
      </c>
      <c r="M114" s="51" t="s">
        <v>151</v>
      </c>
    </row>
    <row r="115" spans="1:14" ht="17.149999999999999" customHeight="1" outlineLevel="1" thickTop="1" thickBot="1" x14ac:dyDescent="0.4">
      <c r="A115" s="32"/>
      <c r="C115" s="281" t="str">
        <f t="shared" si="24"/>
        <v/>
      </c>
      <c r="D115" s="61"/>
      <c r="E115" s="658"/>
      <c r="F115" s="701"/>
      <c r="G115" s="34"/>
      <c r="H115" s="281" t="str">
        <f t="shared" si="25"/>
        <v/>
      </c>
      <c r="I115" s="61"/>
      <c r="J115" s="62"/>
      <c r="K115" s="808" t="s">
        <v>80</v>
      </c>
      <c r="L115" s="809"/>
    </row>
    <row r="116" spans="1:14" ht="17.149999999999999" customHeight="1" outlineLevel="1" thickTop="1" thickBot="1" x14ac:dyDescent="0.4">
      <c r="A116" s="32"/>
      <c r="C116" s="281" t="str">
        <f t="shared" si="24"/>
        <v/>
      </c>
      <c r="D116" s="61"/>
      <c r="E116" s="658"/>
      <c r="F116" s="701"/>
      <c r="G116" s="34"/>
      <c r="H116" s="281" t="str">
        <f t="shared" si="25"/>
        <v/>
      </c>
      <c r="I116" s="61"/>
      <c r="J116" s="62"/>
      <c r="K116" s="172" t="s">
        <v>660</v>
      </c>
      <c r="L116" s="172" t="s">
        <v>634</v>
      </c>
    </row>
    <row r="117" spans="1:14" ht="17.149999999999999" customHeight="1" outlineLevel="1" thickTop="1" x14ac:dyDescent="0.35">
      <c r="A117" s="32"/>
      <c r="C117" s="281" t="str">
        <f t="shared" si="24"/>
        <v/>
      </c>
      <c r="D117" s="61"/>
      <c r="E117" s="658"/>
      <c r="F117" s="701"/>
      <c r="G117" s="34"/>
      <c r="H117" s="281" t="str">
        <f t="shared" si="25"/>
        <v/>
      </c>
      <c r="I117" s="61"/>
      <c r="J117" s="62"/>
      <c r="K117" s="278">
        <f>IF(AND(K39=0,K65=0,K91=0),MAX(K118-$A$24+1,0),0)</f>
        <v>0</v>
      </c>
      <c r="L117" s="279">
        <f>IFERROR(MAX(D18*0.0005*K117,0),0)</f>
        <v>0</v>
      </c>
    </row>
    <row r="118" spans="1:14" ht="17.149999999999999" customHeight="1" outlineLevel="1" x14ac:dyDescent="0.35">
      <c r="A118" s="32"/>
      <c r="C118" s="281" t="str">
        <f t="shared" si="24"/>
        <v/>
      </c>
      <c r="D118" s="61"/>
      <c r="E118" s="658"/>
      <c r="F118" s="701"/>
      <c r="G118" s="34"/>
      <c r="H118" s="281" t="str">
        <f t="shared" si="25"/>
        <v/>
      </c>
      <c r="I118" s="61"/>
      <c r="J118" s="62"/>
      <c r="K118" s="414">
        <f>MIN(C101,H101,M103)</f>
        <v>0</v>
      </c>
      <c r="L118" s="280" t="str">
        <f>SUBSTITUTE(TEXT(L117,"# ##0\ рублей ,00\ копеек"),",",)</f>
        <v>0 рублей 00 копеек</v>
      </c>
    </row>
    <row r="119" spans="1:14" ht="17.149999999999999" customHeight="1" outlineLevel="1" x14ac:dyDescent="0.35">
      <c r="A119" s="32"/>
      <c r="C119" s="281" t="str">
        <f t="shared" si="24"/>
        <v/>
      </c>
      <c r="D119" s="61"/>
      <c r="E119" s="658"/>
      <c r="F119" s="701"/>
      <c r="G119" s="34"/>
      <c r="H119" s="281" t="str">
        <f t="shared" si="25"/>
        <v/>
      </c>
      <c r="I119" s="61"/>
      <c r="J119" s="62"/>
      <c r="K119" s="105"/>
      <c r="L119" s="132"/>
    </row>
    <row r="120" spans="1:14" ht="17.149999999999999" customHeight="1" outlineLevel="1" x14ac:dyDescent="0.35">
      <c r="A120" s="32"/>
      <c r="C120" s="281" t="str">
        <f t="shared" si="24"/>
        <v/>
      </c>
      <c r="D120" s="61"/>
      <c r="E120" s="658"/>
      <c r="F120" s="701"/>
      <c r="G120" s="34"/>
      <c r="H120" s="281" t="str">
        <f t="shared" si="25"/>
        <v/>
      </c>
      <c r="I120" s="61"/>
      <c r="J120" s="62"/>
      <c r="K120" s="105"/>
      <c r="L120" s="132"/>
    </row>
    <row r="121" spans="1:14" ht="17.149999999999999" customHeight="1" outlineLevel="1" thickBot="1" x14ac:dyDescent="0.4">
      <c r="A121" s="32"/>
      <c r="C121" s="281" t="str">
        <f t="shared" si="24"/>
        <v/>
      </c>
      <c r="D121" s="38"/>
      <c r="E121" s="659"/>
      <c r="F121" s="701"/>
      <c r="G121" s="40"/>
      <c r="H121" s="281" t="str">
        <f t="shared" si="25"/>
        <v/>
      </c>
      <c r="I121" s="38"/>
      <c r="J121" s="39"/>
      <c r="K121" s="105"/>
      <c r="L121" s="132"/>
    </row>
    <row r="122" spans="1:14" ht="17.149999999999999" customHeight="1" outlineLevel="1" thickTop="1" thickBot="1" x14ac:dyDescent="0.4">
      <c r="A122" s="171" t="s">
        <v>47</v>
      </c>
      <c r="B122" s="208">
        <f>SUM(B112:B121)</f>
        <v>0</v>
      </c>
      <c r="C122" s="282" t="str">
        <f>IF(B122=0,"",SUBSTITUTE(TEXT(B122,"# ##0\ рублей ,00\ копеек"),",",))</f>
        <v/>
      </c>
      <c r="D122" s="49"/>
      <c r="E122" s="660"/>
      <c r="F122" s="744" t="s">
        <v>47</v>
      </c>
      <c r="G122" s="208">
        <f>SUM(G112:G121)</f>
        <v>0</v>
      </c>
      <c r="H122" s="282" t="str">
        <f>IF(G122=0,"",SUBSTITUTE(TEXT(G122,"# ##0\ рублей ,00\ копеек"),",",))</f>
        <v/>
      </c>
      <c r="I122" s="49"/>
      <c r="J122" s="50"/>
      <c r="K122" s="136"/>
      <c r="L122" s="137"/>
    </row>
    <row r="123" spans="1:14" ht="17.149999999999999" customHeight="1" thickTop="1" thickBot="1" x14ac:dyDescent="0.4">
      <c r="A123" s="133"/>
      <c r="B123" s="645"/>
      <c r="C123" s="617"/>
      <c r="D123" s="617"/>
      <c r="E123" s="617"/>
      <c r="F123" s="617"/>
      <c r="G123" s="105"/>
      <c r="H123" s="105"/>
      <c r="I123" s="105"/>
      <c r="J123" s="105"/>
      <c r="K123" s="105"/>
      <c r="L123" s="105"/>
    </row>
    <row r="124" spans="1:14" ht="17.149999999999999" customHeight="1" thickTop="1" thickBot="1" x14ac:dyDescent="0.4">
      <c r="A124" s="820" t="s">
        <v>641</v>
      </c>
      <c r="B124" s="821"/>
      <c r="C124" s="821"/>
      <c r="D124" s="821"/>
      <c r="E124" s="821"/>
      <c r="F124" s="821"/>
      <c r="G124" s="821"/>
      <c r="H124" s="821"/>
      <c r="I124" s="821"/>
      <c r="J124" s="821"/>
      <c r="K124" s="821"/>
      <c r="L124" s="821"/>
      <c r="M124" s="821"/>
      <c r="N124" s="822"/>
    </row>
    <row r="125" spans="1:14" ht="17.149999999999999" customHeight="1" outlineLevel="1" thickTop="1" thickBot="1" x14ac:dyDescent="0.4">
      <c r="A125" s="777" t="s">
        <v>146</v>
      </c>
      <c r="B125" s="779"/>
      <c r="C125" s="815" t="s">
        <v>600</v>
      </c>
      <c r="D125" s="816"/>
      <c r="E125" s="817"/>
      <c r="F125" s="780" t="s">
        <v>617</v>
      </c>
      <c r="G125" s="782"/>
      <c r="H125" s="780" t="s">
        <v>601</v>
      </c>
      <c r="I125" s="782"/>
      <c r="J125" s="780" t="s">
        <v>588</v>
      </c>
      <c r="K125" s="781"/>
      <c r="L125" s="781"/>
      <c r="M125" s="781"/>
      <c r="N125" s="782"/>
    </row>
    <row r="126" spans="1:14" ht="17.149999999999999" customHeight="1" outlineLevel="1" thickTop="1" thickBot="1" x14ac:dyDescent="0.4">
      <c r="A126" s="172" t="s">
        <v>5</v>
      </c>
      <c r="B126" s="679" t="s">
        <v>612</v>
      </c>
      <c r="C126" s="172" t="s">
        <v>5</v>
      </c>
      <c r="D126" s="172" t="s">
        <v>4</v>
      </c>
      <c r="E126" s="739" t="s">
        <v>602</v>
      </c>
      <c r="F126" s="739" t="s">
        <v>5</v>
      </c>
      <c r="G126" s="172" t="s">
        <v>606</v>
      </c>
      <c r="H126" s="172" t="s">
        <v>5</v>
      </c>
      <c r="I126" s="172" t="s">
        <v>603</v>
      </c>
      <c r="J126" s="172" t="s">
        <v>5</v>
      </c>
      <c r="K126" s="172" t="s">
        <v>4</v>
      </c>
      <c r="L126" s="172" t="s">
        <v>604</v>
      </c>
      <c r="M126" s="172" t="s">
        <v>668</v>
      </c>
      <c r="N126" s="172" t="s">
        <v>666</v>
      </c>
    </row>
    <row r="127" spans="1:14" ht="17.149999999999999" customHeight="1" outlineLevel="1" thickTop="1" thickBot="1" x14ac:dyDescent="0.4">
      <c r="A127" s="176"/>
      <c r="B127" s="683"/>
      <c r="C127" s="24"/>
      <c r="D127" s="181"/>
      <c r="E127" s="654"/>
      <c r="F127" s="697"/>
      <c r="G127" s="181"/>
      <c r="H127" s="24"/>
      <c r="I127" s="181"/>
      <c r="J127" s="24"/>
      <c r="K127" s="181"/>
      <c r="L127" s="180"/>
      <c r="M127" s="181"/>
      <c r="N127" s="182"/>
    </row>
    <row r="128" spans="1:14" ht="17.149999999999999" customHeight="1" outlineLevel="1" thickTop="1" thickBot="1" x14ac:dyDescent="0.4">
      <c r="A128" s="285">
        <f>IF(WEEKDAY(WORKDAY.INTL(A127,30,"0000000"),2)=6,WORKDAY.INTL(A127,30,"0000000")+2,IF(WEEKDAY(WORKDAY.INTL(A127,30,"0000000"),2)=7,WORKDAY.INTL(A127,30,"0000000")+1,WORKDAY.INTL(A127,30,"0000000")))</f>
        <v>30</v>
      </c>
      <c r="C128" s="105"/>
      <c r="D128" s="303" t="str">
        <f>IF(WEEKDAY(WORKDAY.INTL(A127,20,"0000000",DRAFT!X144:X227),2)=6,"СБТ",IF(WEEKDAY(WORKDAY.INTL(A127,20,"0000000",DRAFT!X144:X227),2)=7,"ВКС",""))</f>
        <v/>
      </c>
      <c r="E128" s="661"/>
      <c r="F128" s="661"/>
      <c r="G128" s="105"/>
      <c r="H128" s="105"/>
      <c r="I128" s="105"/>
      <c r="J128" s="105"/>
      <c r="K128" s="105"/>
      <c r="L128" s="132"/>
      <c r="M128" s="400" t="s">
        <v>5516</v>
      </c>
    </row>
    <row r="129" spans="1:13" ht="17.149999999999999" customHeight="1" outlineLevel="1" thickTop="1" thickBot="1" x14ac:dyDescent="0.4">
      <c r="A129" s="815" t="s">
        <v>636</v>
      </c>
      <c r="B129" s="816"/>
      <c r="C129" s="816"/>
      <c r="D129" s="816"/>
      <c r="E129" s="816"/>
      <c r="F129" s="816"/>
      <c r="G129" s="816"/>
      <c r="H129" s="817"/>
      <c r="I129" s="815" t="s">
        <v>637</v>
      </c>
      <c r="J129" s="816"/>
      <c r="K129" s="816"/>
      <c r="L129" s="817"/>
      <c r="M129" s="24"/>
    </row>
    <row r="130" spans="1:13" ht="17.149999999999999" customHeight="1" outlineLevel="1" thickTop="1" thickBot="1" x14ac:dyDescent="0.4">
      <c r="A130" s="172" t="s">
        <v>5</v>
      </c>
      <c r="B130" s="679" t="s">
        <v>4</v>
      </c>
      <c r="C130" s="183" t="s">
        <v>606</v>
      </c>
      <c r="D130" s="183" t="s">
        <v>607</v>
      </c>
      <c r="E130" s="743" t="s">
        <v>608</v>
      </c>
      <c r="F130" s="743" t="s">
        <v>609</v>
      </c>
      <c r="G130" s="183" t="s">
        <v>610</v>
      </c>
      <c r="H130" s="183" t="s">
        <v>618</v>
      </c>
      <c r="I130" s="172" t="s">
        <v>5</v>
      </c>
      <c r="J130" s="172" t="s">
        <v>4</v>
      </c>
      <c r="K130" s="183" t="s">
        <v>606</v>
      </c>
      <c r="L130" s="183" t="s">
        <v>611</v>
      </c>
    </row>
    <row r="131" spans="1:13" ht="17.149999999999999" customHeight="1" outlineLevel="1" thickTop="1" x14ac:dyDescent="0.35">
      <c r="A131" s="187"/>
      <c r="B131" s="683"/>
      <c r="C131" s="165"/>
      <c r="D131" s="184"/>
      <c r="E131" s="656"/>
      <c r="F131" s="656"/>
      <c r="G131" s="184"/>
      <c r="H131" s="185"/>
      <c r="I131" s="24"/>
      <c r="J131" s="181"/>
      <c r="K131" s="181"/>
      <c r="L131" s="186"/>
      <c r="M131" s="243">
        <f>F131-G131</f>
        <v>0</v>
      </c>
    </row>
    <row r="132" spans="1:13" ht="17.149999999999999" customHeight="1" outlineLevel="1" thickBot="1" x14ac:dyDescent="0.4">
      <c r="A132" s="133"/>
      <c r="C132" s="105"/>
      <c r="D132" s="242" t="str">
        <f>SUBSTITUTE(TEXT(D131,"# ##0\ рублей ,00\ копеек"),",",)</f>
        <v>0 рублей 00 копеек</v>
      </c>
      <c r="E132" s="657" t="str">
        <f>SUBSTITUTE(TEXT(E131,"# ##0\ рублей ,00\ копеек"),",",)</f>
        <v>0 рублей 00 копеек</v>
      </c>
      <c r="F132" s="657" t="str">
        <f>SUBSTITUTE(TEXT(F131,"# ##0\ рублей ,00\ копеек"),",",)</f>
        <v>0 рублей 00 копеек</v>
      </c>
      <c r="G132" s="242" t="str">
        <f>SUBSTITUTE(TEXT(G131,"# ##0\ рублей ,00\ копеек"),",",)</f>
        <v>0 рублей 00 копеек</v>
      </c>
      <c r="H132" s="105"/>
      <c r="I132" s="105"/>
      <c r="J132" s="105"/>
      <c r="K132" s="105"/>
      <c r="L132" s="242" t="str">
        <f>SUBSTITUTE(TEXT(L131,"# ##0\ рублей ,00\ копеек"),",",)</f>
        <v>0 рублей 00 копеек</v>
      </c>
      <c r="M132" s="242" t="str">
        <f>SUBSTITUTE(TEXT(M131,"# ##0\ рублей ,00\ копеек"),",",)</f>
        <v>0 рублей 00 копеек</v>
      </c>
    </row>
    <row r="133" spans="1:13" ht="17.149999999999999" customHeight="1" outlineLevel="1" thickTop="1" thickBot="1" x14ac:dyDescent="0.4">
      <c r="A133" s="823" t="s">
        <v>620</v>
      </c>
      <c r="B133" s="824"/>
      <c r="C133" s="824"/>
      <c r="D133" s="824"/>
      <c r="E133" s="824"/>
      <c r="F133" s="824"/>
      <c r="G133" s="824"/>
      <c r="H133" s="825"/>
      <c r="I133" s="823" t="s">
        <v>621</v>
      </c>
      <c r="J133" s="824"/>
      <c r="K133" s="824"/>
      <c r="L133" s="825"/>
    </row>
    <row r="134" spans="1:13" ht="17.149999999999999" customHeight="1" outlineLevel="1" thickTop="1" thickBot="1" x14ac:dyDescent="0.4">
      <c r="A134" s="172" t="s">
        <v>5</v>
      </c>
      <c r="B134" s="679" t="s">
        <v>4</v>
      </c>
      <c r="C134" s="183" t="s">
        <v>606</v>
      </c>
      <c r="D134" s="183" t="s">
        <v>607</v>
      </c>
      <c r="E134" s="743" t="s">
        <v>608</v>
      </c>
      <c r="F134" s="743" t="s">
        <v>609</v>
      </c>
      <c r="G134" s="183" t="s">
        <v>610</v>
      </c>
      <c r="H134" s="183" t="s">
        <v>618</v>
      </c>
      <c r="I134" s="172" t="s">
        <v>5</v>
      </c>
      <c r="J134" s="172" t="s">
        <v>4</v>
      </c>
      <c r="K134" s="183" t="s">
        <v>606</v>
      </c>
      <c r="L134" s="183" t="s">
        <v>611</v>
      </c>
    </row>
    <row r="135" spans="1:13" ht="17.149999999999999" customHeight="1" outlineLevel="1" thickTop="1" x14ac:dyDescent="0.35">
      <c r="A135" s="187"/>
      <c r="B135" s="683"/>
      <c r="C135" s="165"/>
      <c r="D135" s="184"/>
      <c r="E135" s="656"/>
      <c r="F135" s="656"/>
      <c r="G135" s="184"/>
      <c r="H135" s="185"/>
      <c r="I135" s="24"/>
      <c r="J135" s="181"/>
      <c r="K135" s="181"/>
      <c r="L135" s="186"/>
      <c r="M135" s="243">
        <f>F135-G135</f>
        <v>0</v>
      </c>
    </row>
    <row r="136" spans="1:13" ht="17.149999999999999" customHeight="1" outlineLevel="1" thickBot="1" x14ac:dyDescent="0.4">
      <c r="A136" s="133"/>
      <c r="C136" s="105"/>
      <c r="D136" s="242" t="str">
        <f>SUBSTITUTE(TEXT(D135,"# ##0\ рублей ,00\ копеек"),",",)</f>
        <v>0 рублей 00 копеек</v>
      </c>
      <c r="E136" s="657" t="str">
        <f>SUBSTITUTE(TEXT(E135,"# ##0\ рублей ,00\ копеек"),",",)</f>
        <v>0 рублей 00 копеек</v>
      </c>
      <c r="F136" s="657" t="str">
        <f>SUBSTITUTE(TEXT(F135,"# ##0\ рублей ,00\ копеек"),",",)</f>
        <v>0 рублей 00 копеек</v>
      </c>
      <c r="G136" s="242" t="str">
        <f>SUBSTITUTE(TEXT(G135,"# ##0\ рублей ,00\ копеек"),",",)</f>
        <v>0 рублей 00 копеек</v>
      </c>
      <c r="H136" s="105"/>
      <c r="I136" s="105"/>
      <c r="J136" s="105"/>
      <c r="K136" s="105"/>
      <c r="L136" s="242" t="str">
        <f>SUBSTITUTE(TEXT(L135,"# ##0\ рублей ,00\ копеек"),",",)</f>
        <v>0 рублей 00 копеек</v>
      </c>
      <c r="M136" s="242" t="str">
        <f>SUBSTITUTE(TEXT(M135,"# ##0\ рублей ,00\ копеек"),",",)</f>
        <v>0 рублей 00 копеек</v>
      </c>
    </row>
    <row r="137" spans="1:13" ht="17.149999999999999" customHeight="1" outlineLevel="1" thickTop="1" thickBot="1" x14ac:dyDescent="0.4">
      <c r="A137" s="808" t="s">
        <v>1</v>
      </c>
      <c r="B137" s="814"/>
      <c r="C137" s="809"/>
      <c r="D137" s="172" t="s">
        <v>45</v>
      </c>
      <c r="E137" s="739" t="s">
        <v>46</v>
      </c>
      <c r="F137" s="808" t="s">
        <v>619</v>
      </c>
      <c r="G137" s="814"/>
      <c r="H137" s="809"/>
      <c r="I137" s="172" t="s">
        <v>45</v>
      </c>
      <c r="J137" s="172" t="s">
        <v>46</v>
      </c>
      <c r="K137" s="808" t="s">
        <v>463</v>
      </c>
      <c r="L137" s="809"/>
    </row>
    <row r="138" spans="1:13" ht="17.149999999999999" customHeight="1" outlineLevel="1" thickTop="1" thickBot="1" x14ac:dyDescent="0.4">
      <c r="A138" s="32"/>
      <c r="C138" s="281" t="str">
        <f>IF(ISBLANK(B138),"",SUBSTITUTE(TEXT(B138,"# ##0\ рублей ,00\ копеек"),",",))</f>
        <v/>
      </c>
      <c r="D138" s="61"/>
      <c r="E138" s="658"/>
      <c r="F138" s="701"/>
      <c r="G138" s="28"/>
      <c r="H138" s="281" t="str">
        <f>IF(ISBLANK(G138),"",SUBSTITUTE(TEXT(G138,"# ##0\ рублей ,00\ копеек"),",",))</f>
        <v/>
      </c>
      <c r="I138" s="61"/>
      <c r="J138" s="62"/>
      <c r="K138" s="400" t="s">
        <v>660</v>
      </c>
      <c r="L138" s="400" t="s">
        <v>634</v>
      </c>
    </row>
    <row r="139" spans="1:13" ht="17.149999999999999" customHeight="1" outlineLevel="1" thickTop="1" x14ac:dyDescent="0.35">
      <c r="A139" s="32"/>
      <c r="C139" s="281" t="str">
        <f>IF(ISBLANK(B139),"",SUBSTITUTE(TEXT(B139,"# ##0\ рублей ,00\ копеек"),",",))</f>
        <v/>
      </c>
      <c r="D139" s="61"/>
      <c r="E139" s="658"/>
      <c r="F139" s="701"/>
      <c r="G139" s="33"/>
      <c r="H139" s="281" t="str">
        <f>IF(ISBLANK(G139),"",SUBSTITUTE(TEXT(G139,"# ##0\ рублей ,00\ копеек"),",",))</f>
        <v/>
      </c>
      <c r="I139" s="61"/>
      <c r="J139" s="62"/>
      <c r="K139" s="278">
        <f>MAX(H127-$A$24+1,0)</f>
        <v>0</v>
      </c>
      <c r="L139" s="279">
        <f>MAX(G138*K139*0.01,0)</f>
        <v>0</v>
      </c>
    </row>
    <row r="140" spans="1:13" ht="17.149999999999999" customHeight="1" outlineLevel="1" thickBot="1" x14ac:dyDescent="0.4">
      <c r="A140" s="32"/>
      <c r="C140" s="281" t="str">
        <f t="shared" ref="C140:C147" si="26">IF(ISBLANK(B140),"",SUBSTITUTE(TEXT(B140,"# ##0\ рублей ,00\ копеек"),",",))</f>
        <v/>
      </c>
      <c r="D140" s="61"/>
      <c r="E140" s="658"/>
      <c r="F140" s="701"/>
      <c r="G140" s="33"/>
      <c r="H140" s="281" t="str">
        <f t="shared" ref="H140:H147" si="27">IF(ISBLANK(G140),"",SUBSTITUTE(TEXT(G140,"# ##0\ рублей ,00\ копеек"),",",))</f>
        <v/>
      </c>
      <c r="I140" s="61"/>
      <c r="J140" s="62"/>
      <c r="K140" s="53"/>
      <c r="L140" s="280" t="str">
        <f>SUBSTITUTE(TEXT(L139,"# ##0\ рублей ,00\ копеек"),",",)</f>
        <v>0 рублей 00 копеек</v>
      </c>
      <c r="M140" s="51" t="s">
        <v>151</v>
      </c>
    </row>
    <row r="141" spans="1:13" ht="17.149999999999999" customHeight="1" outlineLevel="1" thickTop="1" thickBot="1" x14ac:dyDescent="0.4">
      <c r="A141" s="32"/>
      <c r="C141" s="281" t="str">
        <f t="shared" si="26"/>
        <v/>
      </c>
      <c r="D141" s="61"/>
      <c r="E141" s="658"/>
      <c r="F141" s="701"/>
      <c r="G141" s="34"/>
      <c r="H141" s="281" t="str">
        <f t="shared" si="27"/>
        <v/>
      </c>
      <c r="I141" s="61"/>
      <c r="J141" s="62"/>
      <c r="K141" s="808" t="s">
        <v>80</v>
      </c>
      <c r="L141" s="809"/>
    </row>
    <row r="142" spans="1:13" ht="17.149999999999999" customHeight="1" outlineLevel="1" thickTop="1" thickBot="1" x14ac:dyDescent="0.4">
      <c r="A142" s="32"/>
      <c r="C142" s="281" t="str">
        <f t="shared" si="26"/>
        <v/>
      </c>
      <c r="D142" s="61"/>
      <c r="E142" s="658"/>
      <c r="F142" s="701"/>
      <c r="G142" s="34"/>
      <c r="H142" s="281" t="str">
        <f t="shared" si="27"/>
        <v/>
      </c>
      <c r="I142" s="61"/>
      <c r="J142" s="62"/>
      <c r="K142" s="172" t="s">
        <v>660</v>
      </c>
      <c r="L142" s="172" t="s">
        <v>634</v>
      </c>
    </row>
    <row r="143" spans="1:13" ht="17.149999999999999" customHeight="1" outlineLevel="1" thickTop="1" x14ac:dyDescent="0.35">
      <c r="A143" s="32"/>
      <c r="C143" s="281" t="str">
        <f t="shared" si="26"/>
        <v/>
      </c>
      <c r="D143" s="61"/>
      <c r="E143" s="658"/>
      <c r="F143" s="701"/>
      <c r="G143" s="34"/>
      <c r="H143" s="281" t="str">
        <f t="shared" si="27"/>
        <v/>
      </c>
      <c r="I143" s="61"/>
      <c r="J143" s="62"/>
      <c r="K143" s="278">
        <f>IF(AND(K39=0,K65=0,K91=0,K117=0),MAX(K144-$A$24+1,0),0)</f>
        <v>0</v>
      </c>
      <c r="L143" s="279">
        <f>IFERROR(MAX(D18*0.0005*K143,0),0)</f>
        <v>0</v>
      </c>
    </row>
    <row r="144" spans="1:13" ht="17.149999999999999" customHeight="1" outlineLevel="1" x14ac:dyDescent="0.35">
      <c r="A144" s="32"/>
      <c r="C144" s="281" t="str">
        <f t="shared" si="26"/>
        <v/>
      </c>
      <c r="D144" s="61"/>
      <c r="E144" s="658"/>
      <c r="F144" s="701"/>
      <c r="G144" s="34"/>
      <c r="H144" s="281" t="str">
        <f t="shared" si="27"/>
        <v/>
      </c>
      <c r="I144" s="61"/>
      <c r="J144" s="62"/>
      <c r="K144" s="414">
        <f>MIN(C127,H127,M129)</f>
        <v>0</v>
      </c>
      <c r="L144" s="280" t="str">
        <f>SUBSTITUTE(TEXT(L143,"# ##0\ рублей ,00\ копеек"),",",)</f>
        <v>0 рублей 00 копеек</v>
      </c>
    </row>
    <row r="145" spans="1:14" ht="17.149999999999999" customHeight="1" outlineLevel="1" x14ac:dyDescent="0.35">
      <c r="A145" s="32"/>
      <c r="C145" s="281" t="str">
        <f t="shared" si="26"/>
        <v/>
      </c>
      <c r="D145" s="61"/>
      <c r="E145" s="658"/>
      <c r="F145" s="701"/>
      <c r="G145" s="34"/>
      <c r="H145" s="281" t="str">
        <f t="shared" si="27"/>
        <v/>
      </c>
      <c r="I145" s="61"/>
      <c r="J145" s="62"/>
      <c r="K145" s="105"/>
      <c r="L145" s="132"/>
    </row>
    <row r="146" spans="1:14" ht="17.149999999999999" customHeight="1" outlineLevel="1" x14ac:dyDescent="0.35">
      <c r="A146" s="32"/>
      <c r="C146" s="281" t="str">
        <f t="shared" si="26"/>
        <v/>
      </c>
      <c r="D146" s="61"/>
      <c r="E146" s="658"/>
      <c r="F146" s="701"/>
      <c r="G146" s="34"/>
      <c r="H146" s="281" t="str">
        <f t="shared" si="27"/>
        <v/>
      </c>
      <c r="I146" s="61"/>
      <c r="J146" s="62"/>
      <c r="K146" s="105"/>
      <c r="L146" s="132"/>
    </row>
    <row r="147" spans="1:14" ht="17.149999999999999" customHeight="1" outlineLevel="1" thickBot="1" x14ac:dyDescent="0.4">
      <c r="A147" s="32"/>
      <c r="C147" s="281" t="str">
        <f t="shared" si="26"/>
        <v/>
      </c>
      <c r="D147" s="38"/>
      <c r="E147" s="659"/>
      <c r="F147" s="701"/>
      <c r="G147" s="40"/>
      <c r="H147" s="281" t="str">
        <f t="shared" si="27"/>
        <v/>
      </c>
      <c r="I147" s="38"/>
      <c r="J147" s="39"/>
      <c r="K147" s="105"/>
      <c r="L147" s="132"/>
    </row>
    <row r="148" spans="1:14" ht="17.149999999999999" customHeight="1" outlineLevel="1" thickTop="1" thickBot="1" x14ac:dyDescent="0.4">
      <c r="A148" s="171" t="s">
        <v>47</v>
      </c>
      <c r="B148" s="208">
        <f>SUM(B138:B147)</f>
        <v>0</v>
      </c>
      <c r="C148" s="282" t="str">
        <f>IF(B148=0,"",SUBSTITUTE(TEXT(B148,"# ##0\ рублей ,00\ копеек"),",",))</f>
        <v/>
      </c>
      <c r="D148" s="49"/>
      <c r="E148" s="660"/>
      <c r="F148" s="744" t="s">
        <v>47</v>
      </c>
      <c r="G148" s="208">
        <f>SUM(G138:G147)</f>
        <v>0</v>
      </c>
      <c r="H148" s="282" t="str">
        <f>IF(G148=0,"",SUBSTITUTE(TEXT(G148,"# ##0\ рублей ,00\ копеек"),",",))</f>
        <v/>
      </c>
      <c r="I148" s="49"/>
      <c r="J148" s="50"/>
      <c r="K148" s="136"/>
      <c r="L148" s="137"/>
    </row>
    <row r="149" spans="1:14" ht="17.149999999999999" customHeight="1" thickTop="1" thickBot="1" x14ac:dyDescent="0.4">
      <c r="A149" s="133"/>
      <c r="B149" s="645"/>
      <c r="C149" s="617"/>
      <c r="D149" s="617"/>
      <c r="E149" s="617"/>
      <c r="F149" s="617"/>
      <c r="G149" s="105"/>
      <c r="H149" s="105"/>
      <c r="I149" s="105"/>
      <c r="J149" s="105"/>
      <c r="K149" s="105"/>
      <c r="L149" s="105"/>
    </row>
    <row r="150" spans="1:14" ht="17.149999999999999" customHeight="1" thickTop="1" thickBot="1" x14ac:dyDescent="0.4">
      <c r="A150" s="820" t="s">
        <v>642</v>
      </c>
      <c r="B150" s="821"/>
      <c r="C150" s="821"/>
      <c r="D150" s="821"/>
      <c r="E150" s="821"/>
      <c r="F150" s="821"/>
      <c r="G150" s="821"/>
      <c r="H150" s="821"/>
      <c r="I150" s="821"/>
      <c r="J150" s="821"/>
      <c r="K150" s="821"/>
      <c r="L150" s="821"/>
      <c r="M150" s="821"/>
      <c r="N150" s="822"/>
    </row>
    <row r="151" spans="1:14" ht="17.149999999999999" customHeight="1" outlineLevel="1" thickTop="1" thickBot="1" x14ac:dyDescent="0.4">
      <c r="A151" s="777" t="s">
        <v>146</v>
      </c>
      <c r="B151" s="779"/>
      <c r="C151" s="815" t="s">
        <v>600</v>
      </c>
      <c r="D151" s="816"/>
      <c r="E151" s="817"/>
      <c r="F151" s="780" t="s">
        <v>617</v>
      </c>
      <c r="G151" s="782"/>
      <c r="H151" s="780" t="s">
        <v>601</v>
      </c>
      <c r="I151" s="782"/>
      <c r="J151" s="780" t="s">
        <v>588</v>
      </c>
      <c r="K151" s="781"/>
      <c r="L151" s="782"/>
    </row>
    <row r="152" spans="1:14" ht="17.149999999999999" customHeight="1" outlineLevel="1" thickTop="1" thickBot="1" x14ac:dyDescent="0.4">
      <c r="A152" s="172" t="s">
        <v>5</v>
      </c>
      <c r="B152" s="679" t="s">
        <v>612</v>
      </c>
      <c r="C152" s="172" t="s">
        <v>5</v>
      </c>
      <c r="D152" s="172" t="s">
        <v>4</v>
      </c>
      <c r="E152" s="739" t="s">
        <v>602</v>
      </c>
      <c r="F152" s="739" t="s">
        <v>5</v>
      </c>
      <c r="G152" s="172" t="s">
        <v>606</v>
      </c>
      <c r="H152" s="172" t="s">
        <v>5</v>
      </c>
      <c r="I152" s="172" t="s">
        <v>603</v>
      </c>
      <c r="J152" s="172" t="s">
        <v>5</v>
      </c>
      <c r="K152" s="172" t="s">
        <v>4</v>
      </c>
      <c r="L152" s="172" t="s">
        <v>604</v>
      </c>
      <c r="M152" s="172" t="s">
        <v>668</v>
      </c>
      <c r="N152" s="172" t="s">
        <v>666</v>
      </c>
    </row>
    <row r="153" spans="1:14" ht="17.149999999999999" customHeight="1" outlineLevel="1" thickTop="1" thickBot="1" x14ac:dyDescent="0.4">
      <c r="A153" s="176"/>
      <c r="B153" s="683"/>
      <c r="C153" s="24"/>
      <c r="D153" s="181"/>
      <c r="E153" s="654"/>
      <c r="F153" s="697"/>
      <c r="G153" s="181"/>
      <c r="H153" s="24"/>
      <c r="I153" s="181"/>
      <c r="J153" s="24"/>
      <c r="K153" s="181"/>
      <c r="L153" s="180"/>
      <c r="M153" s="181"/>
      <c r="N153" s="182"/>
    </row>
    <row r="154" spans="1:14" ht="17.149999999999999" customHeight="1" outlineLevel="1" thickTop="1" thickBot="1" x14ac:dyDescent="0.4">
      <c r="A154" s="285">
        <f>IF(WEEKDAY(WORKDAY.INTL(A153,30,"0000000"),2)=6,WORKDAY.INTL(A153,30,"0000000")+2,IF(WEEKDAY(WORKDAY.INTL(A153,30,"0000000"),2)=7,WORKDAY.INTL(A153,30,"0000000")+1,WORKDAY.INTL(A153,30,"0000000")))</f>
        <v>30</v>
      </c>
      <c r="C154" s="105"/>
      <c r="D154" s="303" t="str">
        <f>IF(WEEKDAY(WORKDAY.INTL(A153,20,"0000000",DRAFT!X170:X253),2)=6,"СБТ",IF(WEEKDAY(WORKDAY.INTL(A153,20,"0000000",DRAFT!X170:X253),2)=7,"ВКС",""))</f>
        <v/>
      </c>
      <c r="E154" s="661"/>
      <c r="F154" s="661"/>
      <c r="G154" s="105"/>
      <c r="H154" s="105"/>
      <c r="I154" s="105"/>
      <c r="J154" s="105"/>
      <c r="K154" s="105"/>
      <c r="L154" s="132"/>
      <c r="M154" s="400" t="s">
        <v>5516</v>
      </c>
    </row>
    <row r="155" spans="1:14" ht="17.149999999999999" customHeight="1" outlineLevel="1" thickTop="1" thickBot="1" x14ac:dyDescent="0.4">
      <c r="A155" s="815" t="s">
        <v>636</v>
      </c>
      <c r="B155" s="816"/>
      <c r="C155" s="816"/>
      <c r="D155" s="816"/>
      <c r="E155" s="816"/>
      <c r="F155" s="816"/>
      <c r="G155" s="816"/>
      <c r="H155" s="817"/>
      <c r="I155" s="815" t="s">
        <v>637</v>
      </c>
      <c r="J155" s="816"/>
      <c r="K155" s="816"/>
      <c r="L155" s="817"/>
      <c r="M155" s="24"/>
    </row>
    <row r="156" spans="1:14" ht="17.149999999999999" customHeight="1" outlineLevel="1" thickTop="1" thickBot="1" x14ac:dyDescent="0.4">
      <c r="A156" s="172" t="s">
        <v>5</v>
      </c>
      <c r="B156" s="679" t="s">
        <v>4</v>
      </c>
      <c r="C156" s="183" t="s">
        <v>606</v>
      </c>
      <c r="D156" s="183" t="s">
        <v>607</v>
      </c>
      <c r="E156" s="743" t="s">
        <v>608</v>
      </c>
      <c r="F156" s="743" t="s">
        <v>609</v>
      </c>
      <c r="G156" s="183" t="s">
        <v>610</v>
      </c>
      <c r="H156" s="183" t="s">
        <v>618</v>
      </c>
      <c r="I156" s="172" t="s">
        <v>5</v>
      </c>
      <c r="J156" s="172" t="s">
        <v>4</v>
      </c>
      <c r="K156" s="183" t="s">
        <v>606</v>
      </c>
      <c r="L156" s="183" t="s">
        <v>611</v>
      </c>
    </row>
    <row r="157" spans="1:14" ht="17.149999999999999" customHeight="1" outlineLevel="1" thickTop="1" x14ac:dyDescent="0.35">
      <c r="A157" s="187"/>
      <c r="B157" s="683"/>
      <c r="C157" s="165"/>
      <c r="D157" s="184"/>
      <c r="E157" s="656"/>
      <c r="F157" s="656"/>
      <c r="G157" s="184"/>
      <c r="H157" s="185"/>
      <c r="I157" s="24"/>
      <c r="J157" s="181"/>
      <c r="K157" s="181"/>
      <c r="L157" s="186"/>
      <c r="M157" s="243">
        <f>F157-G157</f>
        <v>0</v>
      </c>
    </row>
    <row r="158" spans="1:14" ht="17.149999999999999" customHeight="1" outlineLevel="1" thickBot="1" x14ac:dyDescent="0.4">
      <c r="A158" s="133"/>
      <c r="C158" s="105"/>
      <c r="D158" s="242" t="str">
        <f>SUBSTITUTE(TEXT(D157,"# ##0\ рублей ,00\ копеек"),",",)</f>
        <v>0 рублей 00 копеек</v>
      </c>
      <c r="E158" s="657" t="str">
        <f>SUBSTITUTE(TEXT(E157,"# ##0\ рублей ,00\ копеек"),",",)</f>
        <v>0 рублей 00 копеек</v>
      </c>
      <c r="F158" s="657" t="str">
        <f>SUBSTITUTE(TEXT(F157,"# ##0\ рублей ,00\ копеек"),",",)</f>
        <v>0 рублей 00 копеек</v>
      </c>
      <c r="G158" s="242" t="str">
        <f>SUBSTITUTE(TEXT(G157,"# ##0\ рублей ,00\ копеек"),",",)</f>
        <v>0 рублей 00 копеек</v>
      </c>
      <c r="H158" s="105"/>
      <c r="I158" s="105"/>
      <c r="J158" s="105"/>
      <c r="K158" s="105"/>
      <c r="L158" s="242" t="str">
        <f>SUBSTITUTE(TEXT(L157,"# ##0\ рублей ,00\ копеек"),",",)</f>
        <v>0 рублей 00 копеек</v>
      </c>
      <c r="M158" s="242" t="str">
        <f>SUBSTITUTE(TEXT(M157,"# ##0\ рублей ,00\ копеек"),",",)</f>
        <v>0 рублей 00 копеек</v>
      </c>
    </row>
    <row r="159" spans="1:14" ht="17.149999999999999" customHeight="1" outlineLevel="1" thickTop="1" thickBot="1" x14ac:dyDescent="0.4">
      <c r="A159" s="823" t="s">
        <v>620</v>
      </c>
      <c r="B159" s="824"/>
      <c r="C159" s="824"/>
      <c r="D159" s="824"/>
      <c r="E159" s="824"/>
      <c r="F159" s="824"/>
      <c r="G159" s="824"/>
      <c r="H159" s="825"/>
      <c r="I159" s="823" t="s">
        <v>621</v>
      </c>
      <c r="J159" s="824"/>
      <c r="K159" s="824"/>
      <c r="L159" s="825"/>
    </row>
    <row r="160" spans="1:14" ht="17.149999999999999" customHeight="1" outlineLevel="1" thickTop="1" thickBot="1" x14ac:dyDescent="0.4">
      <c r="A160" s="172" t="s">
        <v>5</v>
      </c>
      <c r="B160" s="679" t="s">
        <v>4</v>
      </c>
      <c r="C160" s="183" t="s">
        <v>606</v>
      </c>
      <c r="D160" s="183" t="s">
        <v>607</v>
      </c>
      <c r="E160" s="743" t="s">
        <v>608</v>
      </c>
      <c r="F160" s="743" t="s">
        <v>609</v>
      </c>
      <c r="G160" s="183" t="s">
        <v>610</v>
      </c>
      <c r="H160" s="183" t="s">
        <v>618</v>
      </c>
      <c r="I160" s="172" t="s">
        <v>5</v>
      </c>
      <c r="J160" s="172" t="s">
        <v>4</v>
      </c>
      <c r="K160" s="183" t="s">
        <v>606</v>
      </c>
      <c r="L160" s="183" t="s">
        <v>611</v>
      </c>
    </row>
    <row r="161" spans="1:13" ht="17.149999999999999" customHeight="1" outlineLevel="1" thickTop="1" x14ac:dyDescent="0.35">
      <c r="A161" s="187"/>
      <c r="B161" s="683"/>
      <c r="C161" s="165"/>
      <c r="D161" s="184"/>
      <c r="E161" s="656"/>
      <c r="F161" s="656"/>
      <c r="G161" s="184"/>
      <c r="H161" s="185"/>
      <c r="I161" s="24"/>
      <c r="J161" s="181"/>
      <c r="K161" s="181"/>
      <c r="L161" s="186"/>
      <c r="M161" s="243">
        <f>F161-G161</f>
        <v>0</v>
      </c>
    </row>
    <row r="162" spans="1:13" ht="17.149999999999999" customHeight="1" outlineLevel="1" thickBot="1" x14ac:dyDescent="0.4">
      <c r="A162" s="133"/>
      <c r="C162" s="105"/>
      <c r="D162" s="242" t="str">
        <f>SUBSTITUTE(TEXT(D161,"# ##0\ рублей ,00\ копеек"),",",)</f>
        <v>0 рублей 00 копеек</v>
      </c>
      <c r="E162" s="657" t="str">
        <f>SUBSTITUTE(TEXT(E161,"# ##0\ рублей ,00\ копеек"),",",)</f>
        <v>0 рублей 00 копеек</v>
      </c>
      <c r="F162" s="657" t="str">
        <f>SUBSTITUTE(TEXT(F161,"# ##0\ рублей ,00\ копеек"),",",)</f>
        <v>0 рублей 00 копеек</v>
      </c>
      <c r="G162" s="242" t="str">
        <f>SUBSTITUTE(TEXT(G161,"# ##0\ рублей ,00\ копеек"),",",)</f>
        <v>0 рублей 00 копеек</v>
      </c>
      <c r="H162" s="105"/>
      <c r="I162" s="105"/>
      <c r="J162" s="105"/>
      <c r="K162" s="105"/>
      <c r="L162" s="242" t="str">
        <f>SUBSTITUTE(TEXT(L161,"# ##0\ рублей ,00\ копеек"),",",)</f>
        <v>0 рублей 00 копеек</v>
      </c>
      <c r="M162" s="242" t="str">
        <f>SUBSTITUTE(TEXT(M161,"# ##0\ рублей ,00\ копеек"),",",)</f>
        <v>0 рублей 00 копеек</v>
      </c>
    </row>
    <row r="163" spans="1:13" ht="17.149999999999999" customHeight="1" outlineLevel="1" thickTop="1" thickBot="1" x14ac:dyDescent="0.4">
      <c r="A163" s="808" t="s">
        <v>1</v>
      </c>
      <c r="B163" s="814"/>
      <c r="C163" s="809"/>
      <c r="D163" s="172" t="s">
        <v>45</v>
      </c>
      <c r="E163" s="739" t="s">
        <v>46</v>
      </c>
      <c r="F163" s="808" t="s">
        <v>619</v>
      </c>
      <c r="G163" s="814"/>
      <c r="H163" s="809"/>
      <c r="I163" s="172" t="s">
        <v>45</v>
      </c>
      <c r="J163" s="172" t="s">
        <v>46</v>
      </c>
      <c r="K163" s="808" t="s">
        <v>463</v>
      </c>
      <c r="L163" s="809"/>
    </row>
    <row r="164" spans="1:13" ht="17.149999999999999" customHeight="1" outlineLevel="1" thickTop="1" thickBot="1" x14ac:dyDescent="0.4">
      <c r="A164" s="32"/>
      <c r="C164" s="281" t="str">
        <f>IF(ISBLANK(B164),"",SUBSTITUTE(TEXT(B164,"# ##0\ рублей ,00\ копеек"),",",))</f>
        <v/>
      </c>
      <c r="D164" s="61"/>
      <c r="E164" s="658"/>
      <c r="F164" s="701"/>
      <c r="G164" s="28"/>
      <c r="H164" s="281" t="str">
        <f>IF(ISBLANK(G164),"",SUBSTITUTE(TEXT(G164,"# ##0\ рублей ,00\ копеек"),",",))</f>
        <v/>
      </c>
      <c r="I164" s="61"/>
      <c r="J164" s="62"/>
      <c r="K164" s="172" t="s">
        <v>660</v>
      </c>
      <c r="L164" s="172" t="s">
        <v>634</v>
      </c>
    </row>
    <row r="165" spans="1:13" ht="17.149999999999999" customHeight="1" outlineLevel="1" thickTop="1" x14ac:dyDescent="0.35">
      <c r="A165" s="32"/>
      <c r="C165" s="281" t="str">
        <f>IF(ISBLANK(B165),"",SUBSTITUTE(TEXT(B165,"# ##0\ рублей ,00\ копеек"),",",))</f>
        <v/>
      </c>
      <c r="D165" s="61"/>
      <c r="E165" s="658"/>
      <c r="F165" s="701"/>
      <c r="G165" s="33"/>
      <c r="H165" s="281" t="str">
        <f>IF(ISBLANK(G165),"",SUBSTITUTE(TEXT(G165,"# ##0\ рублей ,00\ копеек"),",",))</f>
        <v/>
      </c>
      <c r="I165" s="61"/>
      <c r="J165" s="62"/>
      <c r="K165" s="278">
        <f>MAX(H153-$A$24+1,0)</f>
        <v>0</v>
      </c>
      <c r="L165" s="279">
        <f>MAX(G164*K165*0.01,0)</f>
        <v>0</v>
      </c>
    </row>
    <row r="166" spans="1:13" ht="17.149999999999999" customHeight="1" outlineLevel="1" thickBot="1" x14ac:dyDescent="0.4">
      <c r="A166" s="32"/>
      <c r="C166" s="281" t="str">
        <f t="shared" ref="C166:C173" si="28">IF(ISBLANK(B166),"",SUBSTITUTE(TEXT(B166,"# ##0\ рублей ,00\ копеек"),",",))</f>
        <v/>
      </c>
      <c r="D166" s="61"/>
      <c r="E166" s="658"/>
      <c r="F166" s="701"/>
      <c r="G166" s="33"/>
      <c r="H166" s="281" t="str">
        <f t="shared" ref="H166:H173" si="29">IF(ISBLANK(G166),"",SUBSTITUTE(TEXT(G166,"# ##0\ рублей ,00\ копеек"),",",))</f>
        <v/>
      </c>
      <c r="I166" s="61"/>
      <c r="J166" s="62"/>
      <c r="K166" s="53"/>
      <c r="L166" s="280" t="str">
        <f>SUBSTITUTE(TEXT(L165,"# ##0\ рублей ,00\ копеек"),",",)</f>
        <v>0 рублей 00 копеек</v>
      </c>
      <c r="M166" s="51" t="s">
        <v>151</v>
      </c>
    </row>
    <row r="167" spans="1:13" ht="17.149999999999999" customHeight="1" outlineLevel="1" thickTop="1" thickBot="1" x14ac:dyDescent="0.4">
      <c r="A167" s="32"/>
      <c r="C167" s="281" t="str">
        <f t="shared" si="28"/>
        <v/>
      </c>
      <c r="D167" s="61"/>
      <c r="E167" s="658"/>
      <c r="F167" s="701"/>
      <c r="G167" s="34"/>
      <c r="H167" s="281" t="str">
        <f t="shared" si="29"/>
        <v/>
      </c>
      <c r="I167" s="61"/>
      <c r="J167" s="62"/>
      <c r="K167" s="808" t="s">
        <v>80</v>
      </c>
      <c r="L167" s="809"/>
    </row>
    <row r="168" spans="1:13" ht="17.149999999999999" customHeight="1" outlineLevel="1" thickTop="1" thickBot="1" x14ac:dyDescent="0.4">
      <c r="A168" s="32"/>
      <c r="C168" s="281" t="str">
        <f t="shared" si="28"/>
        <v/>
      </c>
      <c r="D168" s="61"/>
      <c r="E168" s="658"/>
      <c r="F168" s="701"/>
      <c r="G168" s="34"/>
      <c r="H168" s="281" t="str">
        <f t="shared" si="29"/>
        <v/>
      </c>
      <c r="I168" s="61"/>
      <c r="J168" s="62"/>
      <c r="K168" s="172" t="s">
        <v>660</v>
      </c>
      <c r="L168" s="172" t="s">
        <v>634</v>
      </c>
    </row>
    <row r="169" spans="1:13" ht="17.149999999999999" customHeight="1" outlineLevel="1" thickTop="1" x14ac:dyDescent="0.35">
      <c r="A169" s="32"/>
      <c r="C169" s="281" t="str">
        <f t="shared" si="28"/>
        <v/>
      </c>
      <c r="D169" s="61"/>
      <c r="E169" s="658"/>
      <c r="F169" s="701"/>
      <c r="G169" s="34"/>
      <c r="H169" s="281" t="str">
        <f t="shared" si="29"/>
        <v/>
      </c>
      <c r="I169" s="61"/>
      <c r="J169" s="62"/>
      <c r="K169" s="278">
        <f>IF(AND(K39=0,K65=0,K91=0,K117=0,K143=0),MAX(K170-$A$24+1,0),0)</f>
        <v>0</v>
      </c>
      <c r="L169" s="279">
        <f>IFERROR(MAX(D18*0.0005*K169,0),0)</f>
        <v>0</v>
      </c>
    </row>
    <row r="170" spans="1:13" ht="17.149999999999999" customHeight="1" outlineLevel="1" x14ac:dyDescent="0.35">
      <c r="A170" s="32"/>
      <c r="C170" s="281" t="str">
        <f t="shared" si="28"/>
        <v/>
      </c>
      <c r="D170" s="61"/>
      <c r="E170" s="658"/>
      <c r="F170" s="701"/>
      <c r="G170" s="34"/>
      <c r="H170" s="281" t="str">
        <f t="shared" si="29"/>
        <v/>
      </c>
      <c r="I170" s="61"/>
      <c r="J170" s="62"/>
      <c r="K170" s="414">
        <f>MIN(C153,H153,M155)</f>
        <v>0</v>
      </c>
      <c r="L170" s="280" t="str">
        <f>SUBSTITUTE(TEXT(L169,"# ##0\ рублей ,00\ копеек"),",",)</f>
        <v>0 рублей 00 копеек</v>
      </c>
    </row>
    <row r="171" spans="1:13" ht="17.149999999999999" customHeight="1" outlineLevel="1" x14ac:dyDescent="0.35">
      <c r="A171" s="32"/>
      <c r="C171" s="281" t="str">
        <f t="shared" si="28"/>
        <v/>
      </c>
      <c r="D171" s="61"/>
      <c r="E171" s="658"/>
      <c r="F171" s="701"/>
      <c r="G171" s="34"/>
      <c r="H171" s="281" t="str">
        <f t="shared" si="29"/>
        <v/>
      </c>
      <c r="I171" s="61"/>
      <c r="J171" s="62"/>
      <c r="K171" s="105"/>
      <c r="L171" s="132"/>
    </row>
    <row r="172" spans="1:13" ht="17.149999999999999" customHeight="1" outlineLevel="1" x14ac:dyDescent="0.35">
      <c r="A172" s="32"/>
      <c r="C172" s="281" t="str">
        <f t="shared" si="28"/>
        <v/>
      </c>
      <c r="D172" s="61"/>
      <c r="E172" s="658"/>
      <c r="F172" s="701"/>
      <c r="G172" s="34"/>
      <c r="H172" s="281" t="str">
        <f t="shared" si="29"/>
        <v/>
      </c>
      <c r="I172" s="61"/>
      <c r="J172" s="62"/>
      <c r="K172" s="105"/>
      <c r="L172" s="132"/>
    </row>
    <row r="173" spans="1:13" ht="17.149999999999999" customHeight="1" outlineLevel="1" thickBot="1" x14ac:dyDescent="0.4">
      <c r="A173" s="32"/>
      <c r="C173" s="281" t="str">
        <f t="shared" si="28"/>
        <v/>
      </c>
      <c r="D173" s="38"/>
      <c r="E173" s="659"/>
      <c r="F173" s="701"/>
      <c r="G173" s="40"/>
      <c r="H173" s="281" t="str">
        <f t="shared" si="29"/>
        <v/>
      </c>
      <c r="I173" s="38"/>
      <c r="J173" s="39"/>
      <c r="K173" s="105"/>
      <c r="L173" s="132"/>
    </row>
    <row r="174" spans="1:13" ht="17.149999999999999" customHeight="1" outlineLevel="1" thickTop="1" thickBot="1" x14ac:dyDescent="0.4">
      <c r="A174" s="171" t="s">
        <v>47</v>
      </c>
      <c r="B174" s="208">
        <f>SUM(B164:B173)</f>
        <v>0</v>
      </c>
      <c r="C174" s="282" t="str">
        <f>IF(B174=0,"",SUBSTITUTE(TEXT(B174,"# ##0\ рублей ,00\ копеек"),",",))</f>
        <v/>
      </c>
      <c r="D174" s="49"/>
      <c r="E174" s="660"/>
      <c r="F174" s="744" t="s">
        <v>47</v>
      </c>
      <c r="G174" s="208">
        <f>SUM(G164:G173)</f>
        <v>0</v>
      </c>
      <c r="H174" s="282" t="str">
        <f>IF(G174=0,"",SUBSTITUTE(TEXT(G174,"# ##0\ рублей ,00\ копеек"),",",))</f>
        <v/>
      </c>
      <c r="I174" s="49"/>
      <c r="J174" s="50"/>
      <c r="K174" s="136"/>
      <c r="L174" s="137"/>
    </row>
    <row r="175" spans="1:13" ht="17.149999999999999" customHeight="1" thickTop="1" thickBot="1" x14ac:dyDescent="0.4">
      <c r="A175" s="133"/>
      <c r="B175" s="645"/>
      <c r="C175" s="617"/>
      <c r="D175" s="617"/>
      <c r="E175" s="617"/>
      <c r="F175" s="617"/>
      <c r="G175" s="105"/>
      <c r="H175" s="105"/>
      <c r="I175" s="105"/>
      <c r="J175" s="105"/>
      <c r="K175" s="105"/>
      <c r="L175" s="105"/>
    </row>
    <row r="176" spans="1:13" ht="17.149999999999999" customHeight="1" thickTop="1" thickBot="1" x14ac:dyDescent="0.4">
      <c r="A176" s="842" t="s">
        <v>623</v>
      </c>
      <c r="B176" s="843"/>
      <c r="C176" s="843"/>
      <c r="D176" s="843"/>
      <c r="E176" s="843"/>
      <c r="F176" s="843"/>
      <c r="G176" s="843"/>
      <c r="H176" s="843"/>
      <c r="I176" s="843"/>
      <c r="J176" s="843"/>
      <c r="K176" s="844"/>
      <c r="L176" s="105"/>
    </row>
    <row r="177" spans="1:18" ht="17.149999999999999" customHeight="1" outlineLevel="1" thickTop="1" thickBot="1" x14ac:dyDescent="0.4">
      <c r="A177" s="172" t="s">
        <v>5</v>
      </c>
      <c r="B177" s="679" t="s">
        <v>4</v>
      </c>
      <c r="C177" s="183" t="s">
        <v>606</v>
      </c>
      <c r="D177" s="183" t="s">
        <v>625</v>
      </c>
      <c r="E177" s="743" t="s">
        <v>624</v>
      </c>
      <c r="F177" s="743" t="s">
        <v>607</v>
      </c>
      <c r="G177" s="183" t="s">
        <v>608</v>
      </c>
      <c r="H177" s="183" t="s">
        <v>609</v>
      </c>
      <c r="I177" s="183" t="s">
        <v>610</v>
      </c>
      <c r="J177" s="172" t="s">
        <v>611</v>
      </c>
      <c r="K177" s="183" t="s">
        <v>618</v>
      </c>
      <c r="L177" s="105"/>
    </row>
    <row r="178" spans="1:18" ht="17.149999999999999" customHeight="1" outlineLevel="1" thickTop="1" thickBot="1" x14ac:dyDescent="0.4">
      <c r="A178" s="189"/>
      <c r="B178" s="683"/>
      <c r="C178" s="568"/>
      <c r="D178" s="190"/>
      <c r="E178" s="664" t="str">
        <f>IFERROR(INDEX(DRAFT!O:O,MATCH(E179,DRAFT!N:N,0),1),"")</f>
        <v/>
      </c>
      <c r="F178" s="702"/>
      <c r="G178" s="191"/>
      <c r="H178" s="191"/>
      <c r="I178" s="191"/>
      <c r="J178" s="192"/>
      <c r="K178" s="193"/>
      <c r="L178" s="52"/>
    </row>
    <row r="179" spans="1:18" ht="17.149999999999999" customHeight="1" outlineLevel="1" thickTop="1" thickBot="1" x14ac:dyDescent="0.4">
      <c r="A179" s="194"/>
      <c r="C179" s="748"/>
      <c r="D179" s="567"/>
      <c r="E179" s="665"/>
      <c r="F179" s="703" t="str">
        <f>SUBSTITUTE(TEXT(F178,"# ##0\ рублей ,00\ копеек"),",",)</f>
        <v>0 рублей 00 копеек</v>
      </c>
      <c r="G179" s="286" t="str">
        <f>SUBSTITUTE(TEXT(G178,"# ##0\ рублей ,00\ копеек"),",",)</f>
        <v>0 рублей 00 копеек</v>
      </c>
      <c r="H179" s="286" t="str">
        <f>SUBSTITUTE(TEXT(H178,"# ##0\ рублей ,00\ копеек"),",",)</f>
        <v>0 рублей 00 копеек</v>
      </c>
      <c r="I179" s="286" t="str">
        <f>SUBSTITUTE(TEXT(I178,"# ##0\ рублей ,00\ копеек"),",",)</f>
        <v>0 рублей 00 копеек</v>
      </c>
      <c r="J179" s="287" t="str">
        <f>SUBSTITUTE(TEXT(J178,"# ##0\ рублей ,00\ копеек"),",",)</f>
        <v>0 рублей 00 копеек</v>
      </c>
      <c r="K179" s="173" t="s">
        <v>1038</v>
      </c>
      <c r="L179" s="195"/>
    </row>
    <row r="180" spans="1:18" ht="17.149999999999999" customHeight="1" outlineLevel="1" thickTop="1" thickBot="1" x14ac:dyDescent="0.4">
      <c r="A180" s="842" t="s">
        <v>622</v>
      </c>
      <c r="B180" s="843"/>
      <c r="C180" s="843"/>
      <c r="D180" s="843"/>
      <c r="E180" s="843"/>
      <c r="F180" s="843"/>
      <c r="G180" s="844"/>
      <c r="H180" s="303" t="str">
        <f>IF(ISBLANK(H178),"",IF(F178&gt;H178,"ТОТАЛ",""))</f>
        <v/>
      </c>
      <c r="I180" s="291">
        <f>IF(F178&gt;H178,H178-I178,0)</f>
        <v>0</v>
      </c>
      <c r="J180" s="288" t="str">
        <f>SUBSTITUTE(TEXT(I180,"# ##0\ рублей ,00\ копеек"),",",)</f>
        <v>0 рублей 00 копеек</v>
      </c>
      <c r="K180" s="294">
        <f>IFERROR(IF(H180="ТОТАЛ","",IF(ROUND((G178-S17)/S17*100,0)&lt;0,"Выплатили больше",ROUND((G178-S17)/S17*100,0))),0)</f>
        <v>0</v>
      </c>
      <c r="L180" s="105"/>
    </row>
    <row r="181" spans="1:18" ht="17.149999999999999" customHeight="1" outlineLevel="1" thickTop="1" thickBot="1" x14ac:dyDescent="0.4">
      <c r="A181" s="172" t="s">
        <v>5</v>
      </c>
      <c r="B181" s="679" t="s">
        <v>4</v>
      </c>
      <c r="C181" s="183" t="s">
        <v>606</v>
      </c>
      <c r="D181" s="183" t="s">
        <v>625</v>
      </c>
      <c r="E181" s="743" t="s">
        <v>624</v>
      </c>
      <c r="F181" s="743" t="s">
        <v>618</v>
      </c>
      <c r="G181" s="183" t="s">
        <v>1263</v>
      </c>
      <c r="H181" s="173" t="s">
        <v>722</v>
      </c>
      <c r="I181" s="292">
        <f>IF(I180=0,G178,I180)</f>
        <v>0</v>
      </c>
      <c r="J181" s="289" t="str">
        <f>SUBSTITUTE(TEXT(I181,"# ##0\ рублей ,00\ копеек"),",",)</f>
        <v>0 рублей 00 копеек</v>
      </c>
      <c r="K181" s="121"/>
      <c r="L181" s="105"/>
    </row>
    <row r="182" spans="1:18" ht="17.149999999999999" customHeight="1" outlineLevel="1" thickTop="1" thickBot="1" x14ac:dyDescent="0.4">
      <c r="A182" s="189"/>
      <c r="B182" s="683"/>
      <c r="C182" s="190"/>
      <c r="D182" s="190"/>
      <c r="E182" s="664" t="str">
        <f>IFERROR(INDEX(DRAFT!O:O,MATCH(E183,DRAFT!N:N,0),1),"")</f>
        <v/>
      </c>
      <c r="F182" s="704"/>
      <c r="G182" s="188"/>
      <c r="H182" s="172" t="s">
        <v>1032</v>
      </c>
      <c r="I182" s="293">
        <f>I181/2</f>
        <v>0</v>
      </c>
      <c r="J182" s="290" t="str">
        <f>SUBSTITUTE(TEXT(I182,"# ##0\ рублей ,00\ копеек"),",",)</f>
        <v>0 рублей 00 копеек</v>
      </c>
      <c r="K182" s="104"/>
      <c r="L182" s="105"/>
    </row>
    <row r="183" spans="1:18" ht="17.149999999999999" customHeight="1" thickTop="1" thickBot="1" x14ac:dyDescent="0.4">
      <c r="A183" s="196"/>
      <c r="B183" s="645"/>
      <c r="C183" s="646"/>
      <c r="D183" s="647"/>
      <c r="E183" s="648"/>
      <c r="F183" s="695"/>
      <c r="G183" s="197"/>
      <c r="H183" s="197"/>
      <c r="I183" s="197"/>
    </row>
    <row r="184" spans="1:18" ht="17.149999999999999" customHeight="1" thickTop="1" thickBot="1" x14ac:dyDescent="0.4">
      <c r="A184" s="830" t="s">
        <v>721</v>
      </c>
      <c r="B184" s="831"/>
      <c r="C184" s="831"/>
      <c r="D184" s="831"/>
      <c r="E184" s="831"/>
      <c r="F184" s="833"/>
      <c r="G184" s="831"/>
      <c r="H184" s="831"/>
      <c r="I184" s="831"/>
      <c r="J184" s="831"/>
      <c r="K184" s="831"/>
      <c r="L184" s="831"/>
      <c r="M184" s="831"/>
      <c r="N184" s="831"/>
      <c r="O184" s="831"/>
      <c r="P184" s="831"/>
      <c r="Q184" s="832"/>
    </row>
    <row r="185" spans="1:18" ht="17.149999999999999" customHeight="1" outlineLevel="1" thickTop="1" thickBot="1" x14ac:dyDescent="0.4">
      <c r="A185" s="808" t="s">
        <v>626</v>
      </c>
      <c r="B185" s="814"/>
      <c r="C185" s="809"/>
      <c r="D185" s="808" t="s">
        <v>627</v>
      </c>
      <c r="E185" s="814"/>
      <c r="F185" s="809"/>
      <c r="G185" s="808" t="s">
        <v>628</v>
      </c>
      <c r="H185" s="814"/>
      <c r="I185" s="809"/>
      <c r="J185" s="808" t="s">
        <v>632</v>
      </c>
      <c r="K185" s="809"/>
      <c r="L185" s="808" t="s">
        <v>643</v>
      </c>
      <c r="M185" s="814"/>
      <c r="N185" s="809"/>
      <c r="O185" s="138"/>
      <c r="P185" s="808" t="s">
        <v>463</v>
      </c>
      <c r="Q185" s="809"/>
    </row>
    <row r="186" spans="1:18" ht="17.149999999999999" customHeight="1" outlineLevel="1" thickTop="1" thickBot="1" x14ac:dyDescent="0.4">
      <c r="A186" s="172" t="s">
        <v>629</v>
      </c>
      <c r="B186" s="679" t="s">
        <v>5</v>
      </c>
      <c r="C186" s="36" t="s">
        <v>4</v>
      </c>
      <c r="D186" s="172" t="s">
        <v>629</v>
      </c>
      <c r="E186" s="682" t="s">
        <v>5</v>
      </c>
      <c r="F186" s="682" t="s">
        <v>4</v>
      </c>
      <c r="G186" s="172" t="s">
        <v>629</v>
      </c>
      <c r="H186" s="36" t="s">
        <v>5</v>
      </c>
      <c r="I186" s="36" t="s">
        <v>4</v>
      </c>
      <c r="J186" s="36" t="s">
        <v>5</v>
      </c>
      <c r="K186" s="36" t="s">
        <v>4</v>
      </c>
      <c r="L186" s="172" t="s">
        <v>633</v>
      </c>
      <c r="M186" s="172" t="s">
        <v>603</v>
      </c>
      <c r="N186" s="172" t="s">
        <v>634</v>
      </c>
      <c r="O186" s="139"/>
      <c r="P186" s="172" t="s">
        <v>660</v>
      </c>
      <c r="Q186" s="172" t="s">
        <v>634</v>
      </c>
    </row>
    <row r="187" spans="1:18" ht="17.149999999999999" customHeight="1" outlineLevel="1" thickTop="1" thickBot="1" x14ac:dyDescent="0.4">
      <c r="A187" s="162"/>
      <c r="B187" s="683"/>
      <c r="C187" s="164"/>
      <c r="D187" s="164"/>
      <c r="E187" s="666"/>
      <c r="F187" s="705"/>
      <c r="G187" s="164"/>
      <c r="H187" s="164"/>
      <c r="I187" s="164"/>
      <c r="J187" s="164"/>
      <c r="K187" s="164"/>
      <c r="L187" s="163"/>
      <c r="M187" s="164"/>
      <c r="N187" s="198"/>
      <c r="O187" s="139"/>
      <c r="P187" s="278">
        <f>MAX(L187-$A$24+1,0)</f>
        <v>0</v>
      </c>
      <c r="Q187" s="296">
        <f>MAX(G191*P187*0.01,0)</f>
        <v>0</v>
      </c>
    </row>
    <row r="188" spans="1:18" ht="17.149999999999999" customHeight="1" outlineLevel="1" thickTop="1" thickBot="1" x14ac:dyDescent="0.4">
      <c r="A188" s="261" t="s">
        <v>203</v>
      </c>
      <c r="C188" s="105" t="s">
        <v>151</v>
      </c>
      <c r="D188" s="105"/>
      <c r="E188" s="661"/>
      <c r="F188" s="661"/>
      <c r="G188" s="105"/>
      <c r="H188" s="105"/>
      <c r="I188" s="105"/>
      <c r="J188" s="105"/>
      <c r="K188" s="105"/>
      <c r="L188" s="105"/>
      <c r="M188" s="105"/>
      <c r="N188" s="295" t="str">
        <f>SUBSTITUTE(TEXT(N187,"# ##0\ рублей ,00\ копеек"),",",)</f>
        <v>0 рублей 00 копеек</v>
      </c>
      <c r="O188" s="139"/>
      <c r="P188" s="53"/>
      <c r="Q188" s="242" t="str">
        <f>SUBSTITUTE(TEXT(Q187,"# ##0\ рублей ,00\ копеек"),",",)</f>
        <v>0 рублей 00 копеек</v>
      </c>
      <c r="R188" s="51" t="s">
        <v>151</v>
      </c>
    </row>
    <row r="189" spans="1:18" ht="17.149999999999999" customHeight="1" outlineLevel="1" thickTop="1" thickBot="1" x14ac:dyDescent="0.4">
      <c r="A189" s="812" t="s">
        <v>1</v>
      </c>
      <c r="B189" s="826"/>
      <c r="C189" s="813"/>
      <c r="D189" s="808" t="s">
        <v>43</v>
      </c>
      <c r="E189" s="809"/>
      <c r="F189" s="812" t="s">
        <v>630</v>
      </c>
      <c r="G189" s="826"/>
      <c r="H189" s="813"/>
      <c r="I189" s="808" t="s">
        <v>43</v>
      </c>
      <c r="J189" s="809"/>
      <c r="K189" s="812" t="s">
        <v>631</v>
      </c>
      <c r="L189" s="826"/>
      <c r="M189" s="813"/>
      <c r="N189" s="808" t="s">
        <v>43</v>
      </c>
      <c r="O189" s="809"/>
      <c r="P189" s="278">
        <f>MAX(L187-J192,0)</f>
        <v>0</v>
      </c>
      <c r="Q189" s="296">
        <f>MAX(G191*P189*0.01,0)</f>
        <v>0</v>
      </c>
    </row>
    <row r="190" spans="1:18" ht="17.149999999999999" customHeight="1" outlineLevel="1" thickTop="1" thickBot="1" x14ac:dyDescent="0.4">
      <c r="A190" s="827"/>
      <c r="B190" s="828"/>
      <c r="C190" s="829"/>
      <c r="D190" s="172" t="s">
        <v>45</v>
      </c>
      <c r="E190" s="739" t="s">
        <v>46</v>
      </c>
      <c r="F190" s="827"/>
      <c r="G190" s="828"/>
      <c r="H190" s="829"/>
      <c r="I190" s="172" t="s">
        <v>45</v>
      </c>
      <c r="J190" s="172" t="s">
        <v>46</v>
      </c>
      <c r="K190" s="827"/>
      <c r="L190" s="828"/>
      <c r="M190" s="829"/>
      <c r="N190" s="172" t="s">
        <v>45</v>
      </c>
      <c r="O190" s="172" t="s">
        <v>46</v>
      </c>
      <c r="P190" s="53"/>
      <c r="Q190" s="242" t="str">
        <f>SUBSTITUTE(TEXT(Q189,"# ##0\ рублей ,00\ копеек"),",",)</f>
        <v>0 рублей 00 копеек</v>
      </c>
      <c r="R190" s="51" t="s">
        <v>151</v>
      </c>
    </row>
    <row r="191" spans="1:18" ht="17.149999999999999" customHeight="1" outlineLevel="1" thickTop="1" x14ac:dyDescent="0.35">
      <c r="A191" s="32"/>
      <c r="C191" s="281" t="str">
        <f>IF(ISBLANK(B191),"",SUBSTITUTE(TEXT(B191,"# ##0\ рублей ,00\ копеек"),",",))</f>
        <v/>
      </c>
      <c r="D191" s="61"/>
      <c r="E191" s="667"/>
      <c r="F191" s="701"/>
      <c r="G191" s="28"/>
      <c r="H191" s="281" t="str">
        <f>IF(ISBLANK(G191),"",SUBSTITUTE(TEXT(G191,"# ##0\ рублей ,00\ копеек"),",",))</f>
        <v/>
      </c>
      <c r="I191" s="61"/>
      <c r="J191" s="62"/>
      <c r="K191" s="32"/>
      <c r="L191" s="28"/>
      <c r="M191" s="281" t="str">
        <f>IF(ISBLANK(L191),"",SUBSTITUTE(TEXT(L191,"# ##0\ рублей ,00\ копеек"),",",))</f>
        <v/>
      </c>
      <c r="N191" s="61"/>
      <c r="O191" s="62"/>
      <c r="Q191" s="142"/>
    </row>
    <row r="192" spans="1:18" ht="17.149999999999999" customHeight="1" outlineLevel="1" x14ac:dyDescent="0.35">
      <c r="A192" s="32"/>
      <c r="C192" s="281" t="str">
        <f>IF(ISBLANK(B192),"",SUBSTITUTE(TEXT(B192,"# ##0\ рублей ,00\ копеек"),",",))</f>
        <v/>
      </c>
      <c r="D192" s="61"/>
      <c r="E192" s="667"/>
      <c r="F192" s="701"/>
      <c r="G192" s="33"/>
      <c r="H192" s="281" t="str">
        <f>IF(ISBLANK(G192),"",SUBSTITUTE(TEXT(G192,"# ##0\ рублей ,00\ копеек"),",",))</f>
        <v/>
      </c>
      <c r="I192" s="61"/>
      <c r="J192" s="62"/>
      <c r="K192" s="32"/>
      <c r="L192" s="33"/>
      <c r="M192" s="281" t="str">
        <f>IF(ISBLANK(L192),"",SUBSTITUTE(TEXT(L192,"# ##0\ рублей ,00\ копеек"),",",))</f>
        <v/>
      </c>
      <c r="N192" s="61"/>
      <c r="O192" s="62"/>
      <c r="Q192" s="131"/>
      <c r="R192" s="51" t="s">
        <v>151</v>
      </c>
    </row>
    <row r="193" spans="1:18" ht="17.149999999999999" customHeight="1" outlineLevel="1" x14ac:dyDescent="0.35">
      <c r="A193" s="32"/>
      <c r="C193" s="281" t="str">
        <f t="shared" ref="C193:C200" si="30">IF(ISBLANK(B193),"",SUBSTITUTE(TEXT(B193,"# ##0\ рублей ,00\ копеек"),",",))</f>
        <v/>
      </c>
      <c r="D193" s="61"/>
      <c r="E193" s="667"/>
      <c r="F193" s="701"/>
      <c r="G193" s="33"/>
      <c r="H193" s="281" t="str">
        <f t="shared" ref="H193:H200" si="31">IF(ISBLANK(G193),"",SUBSTITUTE(TEXT(G193,"# ##0\ рублей ,00\ копеек"),",",))</f>
        <v/>
      </c>
      <c r="I193" s="61"/>
      <c r="J193" s="62"/>
      <c r="K193" s="32"/>
      <c r="L193" s="33"/>
      <c r="M193" s="281" t="str">
        <f t="shared" ref="M193:M200" si="32">IF(ISBLANK(L193),"",SUBSTITUTE(TEXT(L193,"# ##0\ рублей ,00\ копеек"),",",))</f>
        <v/>
      </c>
      <c r="N193" s="61"/>
      <c r="O193" s="62"/>
      <c r="Q193" s="142"/>
    </row>
    <row r="194" spans="1:18" ht="17.149999999999999" customHeight="1" outlineLevel="1" x14ac:dyDescent="0.35">
      <c r="A194" s="32"/>
      <c r="C194" s="281" t="str">
        <f t="shared" si="30"/>
        <v/>
      </c>
      <c r="D194" s="61"/>
      <c r="E194" s="667"/>
      <c r="F194" s="701"/>
      <c r="G194" s="34"/>
      <c r="H194" s="281" t="str">
        <f t="shared" si="31"/>
        <v/>
      </c>
      <c r="I194" s="61"/>
      <c r="J194" s="62"/>
      <c r="K194" s="32"/>
      <c r="L194" s="34"/>
      <c r="M194" s="281" t="str">
        <f t="shared" si="32"/>
        <v/>
      </c>
      <c r="N194" s="61"/>
      <c r="O194" s="62"/>
      <c r="Q194" s="131"/>
      <c r="R194" s="51" t="s">
        <v>151</v>
      </c>
    </row>
    <row r="195" spans="1:18" ht="17.149999999999999" customHeight="1" outlineLevel="1" x14ac:dyDescent="0.35">
      <c r="A195" s="32"/>
      <c r="C195" s="281" t="str">
        <f t="shared" si="30"/>
        <v/>
      </c>
      <c r="D195" s="61"/>
      <c r="E195" s="667"/>
      <c r="F195" s="701"/>
      <c r="G195" s="34"/>
      <c r="H195" s="281" t="str">
        <f t="shared" si="31"/>
        <v/>
      </c>
      <c r="I195" s="61"/>
      <c r="J195" s="62"/>
      <c r="K195" s="32"/>
      <c r="L195" s="34"/>
      <c r="M195" s="281" t="str">
        <f t="shared" si="32"/>
        <v/>
      </c>
      <c r="N195" s="61"/>
      <c r="O195" s="62"/>
    </row>
    <row r="196" spans="1:18" ht="17.149999999999999" customHeight="1" outlineLevel="1" x14ac:dyDescent="0.35">
      <c r="A196" s="32"/>
      <c r="C196" s="281" t="str">
        <f t="shared" si="30"/>
        <v/>
      </c>
      <c r="D196" s="61"/>
      <c r="E196" s="667"/>
      <c r="F196" s="701"/>
      <c r="G196" s="34"/>
      <c r="H196" s="281" t="str">
        <f t="shared" si="31"/>
        <v/>
      </c>
      <c r="I196" s="61"/>
      <c r="J196" s="62"/>
      <c r="K196" s="32"/>
      <c r="L196" s="34"/>
      <c r="M196" s="281" t="str">
        <f t="shared" si="32"/>
        <v/>
      </c>
      <c r="N196" s="61"/>
      <c r="O196" s="62"/>
    </row>
    <row r="197" spans="1:18" ht="17.149999999999999" customHeight="1" outlineLevel="1" x14ac:dyDescent="0.35">
      <c r="A197" s="32"/>
      <c r="C197" s="281" t="str">
        <f t="shared" si="30"/>
        <v/>
      </c>
      <c r="D197" s="61"/>
      <c r="E197" s="667"/>
      <c r="F197" s="701"/>
      <c r="G197" s="34"/>
      <c r="H197" s="281" t="str">
        <f t="shared" si="31"/>
        <v/>
      </c>
      <c r="I197" s="61"/>
      <c r="J197" s="62"/>
      <c r="K197" s="32"/>
      <c r="L197" s="34"/>
      <c r="M197" s="281" t="str">
        <f t="shared" si="32"/>
        <v/>
      </c>
      <c r="N197" s="61"/>
      <c r="O197" s="62"/>
    </row>
    <row r="198" spans="1:18" ht="17.149999999999999" customHeight="1" outlineLevel="1" x14ac:dyDescent="0.35">
      <c r="A198" s="32"/>
      <c r="C198" s="281" t="str">
        <f t="shared" si="30"/>
        <v/>
      </c>
      <c r="D198" s="61"/>
      <c r="E198" s="667"/>
      <c r="F198" s="701"/>
      <c r="G198" s="34"/>
      <c r="H198" s="281" t="str">
        <f t="shared" si="31"/>
        <v/>
      </c>
      <c r="I198" s="61"/>
      <c r="J198" s="62"/>
      <c r="K198" s="32"/>
      <c r="L198" s="34"/>
      <c r="M198" s="281" t="str">
        <f t="shared" si="32"/>
        <v/>
      </c>
      <c r="N198" s="61"/>
      <c r="O198" s="62"/>
    </row>
    <row r="199" spans="1:18" ht="17.149999999999999" customHeight="1" outlineLevel="1" x14ac:dyDescent="0.35">
      <c r="A199" s="32"/>
      <c r="C199" s="281" t="str">
        <f t="shared" si="30"/>
        <v/>
      </c>
      <c r="D199" s="61"/>
      <c r="E199" s="667"/>
      <c r="F199" s="701"/>
      <c r="G199" s="34"/>
      <c r="H199" s="281" t="str">
        <f t="shared" si="31"/>
        <v/>
      </c>
      <c r="I199" s="61"/>
      <c r="J199" s="62"/>
      <c r="K199" s="32"/>
      <c r="L199" s="34"/>
      <c r="M199" s="281" t="str">
        <f t="shared" si="32"/>
        <v/>
      </c>
      <c r="N199" s="61"/>
      <c r="O199" s="62"/>
    </row>
    <row r="200" spans="1:18" ht="17.149999999999999" customHeight="1" outlineLevel="1" thickBot="1" x14ac:dyDescent="0.4">
      <c r="A200" s="32"/>
      <c r="C200" s="281" t="str">
        <f t="shared" si="30"/>
        <v/>
      </c>
      <c r="D200" s="38"/>
      <c r="E200" s="659"/>
      <c r="F200" s="701"/>
      <c r="G200" s="40"/>
      <c r="H200" s="281" t="str">
        <f t="shared" si="31"/>
        <v/>
      </c>
      <c r="I200" s="38"/>
      <c r="J200" s="39"/>
      <c r="K200" s="32"/>
      <c r="L200" s="40"/>
      <c r="M200" s="281" t="str">
        <f t="shared" si="32"/>
        <v/>
      </c>
      <c r="N200" s="38"/>
      <c r="O200" s="39"/>
    </row>
    <row r="201" spans="1:18" ht="17.149999999999999" customHeight="1" outlineLevel="1" thickTop="1" thickBot="1" x14ac:dyDescent="0.4">
      <c r="A201" s="171" t="s">
        <v>47</v>
      </c>
      <c r="B201" s="208">
        <f>SUM(B191:B200)</f>
        <v>0</v>
      </c>
      <c r="C201" s="282" t="str">
        <f>IF(B201=0,"",SUBSTITUTE(TEXT(B201,"# ##0\ рублей ,00\ копеек"),",",))</f>
        <v/>
      </c>
      <c r="D201" s="199"/>
      <c r="E201" s="660"/>
      <c r="F201" s="744" t="s">
        <v>47</v>
      </c>
      <c r="G201" s="208">
        <f>SUM(G191:G200)</f>
        <v>0</v>
      </c>
      <c r="H201" s="282" t="str">
        <f>IF(G201=0,"",SUBSTITUTE(TEXT(G201,"# ##0\ рублей ,00\ копеек"),",",))</f>
        <v/>
      </c>
      <c r="I201" s="199"/>
      <c r="J201" s="199"/>
      <c r="K201" s="171" t="s">
        <v>47</v>
      </c>
      <c r="L201" s="208">
        <f>SUM(L191:L200)</f>
        <v>0</v>
      </c>
      <c r="M201" s="282" t="str">
        <f>IF(L201=0,"",SUBSTITUTE(TEXT(L201,"# ##0\ рублей ,00\ копеек"),",",))</f>
        <v/>
      </c>
      <c r="N201" s="199"/>
      <c r="O201" s="200"/>
    </row>
    <row r="202" spans="1:18" ht="17.149999999999999" customHeight="1" thickTop="1" thickBot="1" x14ac:dyDescent="0.4">
      <c r="B202" s="645"/>
      <c r="C202" s="615"/>
      <c r="D202" s="615"/>
      <c r="E202" s="615"/>
      <c r="F202" s="615"/>
    </row>
    <row r="203" spans="1:18" ht="17.149999999999999" customHeight="1" thickTop="1" thickBot="1" x14ac:dyDescent="0.4">
      <c r="A203" s="830" t="s">
        <v>720</v>
      </c>
      <c r="B203" s="831"/>
      <c r="C203" s="831"/>
      <c r="D203" s="831"/>
      <c r="E203" s="831"/>
      <c r="F203" s="831"/>
      <c r="G203" s="831"/>
      <c r="H203" s="831"/>
      <c r="I203" s="831"/>
      <c r="J203" s="831"/>
      <c r="K203" s="831"/>
      <c r="L203" s="831"/>
      <c r="M203" s="831"/>
      <c r="N203" s="831"/>
      <c r="O203" s="831"/>
      <c r="P203" s="831"/>
      <c r="Q203" s="832"/>
    </row>
    <row r="204" spans="1:18" ht="17.149999999999999" customHeight="1" outlineLevel="1" thickTop="1" thickBot="1" x14ac:dyDescent="0.4">
      <c r="A204" s="808" t="s">
        <v>626</v>
      </c>
      <c r="B204" s="814"/>
      <c r="C204" s="809"/>
      <c r="D204" s="808" t="s">
        <v>627</v>
      </c>
      <c r="E204" s="814"/>
      <c r="F204" s="809"/>
      <c r="G204" s="808" t="s">
        <v>628</v>
      </c>
      <c r="H204" s="814"/>
      <c r="I204" s="809"/>
      <c r="J204" s="808" t="s">
        <v>632</v>
      </c>
      <c r="K204" s="809"/>
      <c r="L204" s="808" t="s">
        <v>643</v>
      </c>
      <c r="M204" s="814"/>
      <c r="N204" s="809"/>
      <c r="O204" s="138"/>
      <c r="P204" s="808" t="s">
        <v>463</v>
      </c>
      <c r="Q204" s="809"/>
    </row>
    <row r="205" spans="1:18" ht="17.149999999999999" customHeight="1" outlineLevel="1" thickTop="1" thickBot="1" x14ac:dyDescent="0.4">
      <c r="A205" s="172" t="s">
        <v>629</v>
      </c>
      <c r="B205" s="682" t="s">
        <v>5</v>
      </c>
      <c r="C205" s="36" t="s">
        <v>4</v>
      </c>
      <c r="D205" s="172" t="s">
        <v>629</v>
      </c>
      <c r="E205" s="682" t="s">
        <v>5</v>
      </c>
      <c r="F205" s="682" t="s">
        <v>4</v>
      </c>
      <c r="G205" s="172" t="s">
        <v>629</v>
      </c>
      <c r="H205" s="36" t="s">
        <v>5</v>
      </c>
      <c r="I205" s="36" t="s">
        <v>4</v>
      </c>
      <c r="J205" s="36" t="s">
        <v>5</v>
      </c>
      <c r="K205" s="36" t="s">
        <v>4</v>
      </c>
      <c r="L205" s="172" t="s">
        <v>633</v>
      </c>
      <c r="M205" s="172" t="s">
        <v>603</v>
      </c>
      <c r="N205" s="172" t="s">
        <v>634</v>
      </c>
      <c r="O205" s="139"/>
      <c r="P205" s="172" t="s">
        <v>660</v>
      </c>
      <c r="Q205" s="172" t="s">
        <v>634</v>
      </c>
    </row>
    <row r="206" spans="1:18" ht="17.149999999999999" customHeight="1" outlineLevel="1" thickTop="1" x14ac:dyDescent="0.35">
      <c r="A206" s="140"/>
      <c r="B206" s="685"/>
      <c r="C206" s="141"/>
      <c r="D206" s="141"/>
      <c r="E206" s="668"/>
      <c r="F206" s="668"/>
      <c r="G206" s="141"/>
      <c r="H206" s="141"/>
      <c r="I206" s="141"/>
      <c r="J206" s="141"/>
      <c r="K206" s="141"/>
      <c r="L206" s="201"/>
      <c r="M206" s="202"/>
      <c r="N206" s="203"/>
      <c r="O206" s="139"/>
      <c r="P206" s="297">
        <f>MAX(L206-$A$24+1,0)</f>
        <v>0</v>
      </c>
      <c r="Q206" s="298">
        <f>MAX(G210*P206*0.01,0)</f>
        <v>0</v>
      </c>
    </row>
    <row r="207" spans="1:18" ht="17.149999999999999" customHeight="1" outlineLevel="1" thickBot="1" x14ac:dyDescent="0.4">
      <c r="A207" s="133"/>
      <c r="C207" s="105"/>
      <c r="D207" s="105"/>
      <c r="E207" s="661"/>
      <c r="F207" s="661"/>
      <c r="G207" s="105"/>
      <c r="H207" s="105"/>
      <c r="I207" s="105"/>
      <c r="J207" s="105"/>
      <c r="K207" s="105"/>
      <c r="L207" s="105"/>
      <c r="M207" s="105"/>
      <c r="N207" s="295" t="str">
        <f>SUBSTITUTE(TEXT(N206,"# ##0\ рублей ,00\ копеек"),",",)</f>
        <v>0 рублей 00 копеек</v>
      </c>
      <c r="O207" s="139"/>
      <c r="P207" s="53"/>
      <c r="Q207" s="242" t="str">
        <f>SUBSTITUTE(TEXT(Q206,"# ##0\ рублей ,00\ копеек"),",",)</f>
        <v>0 рублей 00 копеек</v>
      </c>
      <c r="R207" s="51" t="s">
        <v>151</v>
      </c>
    </row>
    <row r="208" spans="1:18" ht="17.149999999999999" customHeight="1" outlineLevel="1" thickTop="1" thickBot="1" x14ac:dyDescent="0.4">
      <c r="A208" s="812" t="s">
        <v>1</v>
      </c>
      <c r="B208" s="826"/>
      <c r="C208" s="813"/>
      <c r="D208" s="808" t="s">
        <v>43</v>
      </c>
      <c r="E208" s="809"/>
      <c r="F208" s="812" t="s">
        <v>630</v>
      </c>
      <c r="G208" s="826"/>
      <c r="H208" s="813"/>
      <c r="I208" s="808" t="s">
        <v>43</v>
      </c>
      <c r="J208" s="809"/>
      <c r="K208" s="812" t="s">
        <v>631</v>
      </c>
      <c r="L208" s="826"/>
      <c r="M208" s="813"/>
      <c r="N208" s="808" t="s">
        <v>43</v>
      </c>
      <c r="O208" s="809"/>
      <c r="Q208" s="142"/>
    </row>
    <row r="209" spans="1:18" ht="17.149999999999999" customHeight="1" outlineLevel="1" thickTop="1" thickBot="1" x14ac:dyDescent="0.4">
      <c r="A209" s="827"/>
      <c r="B209" s="828"/>
      <c r="C209" s="829"/>
      <c r="D209" s="172" t="s">
        <v>45</v>
      </c>
      <c r="E209" s="739" t="s">
        <v>46</v>
      </c>
      <c r="F209" s="827"/>
      <c r="G209" s="828"/>
      <c r="H209" s="829"/>
      <c r="I209" s="172" t="s">
        <v>45</v>
      </c>
      <c r="J209" s="172" t="s">
        <v>46</v>
      </c>
      <c r="K209" s="827"/>
      <c r="L209" s="828"/>
      <c r="M209" s="829"/>
      <c r="N209" s="172" t="s">
        <v>45</v>
      </c>
      <c r="O209" s="172" t="s">
        <v>46</v>
      </c>
      <c r="Q209" s="131"/>
      <c r="R209" s="51" t="s">
        <v>151</v>
      </c>
    </row>
    <row r="210" spans="1:18" ht="17.149999999999999" customHeight="1" outlineLevel="1" thickTop="1" x14ac:dyDescent="0.35">
      <c r="A210" s="32"/>
      <c r="C210" s="281" t="str">
        <f>IF(ISBLANK(B210),"",SUBSTITUTE(TEXT(B210,"# ##0\ рублей ,00\ копеек"),",",))</f>
        <v/>
      </c>
      <c r="D210" s="61"/>
      <c r="E210" s="667"/>
      <c r="F210" s="701"/>
      <c r="G210" s="28"/>
      <c r="H210" s="281" t="str">
        <f>IF(ISBLANK(G210),"",SUBSTITUTE(TEXT(G210,"# ##0\ рублей ,00\ копеек"),",",))</f>
        <v/>
      </c>
      <c r="I210" s="61"/>
      <c r="J210" s="62"/>
      <c r="K210" s="32"/>
      <c r="L210" s="28"/>
      <c r="M210" s="281" t="str">
        <f>IF(ISBLANK(L210),"",SUBSTITUTE(TEXT(L210,"# ##0\ рублей ,00\ копеек"),",",))</f>
        <v/>
      </c>
      <c r="N210" s="61"/>
      <c r="O210" s="62"/>
      <c r="Q210" s="142"/>
    </row>
    <row r="211" spans="1:18" ht="17.149999999999999" customHeight="1" outlineLevel="1" x14ac:dyDescent="0.35">
      <c r="A211" s="32"/>
      <c r="C211" s="281" t="str">
        <f>IF(ISBLANK(B211),"",SUBSTITUTE(TEXT(B211,"# ##0\ рублей ,00\ копеек"),",",))</f>
        <v/>
      </c>
      <c r="D211" s="61"/>
      <c r="E211" s="667"/>
      <c r="F211" s="701"/>
      <c r="G211" s="33"/>
      <c r="H211" s="281" t="str">
        <f>IF(ISBLANK(G211),"",SUBSTITUTE(TEXT(G211,"# ##0\ рублей ,00\ копеек"),",",))</f>
        <v/>
      </c>
      <c r="I211" s="61"/>
      <c r="J211" s="62"/>
      <c r="K211" s="32"/>
      <c r="L211" s="33"/>
      <c r="M211" s="281" t="str">
        <f>IF(ISBLANK(L211),"",SUBSTITUTE(TEXT(L211,"# ##0\ рублей ,00\ копеек"),",",))</f>
        <v/>
      </c>
      <c r="N211" s="61"/>
      <c r="O211" s="62"/>
      <c r="Q211" s="131"/>
      <c r="R211" s="51" t="s">
        <v>151</v>
      </c>
    </row>
    <row r="212" spans="1:18" ht="17.149999999999999" customHeight="1" outlineLevel="1" x14ac:dyDescent="0.35">
      <c r="A212" s="32"/>
      <c r="C212" s="281" t="str">
        <f t="shared" ref="C212:C219" si="33">IF(ISBLANK(B212),"",SUBSTITUTE(TEXT(B212,"# ##0\ рублей ,00\ копеек"),",",))</f>
        <v/>
      </c>
      <c r="D212" s="61"/>
      <c r="E212" s="667"/>
      <c r="F212" s="701"/>
      <c r="G212" s="33"/>
      <c r="H212" s="281" t="str">
        <f t="shared" ref="H212:H219" si="34">IF(ISBLANK(G212),"",SUBSTITUTE(TEXT(G212,"# ##0\ рублей ,00\ копеек"),",",))</f>
        <v/>
      </c>
      <c r="I212" s="61"/>
      <c r="J212" s="62"/>
      <c r="K212" s="32"/>
      <c r="L212" s="33"/>
      <c r="M212" s="281" t="str">
        <f t="shared" ref="M212:M219" si="35">IF(ISBLANK(L212),"",SUBSTITUTE(TEXT(L212,"# ##0\ рублей ,00\ копеек"),",",))</f>
        <v/>
      </c>
      <c r="N212" s="61"/>
      <c r="O212" s="62"/>
      <c r="Q212" s="142"/>
    </row>
    <row r="213" spans="1:18" ht="17.149999999999999" customHeight="1" outlineLevel="1" x14ac:dyDescent="0.35">
      <c r="A213" s="32"/>
      <c r="C213" s="281" t="str">
        <f t="shared" si="33"/>
        <v/>
      </c>
      <c r="D213" s="61"/>
      <c r="E213" s="667"/>
      <c r="F213" s="701"/>
      <c r="G213" s="34"/>
      <c r="H213" s="281" t="str">
        <f t="shared" si="34"/>
        <v/>
      </c>
      <c r="I213" s="61"/>
      <c r="J213" s="62"/>
      <c r="K213" s="32"/>
      <c r="L213" s="34"/>
      <c r="M213" s="281" t="str">
        <f t="shared" si="35"/>
        <v/>
      </c>
      <c r="N213" s="61"/>
      <c r="O213" s="62"/>
      <c r="Q213" s="131"/>
      <c r="R213" s="51" t="s">
        <v>151</v>
      </c>
    </row>
    <row r="214" spans="1:18" ht="17.149999999999999" customHeight="1" outlineLevel="1" x14ac:dyDescent="0.35">
      <c r="A214" s="32"/>
      <c r="C214" s="281" t="str">
        <f t="shared" si="33"/>
        <v/>
      </c>
      <c r="D214" s="61"/>
      <c r="E214" s="667"/>
      <c r="F214" s="701"/>
      <c r="G214" s="34"/>
      <c r="H214" s="281" t="str">
        <f t="shared" si="34"/>
        <v/>
      </c>
      <c r="I214" s="61"/>
      <c r="J214" s="62"/>
      <c r="K214" s="32"/>
      <c r="L214" s="34"/>
      <c r="M214" s="281" t="str">
        <f t="shared" si="35"/>
        <v/>
      </c>
      <c r="N214" s="61"/>
      <c r="O214" s="62"/>
      <c r="Q214" s="131"/>
    </row>
    <row r="215" spans="1:18" ht="17.149999999999999" customHeight="1" outlineLevel="1" x14ac:dyDescent="0.35">
      <c r="A215" s="32"/>
      <c r="C215" s="281" t="str">
        <f t="shared" si="33"/>
        <v/>
      </c>
      <c r="D215" s="61"/>
      <c r="E215" s="667"/>
      <c r="F215" s="701"/>
      <c r="G215" s="34"/>
      <c r="H215" s="281" t="str">
        <f t="shared" si="34"/>
        <v/>
      </c>
      <c r="I215" s="61"/>
      <c r="J215" s="62"/>
      <c r="K215" s="32"/>
      <c r="L215" s="34"/>
      <c r="M215" s="281" t="str">
        <f t="shared" si="35"/>
        <v/>
      </c>
      <c r="N215" s="61"/>
      <c r="O215" s="62"/>
    </row>
    <row r="216" spans="1:18" ht="17.149999999999999" customHeight="1" outlineLevel="1" x14ac:dyDescent="0.35">
      <c r="A216" s="32"/>
      <c r="C216" s="281" t="str">
        <f t="shared" si="33"/>
        <v/>
      </c>
      <c r="D216" s="61"/>
      <c r="E216" s="667"/>
      <c r="F216" s="701"/>
      <c r="G216" s="34"/>
      <c r="H216" s="281" t="str">
        <f t="shared" si="34"/>
        <v/>
      </c>
      <c r="I216" s="61"/>
      <c r="J216" s="62"/>
      <c r="K216" s="32"/>
      <c r="L216" s="34"/>
      <c r="M216" s="281" t="str">
        <f t="shared" si="35"/>
        <v/>
      </c>
      <c r="N216" s="61"/>
      <c r="O216" s="62"/>
    </row>
    <row r="217" spans="1:18" ht="17.149999999999999" customHeight="1" outlineLevel="1" x14ac:dyDescent="0.35">
      <c r="A217" s="32"/>
      <c r="C217" s="281" t="str">
        <f t="shared" si="33"/>
        <v/>
      </c>
      <c r="D217" s="61"/>
      <c r="E217" s="667"/>
      <c r="F217" s="701"/>
      <c r="G217" s="34"/>
      <c r="H217" s="281" t="str">
        <f t="shared" si="34"/>
        <v/>
      </c>
      <c r="I217" s="61"/>
      <c r="J217" s="62"/>
      <c r="K217" s="32"/>
      <c r="L217" s="34"/>
      <c r="M217" s="281" t="str">
        <f t="shared" si="35"/>
        <v/>
      </c>
      <c r="N217" s="61"/>
      <c r="O217" s="62"/>
    </row>
    <row r="218" spans="1:18" ht="17.149999999999999" customHeight="1" outlineLevel="1" x14ac:dyDescent="0.35">
      <c r="A218" s="32"/>
      <c r="C218" s="281" t="str">
        <f t="shared" si="33"/>
        <v/>
      </c>
      <c r="D218" s="61"/>
      <c r="E218" s="667"/>
      <c r="F218" s="701"/>
      <c r="G218" s="34"/>
      <c r="H218" s="281" t="str">
        <f t="shared" si="34"/>
        <v/>
      </c>
      <c r="I218" s="61"/>
      <c r="J218" s="62"/>
      <c r="K218" s="32"/>
      <c r="L218" s="34"/>
      <c r="M218" s="281" t="str">
        <f t="shared" si="35"/>
        <v/>
      </c>
      <c r="N218" s="61"/>
      <c r="O218" s="62"/>
    </row>
    <row r="219" spans="1:18" ht="17.149999999999999" customHeight="1" outlineLevel="1" thickBot="1" x14ac:dyDescent="0.4">
      <c r="A219" s="32"/>
      <c r="C219" s="281" t="str">
        <f t="shared" si="33"/>
        <v/>
      </c>
      <c r="D219" s="38"/>
      <c r="E219" s="659"/>
      <c r="F219" s="701"/>
      <c r="G219" s="40"/>
      <c r="H219" s="281" t="str">
        <f t="shared" si="34"/>
        <v/>
      </c>
      <c r="I219" s="38"/>
      <c r="J219" s="39"/>
      <c r="K219" s="32"/>
      <c r="L219" s="40"/>
      <c r="M219" s="281" t="str">
        <f t="shared" si="35"/>
        <v/>
      </c>
      <c r="N219" s="38"/>
      <c r="O219" s="39"/>
    </row>
    <row r="220" spans="1:18" ht="17.149999999999999" customHeight="1" outlineLevel="1" thickTop="1" thickBot="1" x14ac:dyDescent="0.4">
      <c r="A220" s="171" t="s">
        <v>47</v>
      </c>
      <c r="B220" s="208">
        <f>SUM(B210:B219)</f>
        <v>0</v>
      </c>
      <c r="C220" s="282" t="str">
        <f>IF(B220=0,"",SUBSTITUTE(TEXT(B220,"# ##0\ рублей ,00\ копеек"),",",))</f>
        <v/>
      </c>
      <c r="D220" s="199"/>
      <c r="E220" s="660"/>
      <c r="F220" s="744" t="s">
        <v>47</v>
      </c>
      <c r="G220" s="208">
        <f>SUM(G210:G219)</f>
        <v>0</v>
      </c>
      <c r="H220" s="282" t="str">
        <f>IF(G220=0,"",SUBSTITUTE(TEXT(G220,"# ##0\ рублей ,00\ копеек"),",",))</f>
        <v/>
      </c>
      <c r="I220" s="199"/>
      <c r="J220" s="199"/>
      <c r="K220" s="171" t="s">
        <v>47</v>
      </c>
      <c r="L220" s="208">
        <f>SUM(L210:L219)</f>
        <v>0</v>
      </c>
      <c r="M220" s="282" t="str">
        <f>IF(L220=0,"",SUBSTITUTE(TEXT(L220,"# ##0\ рублей ,00\ копеек"),",",))</f>
        <v/>
      </c>
      <c r="N220" s="199"/>
      <c r="O220" s="200"/>
    </row>
    <row r="221" spans="1:18" ht="17.149999999999999" customHeight="1" thickTop="1" thickBot="1" x14ac:dyDescent="0.4">
      <c r="B221" s="645"/>
      <c r="C221" s="615"/>
      <c r="D221" s="615"/>
      <c r="E221" s="615"/>
      <c r="F221" s="615"/>
    </row>
    <row r="222" spans="1:18" ht="17.149999999999999" customHeight="1" thickTop="1" thickBot="1" x14ac:dyDescent="0.4">
      <c r="A222" s="849" t="s">
        <v>3106</v>
      </c>
      <c r="B222" s="849"/>
      <c r="C222" s="849"/>
      <c r="D222" s="849"/>
      <c r="E222" s="849"/>
      <c r="F222" s="849"/>
      <c r="G222" s="849"/>
      <c r="H222" s="849"/>
    </row>
    <row r="223" spans="1:18" ht="17.149999999999999" customHeight="1" outlineLevel="1" thickTop="1" thickBot="1" x14ac:dyDescent="0.4">
      <c r="A223" s="837" t="s">
        <v>1259</v>
      </c>
      <c r="B223" s="837"/>
      <c r="C223" s="837" t="s">
        <v>3102</v>
      </c>
      <c r="D223" s="837"/>
      <c r="E223" s="838" t="s">
        <v>3099</v>
      </c>
      <c r="F223" s="838" t="s">
        <v>3100</v>
      </c>
      <c r="G223" s="837" t="s">
        <v>3101</v>
      </c>
      <c r="H223" s="837"/>
    </row>
    <row r="224" spans="1:18" ht="17.149999999999999" customHeight="1" outlineLevel="1" thickTop="1" thickBot="1" x14ac:dyDescent="0.4">
      <c r="A224" s="331" t="s">
        <v>5</v>
      </c>
      <c r="B224" s="680" t="s">
        <v>4</v>
      </c>
      <c r="C224" s="331" t="s">
        <v>5</v>
      </c>
      <c r="D224" s="331" t="s">
        <v>4</v>
      </c>
      <c r="E224" s="838"/>
      <c r="F224" s="838"/>
      <c r="G224" s="331" t="s">
        <v>5</v>
      </c>
      <c r="H224" s="331" t="s">
        <v>11</v>
      </c>
    </row>
    <row r="225" spans="1:11" ht="17.149999999999999" customHeight="1" outlineLevel="1" thickTop="1" thickBot="1" x14ac:dyDescent="0.4">
      <c r="A225" s="332"/>
      <c r="C225" s="332"/>
      <c r="D225" s="333"/>
      <c r="E225" s="649"/>
      <c r="F225" s="697"/>
      <c r="G225" s="332"/>
      <c r="H225" s="333"/>
      <c r="I225" s="51" t="s">
        <v>151</v>
      </c>
    </row>
    <row r="226" spans="1:11" ht="17.149999999999999" customHeight="1" outlineLevel="1" thickTop="1" thickBot="1" x14ac:dyDescent="0.4">
      <c r="A226" s="849" t="s">
        <v>3107</v>
      </c>
      <c r="B226" s="849"/>
      <c r="C226" s="849"/>
      <c r="D226" s="849"/>
      <c r="E226" s="849"/>
      <c r="F226" s="849"/>
      <c r="G226" s="849"/>
      <c r="H226" s="849"/>
    </row>
    <row r="227" spans="1:11" ht="17.149999999999999" customHeight="1" outlineLevel="1" thickTop="1" thickBot="1" x14ac:dyDescent="0.4">
      <c r="A227" s="837" t="s">
        <v>1259</v>
      </c>
      <c r="B227" s="837"/>
      <c r="C227" s="837" t="s">
        <v>3102</v>
      </c>
      <c r="D227" s="837"/>
      <c r="E227" s="838" t="s">
        <v>3099</v>
      </c>
      <c r="F227" s="838" t="s">
        <v>3100</v>
      </c>
      <c r="G227" s="837" t="s">
        <v>3101</v>
      </c>
      <c r="H227" s="837"/>
    </row>
    <row r="228" spans="1:11" ht="17.149999999999999" customHeight="1" outlineLevel="1" thickTop="1" thickBot="1" x14ac:dyDescent="0.4">
      <c r="A228" s="331" t="s">
        <v>5</v>
      </c>
      <c r="B228" s="680" t="s">
        <v>4</v>
      </c>
      <c r="C228" s="331" t="s">
        <v>5</v>
      </c>
      <c r="D228" s="331" t="s">
        <v>4</v>
      </c>
      <c r="E228" s="838"/>
      <c r="F228" s="838"/>
      <c r="G228" s="331" t="s">
        <v>5</v>
      </c>
      <c r="H228" s="331" t="s">
        <v>11</v>
      </c>
    </row>
    <row r="229" spans="1:11" ht="17.149999999999999" customHeight="1" outlineLevel="1" thickTop="1" thickBot="1" x14ac:dyDescent="0.4">
      <c r="A229" s="335"/>
      <c r="C229" s="335"/>
      <c r="D229" s="336"/>
      <c r="E229" s="669"/>
      <c r="F229" s="706"/>
      <c r="G229" s="335"/>
      <c r="H229" s="336"/>
      <c r="I229" s="51" t="s">
        <v>151</v>
      </c>
    </row>
    <row r="230" spans="1:11" ht="17.149999999999999" customHeight="1" outlineLevel="1" thickTop="1" thickBot="1" x14ac:dyDescent="0.4">
      <c r="A230" s="839" t="s">
        <v>3108</v>
      </c>
      <c r="B230" s="840"/>
      <c r="C230" s="840"/>
      <c r="D230" s="840"/>
      <c r="E230" s="840"/>
      <c r="F230" s="840"/>
      <c r="G230" s="840"/>
      <c r="H230" s="840"/>
      <c r="I230" s="840"/>
      <c r="J230" s="840"/>
      <c r="K230" s="841"/>
    </row>
    <row r="231" spans="1:11" ht="17.149999999999999" customHeight="1" outlineLevel="1" thickTop="1" thickBot="1" x14ac:dyDescent="0.4">
      <c r="A231" s="837" t="s">
        <v>3105</v>
      </c>
      <c r="B231" s="837"/>
      <c r="C231" s="837" t="s">
        <v>3109</v>
      </c>
      <c r="D231" s="837"/>
      <c r="E231" s="834" t="s">
        <v>3110</v>
      </c>
      <c r="F231" s="835"/>
      <c r="G231" s="835"/>
      <c r="H231" s="835"/>
      <c r="I231" s="836"/>
      <c r="J231" s="837" t="s">
        <v>3101</v>
      </c>
      <c r="K231" s="837"/>
    </row>
    <row r="232" spans="1:11" ht="31" customHeight="1" outlineLevel="1" thickTop="1" thickBot="1" x14ac:dyDescent="0.4">
      <c r="A232" s="331" t="s">
        <v>5</v>
      </c>
      <c r="B232" s="680" t="s">
        <v>4</v>
      </c>
      <c r="C232" s="331" t="s">
        <v>5</v>
      </c>
      <c r="D232" s="331" t="s">
        <v>4</v>
      </c>
      <c r="E232" s="745" t="s">
        <v>612</v>
      </c>
      <c r="F232" s="745" t="s">
        <v>3112</v>
      </c>
      <c r="G232" s="331" t="s">
        <v>3114</v>
      </c>
      <c r="H232" s="331" t="s">
        <v>3113</v>
      </c>
      <c r="I232" s="331" t="s">
        <v>3115</v>
      </c>
      <c r="J232" s="331" t="s">
        <v>5</v>
      </c>
      <c r="K232" s="331" t="s">
        <v>11</v>
      </c>
    </row>
    <row r="233" spans="1:11" ht="17.149999999999999" customHeight="1" outlineLevel="1" thickTop="1" thickBot="1" x14ac:dyDescent="0.4">
      <c r="A233" s="332"/>
      <c r="C233" s="332"/>
      <c r="D233" s="333"/>
      <c r="E233" s="649"/>
      <c r="F233" s="707"/>
      <c r="G233" s="334"/>
      <c r="H233" s="332"/>
      <c r="I233" s="332"/>
      <c r="J233" s="332"/>
      <c r="K233" s="333"/>
    </row>
    <row r="234" spans="1:11" ht="17.149999999999999" customHeight="1" outlineLevel="1" thickTop="1" thickBot="1" x14ac:dyDescent="0.4">
      <c r="A234" s="839" t="s">
        <v>3116</v>
      </c>
      <c r="B234" s="840"/>
      <c r="C234" s="840"/>
      <c r="D234" s="840"/>
      <c r="E234" s="840"/>
      <c r="F234" s="840"/>
      <c r="G234" s="840"/>
      <c r="H234" s="840"/>
      <c r="I234" s="840"/>
      <c r="J234" s="840"/>
      <c r="K234" s="841"/>
    </row>
    <row r="235" spans="1:11" ht="17.149999999999999" customHeight="1" outlineLevel="1" thickTop="1" thickBot="1" x14ac:dyDescent="0.4">
      <c r="A235" s="837" t="s">
        <v>3105</v>
      </c>
      <c r="B235" s="837"/>
      <c r="C235" s="837" t="s">
        <v>3109</v>
      </c>
      <c r="D235" s="837"/>
      <c r="E235" s="834" t="s">
        <v>3110</v>
      </c>
      <c r="F235" s="835"/>
      <c r="G235" s="835"/>
      <c r="H235" s="835"/>
      <c r="I235" s="836"/>
      <c r="J235" s="837" t="s">
        <v>3101</v>
      </c>
      <c r="K235" s="837"/>
    </row>
    <row r="236" spans="1:11" ht="34" customHeight="1" outlineLevel="1" thickTop="1" thickBot="1" x14ac:dyDescent="0.4">
      <c r="A236" s="331" t="s">
        <v>5</v>
      </c>
      <c r="B236" s="680" t="s">
        <v>4</v>
      </c>
      <c r="C236" s="331" t="s">
        <v>5</v>
      </c>
      <c r="D236" s="331" t="s">
        <v>4</v>
      </c>
      <c r="E236" s="745" t="s">
        <v>612</v>
      </c>
      <c r="F236" s="745" t="s">
        <v>3112</v>
      </c>
      <c r="G236" s="331" t="s">
        <v>3114</v>
      </c>
      <c r="H236" s="331" t="s">
        <v>3113</v>
      </c>
      <c r="I236" s="331" t="s">
        <v>3115</v>
      </c>
      <c r="J236" s="331" t="s">
        <v>5</v>
      </c>
      <c r="K236" s="331" t="s">
        <v>11</v>
      </c>
    </row>
    <row r="237" spans="1:11" ht="17.149999999999999" customHeight="1" outlineLevel="1" thickTop="1" x14ac:dyDescent="0.35">
      <c r="A237" s="332"/>
      <c r="B237" s="683"/>
      <c r="C237" s="332"/>
      <c r="D237" s="333"/>
      <c r="E237" s="649"/>
      <c r="F237" s="707"/>
      <c r="G237" s="334"/>
      <c r="H237" s="332"/>
      <c r="I237" s="332"/>
      <c r="J237" s="332"/>
      <c r="K237" s="333"/>
    </row>
    <row r="238" spans="1:11" s="615" customFormat="1" ht="17.149999999999999" customHeight="1" thickBot="1" x14ac:dyDescent="0.4">
      <c r="B238" s="645"/>
    </row>
    <row r="239" spans="1:11" ht="18" customHeight="1" thickTop="1" thickBot="1" x14ac:dyDescent="0.4">
      <c r="A239" s="847" t="s">
        <v>5166</v>
      </c>
      <c r="B239" s="848"/>
      <c r="D239" s="847" t="s">
        <v>685</v>
      </c>
      <c r="E239" s="848"/>
      <c r="F239" s="847" t="s">
        <v>579</v>
      </c>
      <c r="G239" s="848"/>
    </row>
    <row r="240" spans="1:11" ht="17.149999999999999" customHeight="1" outlineLevel="1" thickTop="1" x14ac:dyDescent="0.35">
      <c r="A240" s="386" t="s">
        <v>5165</v>
      </c>
      <c r="D240" s="686" t="s">
        <v>5</v>
      </c>
      <c r="E240" s="688" t="str">
        <f>IF(NOT(ISBLANK(A31)),A31,IF(NOT(ISBLANK(A57)),A57,IF(NOT(ISBLANK(A83)),A83,IF(NOT(ISBLANK(A109)),A109,IF(NOT(ISBLANK(A135)),A135,IF(NOT(ISBLANK(A161)),A161,""))))))</f>
        <v/>
      </c>
      <c r="F240" s="736" t="s">
        <v>5</v>
      </c>
      <c r="G240" s="398" t="str">
        <f>IF(NOT(ISBLANK(A27)),A27,IF(NOT(ISBLANK(A53)),A53,IF(NOT(ISBLANK(A79)),A79,IF(NOT(ISBLANK(A105)),A105,IF(NOT(ISBLANK(A131)),A131,IF(NOT(ISBLANK(A157)),A157,""))))))</f>
        <v/>
      </c>
    </row>
    <row r="241" spans="1:7" ht="17.149999999999999" customHeight="1" outlineLevel="1" x14ac:dyDescent="0.35">
      <c r="A241" s="384" t="s">
        <v>5162</v>
      </c>
      <c r="D241" s="397" t="s">
        <v>4</v>
      </c>
      <c r="E241" s="713" t="str">
        <f>IF(NOT(ISBLANK(B31)),B31,IF(NOT(ISBLANK(B57)),B57,IF(NOT(ISBLANK(B83)),B83,IF(NOT(ISBLANK(B109)),B109,IF(NOT(ISBLANK(B135)),B135,IF(NOT(ISBLANK(B161)),B161,""))))))</f>
        <v/>
      </c>
      <c r="F241" s="737" t="s">
        <v>4</v>
      </c>
      <c r="G241" s="694" t="str">
        <f>IF(NOT(ISBLANK(B27)),B27,IF(NOT(ISBLANK(B53)),B53,IF(NOT(ISBLANK(B79)),B79,IF(NOT(ISBLANK(B105)),B105,IF(NOT(ISBLANK(B131)),B131,IF(NOT(ISBLANK(B157)),B157,""))))))</f>
        <v/>
      </c>
    </row>
    <row r="242" spans="1:7" ht="17.149999999999999" customHeight="1" outlineLevel="1" thickBot="1" x14ac:dyDescent="0.4">
      <c r="A242" s="384" t="s">
        <v>5163</v>
      </c>
      <c r="D242" s="687" t="s">
        <v>606</v>
      </c>
      <c r="E242" s="670" t="str">
        <f>IF(NOT(ISBLANK(C31)),C31,IF(NOT(ISBLANK(C57)),C57,IF(NOT(ISBLANK(C83)),C83,IF(NOT(ISBLANK(C109)),C109,IF(NOT(ISBLANK(C135)),C135,IF(NOT(ISBLANK(C161)),C161,""))))))</f>
        <v/>
      </c>
      <c r="F242" s="738" t="s">
        <v>606</v>
      </c>
      <c r="G242" s="399" t="str">
        <f>IF(NOT(ISBLANK(C27)),C27,IF(NOT(ISBLANK(C53)),C53,IF(NOT(ISBLANK(C79)),C79,IF(NOT(ISBLANK(C105)),C105,IF(NOT(ISBLANK(C131)),C131,IF(NOT(ISBLANK(C157)),C157,""))))))</f>
        <v/>
      </c>
    </row>
    <row r="243" spans="1:7" ht="17.149999999999999" customHeight="1" outlineLevel="1" thickTop="1" x14ac:dyDescent="0.35">
      <c r="A243" s="384" t="s">
        <v>5166</v>
      </c>
      <c r="D243" s="689" t="s">
        <v>607</v>
      </c>
      <c r="E243" s="693" t="str">
        <f>IF(NOT(ISBLANK(D31)),D31,IF(NOT(ISBLANK(D57)),D57,IF(NOT(ISBLANK(D83)),D83,IF(NOT(ISBLANK(D109)),D109,IF(NOT(ISBLANK(D135)),D135,IF(NOT(ISBLANK(D161)),D161,""))))))</f>
        <v/>
      </c>
    </row>
    <row r="244" spans="1:7" ht="17.149999999999999" customHeight="1" outlineLevel="1" thickBot="1" x14ac:dyDescent="0.4">
      <c r="A244" s="385" t="s">
        <v>5164</v>
      </c>
      <c r="D244" s="690" t="s">
        <v>608</v>
      </c>
      <c r="E244" s="693" t="str">
        <f>IF(NOT(ISBLANK(E31)),E31,IF(NOT(ISBLANK(E57)),E57,IF(NOT(ISBLANK(E83)),E83,IF(NOT(ISBLANK(E109)),E109,IF(NOT(ISBLANK(E135)),E135,IF(NOT(ISBLANK(E161)),E161,""))))))</f>
        <v/>
      </c>
    </row>
    <row r="245" spans="1:7" ht="17.149999999999999" customHeight="1" outlineLevel="1" thickTop="1" thickBot="1" x14ac:dyDescent="0.4">
      <c r="D245" s="689" t="s">
        <v>609</v>
      </c>
      <c r="E245" s="693" t="str">
        <f>IF(NOT(ISBLANK(F31)),F31,IF(NOT(ISBLANK(F57)),F57,IF(NOT(ISBLANK(F83)),F83,IF(NOT(ISBLANK(F109)),F109,IF(NOT(ISBLANK(F135)),F135,IF(NOT(ISBLANK(F161)),F161,""))))))</f>
        <v/>
      </c>
    </row>
    <row r="246" spans="1:7" ht="17.149999999999999" customHeight="1" outlineLevel="1" thickTop="1" thickBot="1" x14ac:dyDescent="0.4">
      <c r="A246" s="847" t="s">
        <v>652</v>
      </c>
      <c r="B246" s="848"/>
      <c r="D246" s="689" t="s">
        <v>610</v>
      </c>
      <c r="E246" s="693" t="str">
        <f>IF(NOT(ISBLANK(G31)),G31,IF(NOT(ISBLANK(G57)),G57,IF(NOT(ISBLANK(G83)),G83,IF(NOT(ISBLANK(G109)),G109,IF(NOT(ISBLANK(G135)),G135,IF(NOT(ISBLANK(G161)),G161,""))))))</f>
        <v/>
      </c>
    </row>
    <row r="247" spans="1:7" ht="17.149999999999999" customHeight="1" outlineLevel="1" thickTop="1" thickBot="1" x14ac:dyDescent="0.4">
      <c r="A247" s="386" t="s">
        <v>6098</v>
      </c>
      <c r="D247" s="691" t="s">
        <v>611</v>
      </c>
      <c r="E247" s="714" t="str">
        <f>IF(NOT(ISBLANK(L31)),L31,IF(NOT(ISBLANK(L57)),L57,IF(NOT(ISBLANK(L83)),L83,IF(NOT(ISBLANK(L109)),L109,IF(NOT(ISBLANK(L135)),L135,IF(NOT(ISBLANK(L161)),L161,""))))))</f>
        <v/>
      </c>
    </row>
    <row r="248" spans="1:7" ht="17.149999999999999" customHeight="1" outlineLevel="1" thickTop="1" x14ac:dyDescent="0.35">
      <c r="A248" s="384" t="s">
        <v>6099</v>
      </c>
    </row>
    <row r="249" spans="1:7" ht="17.149999999999999" customHeight="1" outlineLevel="1" x14ac:dyDescent="0.35">
      <c r="A249" s="384"/>
    </row>
    <row r="250" spans="1:7" ht="17.149999999999999" customHeight="1" outlineLevel="1" x14ac:dyDescent="0.35">
      <c r="A250" s="384"/>
    </row>
    <row r="251" spans="1:7" ht="17.149999999999999" customHeight="1" outlineLevel="1" thickBot="1" x14ac:dyDescent="0.4">
      <c r="A251" s="385"/>
    </row>
    <row r="252" spans="1:7" s="615" customFormat="1" ht="17.149999999999999" customHeight="1" thickTop="1" x14ac:dyDescent="0.35">
      <c r="B252" s="645"/>
    </row>
    <row r="1788" spans="6:6" ht="17.149999999999999" customHeight="1" x14ac:dyDescent="0.35">
      <c r="F1788" s="708"/>
    </row>
    <row r="1968" spans="4:4" ht="17.149999999999999" customHeight="1" x14ac:dyDescent="0.35">
      <c r="D1968" s="118">
        <v>43957</v>
      </c>
    </row>
    <row r="2129" spans="4:6" ht="17.149999999999999" customHeight="1" x14ac:dyDescent="0.35">
      <c r="D2129" s="627"/>
      <c r="F2129" s="709"/>
    </row>
  </sheetData>
  <mergeCells count="177">
    <mergeCell ref="A246:B246"/>
    <mergeCell ref="D239:E239"/>
    <mergeCell ref="F239:G239"/>
    <mergeCell ref="A235:B235"/>
    <mergeCell ref="C235:D235"/>
    <mergeCell ref="J99:N99"/>
    <mergeCell ref="J125:N125"/>
    <mergeCell ref="A239:B239"/>
    <mergeCell ref="F208:H209"/>
    <mergeCell ref="I208:J208"/>
    <mergeCell ref="K208:M209"/>
    <mergeCell ref="A230:K230"/>
    <mergeCell ref="A223:B223"/>
    <mergeCell ref="C223:D223"/>
    <mergeCell ref="E223:E224"/>
    <mergeCell ref="F223:F224"/>
    <mergeCell ref="G223:H223"/>
    <mergeCell ref="A222:H222"/>
    <mergeCell ref="A226:H226"/>
    <mergeCell ref="A227:B227"/>
    <mergeCell ref="C227:D227"/>
    <mergeCell ref="A231:B231"/>
    <mergeCell ref="C231:D231"/>
    <mergeCell ref="E227:E228"/>
    <mergeCell ref="E5:I5"/>
    <mergeCell ref="J12:L12"/>
    <mergeCell ref="F21:G21"/>
    <mergeCell ref="K37:L37"/>
    <mergeCell ref="K63:L63"/>
    <mergeCell ref="C47:E47"/>
    <mergeCell ref="F99:G99"/>
    <mergeCell ref="U15:W15"/>
    <mergeCell ref="V16:W16"/>
    <mergeCell ref="N43:V43"/>
    <mergeCell ref="A55:H55"/>
    <mergeCell ref="I55:L55"/>
    <mergeCell ref="K59:L59"/>
    <mergeCell ref="F47:G47"/>
    <mergeCell ref="A5:D5"/>
    <mergeCell ref="A47:B47"/>
    <mergeCell ref="K85:L85"/>
    <mergeCell ref="I51:L51"/>
    <mergeCell ref="H99:I99"/>
    <mergeCell ref="F59:H59"/>
    <mergeCell ref="K89:L89"/>
    <mergeCell ref="A33:C33"/>
    <mergeCell ref="F33:H33"/>
    <mergeCell ref="K33:L33"/>
    <mergeCell ref="E235:I235"/>
    <mergeCell ref="J235:K235"/>
    <mergeCell ref="A159:H159"/>
    <mergeCell ref="I159:L159"/>
    <mergeCell ref="J231:K231"/>
    <mergeCell ref="E231:I231"/>
    <mergeCell ref="A163:C163"/>
    <mergeCell ref="F227:F228"/>
    <mergeCell ref="G227:H227"/>
    <mergeCell ref="A234:K234"/>
    <mergeCell ref="A208:C209"/>
    <mergeCell ref="D208:E208"/>
    <mergeCell ref="J185:K185"/>
    <mergeCell ref="K167:L167"/>
    <mergeCell ref="D185:F185"/>
    <mergeCell ref="G185:I185"/>
    <mergeCell ref="F163:H163"/>
    <mergeCell ref="K163:L163"/>
    <mergeCell ref="A176:K176"/>
    <mergeCell ref="A180:G180"/>
    <mergeCell ref="X15:X16"/>
    <mergeCell ref="J151:L151"/>
    <mergeCell ref="N208:O208"/>
    <mergeCell ref="P204:Q204"/>
    <mergeCell ref="N189:O189"/>
    <mergeCell ref="A189:C190"/>
    <mergeCell ref="D189:E189"/>
    <mergeCell ref="F189:H190"/>
    <mergeCell ref="A204:C204"/>
    <mergeCell ref="D204:F204"/>
    <mergeCell ref="G204:I204"/>
    <mergeCell ref="J204:K204"/>
    <mergeCell ref="L204:N204"/>
    <mergeCell ref="A203:Q203"/>
    <mergeCell ref="I189:J189"/>
    <mergeCell ref="K189:M190"/>
    <mergeCell ref="A59:C59"/>
    <mergeCell ref="A184:Q184"/>
    <mergeCell ref="A185:C185"/>
    <mergeCell ref="P185:Q185"/>
    <mergeCell ref="L185:N185"/>
    <mergeCell ref="C99:E99"/>
    <mergeCell ref="A98:N98"/>
    <mergeCell ref="F73:G73"/>
    <mergeCell ref="S16:T16"/>
    <mergeCell ref="O15:Q15"/>
    <mergeCell ref="A20:N20"/>
    <mergeCell ref="N29:V29"/>
    <mergeCell ref="A21:B21"/>
    <mergeCell ref="H21:I21"/>
    <mergeCell ref="C21:E21"/>
    <mergeCell ref="H73:I73"/>
    <mergeCell ref="A72:N72"/>
    <mergeCell ref="J73:N73"/>
    <mergeCell ref="A73:B73"/>
    <mergeCell ref="C73:E73"/>
    <mergeCell ref="A85:C85"/>
    <mergeCell ref="A81:H81"/>
    <mergeCell ref="I81:L81"/>
    <mergeCell ref="F85:H85"/>
    <mergeCell ref="A51:H51"/>
    <mergeCell ref="J21:N21"/>
    <mergeCell ref="G17:H17"/>
    <mergeCell ref="N41:V41"/>
    <mergeCell ref="K141:L141"/>
    <mergeCell ref="K137:L137"/>
    <mergeCell ref="A151:B151"/>
    <mergeCell ref="A137:C137"/>
    <mergeCell ref="F137:H137"/>
    <mergeCell ref="C151:E151"/>
    <mergeCell ref="I133:L133"/>
    <mergeCell ref="A125:B125"/>
    <mergeCell ref="A99:B99"/>
    <mergeCell ref="K115:L115"/>
    <mergeCell ref="A129:H129"/>
    <mergeCell ref="I129:L129"/>
    <mergeCell ref="H125:I125"/>
    <mergeCell ref="A111:C111"/>
    <mergeCell ref="F111:H111"/>
    <mergeCell ref="A103:H103"/>
    <mergeCell ref="I103:L103"/>
    <mergeCell ref="A107:H107"/>
    <mergeCell ref="I107:L107"/>
    <mergeCell ref="C125:E125"/>
    <mergeCell ref="F125:G125"/>
    <mergeCell ref="A124:N124"/>
    <mergeCell ref="A155:H155"/>
    <mergeCell ref="I155:L155"/>
    <mergeCell ref="A9:I9"/>
    <mergeCell ref="A13:I13"/>
    <mergeCell ref="Y15:Y16"/>
    <mergeCell ref="C17:C18"/>
    <mergeCell ref="R15:T15"/>
    <mergeCell ref="P16:Q16"/>
    <mergeCell ref="N30:P30"/>
    <mergeCell ref="H47:I47"/>
    <mergeCell ref="J47:N47"/>
    <mergeCell ref="A46:N46"/>
    <mergeCell ref="U30:V30"/>
    <mergeCell ref="A25:H25"/>
    <mergeCell ref="I25:L25"/>
    <mergeCell ref="A29:H29"/>
    <mergeCell ref="I29:L29"/>
    <mergeCell ref="K111:L111"/>
    <mergeCell ref="A133:H133"/>
    <mergeCell ref="A77:H77"/>
    <mergeCell ref="I77:L77"/>
    <mergeCell ref="F151:G151"/>
    <mergeCell ref="A150:N150"/>
    <mergeCell ref="H151:I151"/>
    <mergeCell ref="A1:B1"/>
    <mergeCell ref="C1:D1"/>
    <mergeCell ref="E1:E2"/>
    <mergeCell ref="Z1:AA1"/>
    <mergeCell ref="AB1:AC1"/>
    <mergeCell ref="AD1:AD2"/>
    <mergeCell ref="AE1:AF1"/>
    <mergeCell ref="AG1:AH1"/>
    <mergeCell ref="AI1:AI2"/>
    <mergeCell ref="V1:Y1"/>
    <mergeCell ref="M1:N1"/>
    <mergeCell ref="I1:I2"/>
    <mergeCell ref="J1:J2"/>
    <mergeCell ref="R1:S1"/>
    <mergeCell ref="G1:G2"/>
    <mergeCell ref="Q1:Q2"/>
    <mergeCell ref="T1:U1"/>
    <mergeCell ref="O1:P1"/>
    <mergeCell ref="H1:H2"/>
  </mergeCells>
  <conditionalFormatting sqref="H3:I3">
    <cfRule type="notContainsBlanks" dxfId="260" priority="558">
      <formula>LEN(TRIM(H3))&gt;0</formula>
    </cfRule>
    <cfRule type="containsBlanks" dxfId="259" priority="559">
      <formula>LEN(TRIM(H3))=0</formula>
    </cfRule>
  </conditionalFormatting>
  <conditionalFormatting sqref="G3">
    <cfRule type="containsBlanks" dxfId="258" priority="532">
      <formula>LEN(TRIM(G3))=0</formula>
    </cfRule>
    <cfRule type="expression" dxfId="257" priority="552">
      <formula>$G$3&lt;&gt;$N$13</formula>
    </cfRule>
    <cfRule type="expression" dxfId="256" priority="553">
      <formula>$G$3=$N$13</formula>
    </cfRule>
  </conditionalFormatting>
  <conditionalFormatting sqref="A18">
    <cfRule type="cellIs" dxfId="255" priority="526" operator="notBetween">
      <formula>$G$15</formula>
      <formula>$H$15</formula>
    </cfRule>
    <cfRule type="containsBlanks" dxfId="254" priority="528">
      <formula>LEN(TRIM(A18))=0</formula>
    </cfRule>
    <cfRule type="cellIs" dxfId="253" priority="529" operator="between">
      <formula>$G$15</formula>
      <formula>$H$15</formula>
    </cfRule>
  </conditionalFormatting>
  <conditionalFormatting sqref="E18">
    <cfRule type="containsText" dxfId="252" priority="546" operator="containsText" text="К ВИНОВНИКУ">
      <formula>NOT(ISERROR(SEARCH("К ВИНОВНИКУ",E18)))</formula>
    </cfRule>
    <cfRule type="containsText" dxfId="251" priority="547" operator="containsText" text="ПВУ">
      <formula>NOT(ISERROR(SEARCH("ПВУ",E18)))</formula>
    </cfRule>
    <cfRule type="containsBlanks" dxfId="250" priority="564">
      <formula>LEN(TRIM(E18))=0</formula>
    </cfRule>
  </conditionalFormatting>
  <conditionalFormatting sqref="C3:E3">
    <cfRule type="containsBlanks" dxfId="249" priority="340">
      <formula>LEN(TRIM(C3))=0</formula>
    </cfRule>
    <cfRule type="notContainsBlanks" dxfId="248" priority="341">
      <formula>LEN(TRIM(C3))&gt;0</formula>
    </cfRule>
  </conditionalFormatting>
  <conditionalFormatting sqref="A178:D178 F178:K178 A233:K233">
    <cfRule type="containsBlanks" dxfId="247" priority="336">
      <formula>LEN(TRIM(A178))=0</formula>
    </cfRule>
    <cfRule type="notContainsBlanks" dxfId="246" priority="337">
      <formula>LEN(TRIM(A178))&gt;0</formula>
    </cfRule>
  </conditionalFormatting>
  <conditionalFormatting sqref="F182">
    <cfRule type="notContainsBlanks" dxfId="245" priority="334">
      <formula>LEN(TRIM(F182))&gt;0</formula>
    </cfRule>
    <cfRule type="containsBlanks" dxfId="244" priority="335">
      <formula>LEN(TRIM(F182))=0</formula>
    </cfRule>
  </conditionalFormatting>
  <conditionalFormatting sqref="G23:N23">
    <cfRule type="containsBlanks" dxfId="243" priority="328">
      <formula>LEN(TRIM(G23))=0</formula>
    </cfRule>
    <cfRule type="notContainsBlanks" dxfId="242" priority="329">
      <formula>LEN(TRIM(G23))&gt;0</formula>
    </cfRule>
  </conditionalFormatting>
  <conditionalFormatting sqref="A27:L27">
    <cfRule type="notContainsBlanks" dxfId="241" priority="326">
      <formula>LEN(TRIM(A27))&gt;0</formula>
    </cfRule>
    <cfRule type="containsBlanks" dxfId="240" priority="327">
      <formula>LEN(TRIM(A27))=0</formula>
    </cfRule>
  </conditionalFormatting>
  <conditionalFormatting sqref="A31:L31">
    <cfRule type="notContainsBlanks" dxfId="239" priority="324">
      <formula>LEN(TRIM(A31))&gt;0</formula>
    </cfRule>
    <cfRule type="containsBlanks" dxfId="238" priority="325">
      <formula>LEN(TRIM(A31))=0</formula>
    </cfRule>
  </conditionalFormatting>
  <conditionalFormatting sqref="F49:M49">
    <cfRule type="containsBlanks" dxfId="237" priority="322">
      <formula>LEN(TRIM(F49))=0</formula>
    </cfRule>
    <cfRule type="notContainsBlanks" dxfId="236" priority="323">
      <formula>LEN(TRIM(F49))&gt;0</formula>
    </cfRule>
  </conditionalFormatting>
  <conditionalFormatting sqref="A53:L53">
    <cfRule type="notContainsBlanks" dxfId="235" priority="320">
      <formula>LEN(TRIM(A53))&gt;0</formula>
    </cfRule>
    <cfRule type="containsBlanks" dxfId="234" priority="321">
      <formula>LEN(TRIM(A53))=0</formula>
    </cfRule>
  </conditionalFormatting>
  <conditionalFormatting sqref="A57:L57">
    <cfRule type="notContainsBlanks" dxfId="233" priority="318">
      <formula>LEN(TRIM(A57))&gt;0</formula>
    </cfRule>
    <cfRule type="containsBlanks" dxfId="232" priority="319">
      <formula>LEN(TRIM(A57))=0</formula>
    </cfRule>
  </conditionalFormatting>
  <conditionalFormatting sqref="F75:M75">
    <cfRule type="containsBlanks" dxfId="231" priority="316">
      <formula>LEN(TRIM(F75))=0</formula>
    </cfRule>
    <cfRule type="notContainsBlanks" dxfId="230" priority="317">
      <formula>LEN(TRIM(F75))&gt;0</formula>
    </cfRule>
  </conditionalFormatting>
  <conditionalFormatting sqref="A79:L79">
    <cfRule type="notContainsBlanks" dxfId="229" priority="314">
      <formula>LEN(TRIM(A79))&gt;0</formula>
    </cfRule>
    <cfRule type="containsBlanks" dxfId="228" priority="315">
      <formula>LEN(TRIM(A79))=0</formula>
    </cfRule>
  </conditionalFormatting>
  <conditionalFormatting sqref="E83:L83">
    <cfRule type="notContainsBlanks" dxfId="227" priority="312">
      <formula>LEN(TRIM(E83))&gt;0</formula>
    </cfRule>
    <cfRule type="containsBlanks" dxfId="226" priority="313">
      <formula>LEN(TRIM(E83))=0</formula>
    </cfRule>
  </conditionalFormatting>
  <conditionalFormatting sqref="G19:H19">
    <cfRule type="notContainsBlanks" dxfId="225" priority="310">
      <formula>LEN(TRIM(G19))&gt;0</formula>
    </cfRule>
    <cfRule type="containsBlanks" dxfId="224" priority="311">
      <formula>LEN(TRIM(G19))=0</formula>
    </cfRule>
  </conditionalFormatting>
  <conditionalFormatting sqref="C101:D101 F101:M101">
    <cfRule type="containsBlanks" dxfId="223" priority="308">
      <formula>LEN(TRIM(C101))=0</formula>
    </cfRule>
    <cfRule type="notContainsBlanks" dxfId="222" priority="309">
      <formula>LEN(TRIM(C101))&gt;0</formula>
    </cfRule>
  </conditionalFormatting>
  <conditionalFormatting sqref="A127:D127 F127:M127">
    <cfRule type="containsBlanks" dxfId="221" priority="306">
      <formula>LEN(TRIM(A127))=0</formula>
    </cfRule>
    <cfRule type="notContainsBlanks" dxfId="220" priority="307">
      <formula>LEN(TRIM(A127))&gt;0</formula>
    </cfRule>
  </conditionalFormatting>
  <conditionalFormatting sqref="A153:D153 F153:M153">
    <cfRule type="containsBlanks" dxfId="219" priority="304">
      <formula>LEN(TRIM(A153))=0</formula>
    </cfRule>
    <cfRule type="notContainsBlanks" dxfId="218" priority="305">
      <formula>LEN(TRIM(A153))&gt;0</formula>
    </cfRule>
  </conditionalFormatting>
  <conditionalFormatting sqref="A105:L105">
    <cfRule type="notContainsBlanks" dxfId="217" priority="302">
      <formula>LEN(TRIM(A105))&gt;0</formula>
    </cfRule>
    <cfRule type="containsBlanks" dxfId="216" priority="303">
      <formula>LEN(TRIM(A105))=0</formula>
    </cfRule>
  </conditionalFormatting>
  <conditionalFormatting sqref="A131:L131">
    <cfRule type="notContainsBlanks" dxfId="215" priority="300">
      <formula>LEN(TRIM(A131))&gt;0</formula>
    </cfRule>
    <cfRule type="containsBlanks" dxfId="214" priority="301">
      <formula>LEN(TRIM(A131))=0</formula>
    </cfRule>
  </conditionalFormatting>
  <conditionalFormatting sqref="A157:L157">
    <cfRule type="notContainsBlanks" dxfId="213" priority="298">
      <formula>LEN(TRIM(A157))&gt;0</formula>
    </cfRule>
    <cfRule type="containsBlanks" dxfId="212" priority="299">
      <formula>LEN(TRIM(A157))=0</formula>
    </cfRule>
  </conditionalFormatting>
  <conditionalFormatting sqref="A109:L109">
    <cfRule type="notContainsBlanks" dxfId="211" priority="296">
      <formula>LEN(TRIM(A109))&gt;0</formula>
    </cfRule>
    <cfRule type="containsBlanks" dxfId="210" priority="297">
      <formula>LEN(TRIM(A109))=0</formula>
    </cfRule>
  </conditionalFormatting>
  <conditionalFormatting sqref="A135:L135">
    <cfRule type="notContainsBlanks" dxfId="209" priority="294">
      <formula>LEN(TRIM(A135))&gt;0</formula>
    </cfRule>
    <cfRule type="containsBlanks" dxfId="208" priority="295">
      <formula>LEN(TRIM(A135))=0</formula>
    </cfRule>
  </conditionalFormatting>
  <conditionalFormatting sqref="A161:L161">
    <cfRule type="notContainsBlanks" dxfId="207" priority="292">
      <formula>LEN(TRIM(A161))&gt;0</formula>
    </cfRule>
    <cfRule type="containsBlanks" dxfId="206" priority="293">
      <formula>LEN(TRIM(A161))=0</formula>
    </cfRule>
  </conditionalFormatting>
  <conditionalFormatting sqref="A187:N187">
    <cfRule type="containsBlanks" dxfId="205" priority="290">
      <formula>LEN(TRIM(A187))=0</formula>
    </cfRule>
    <cfRule type="notContainsBlanks" dxfId="204" priority="291">
      <formula>LEN(TRIM(A187))&gt;0</formula>
    </cfRule>
  </conditionalFormatting>
  <conditionalFormatting sqref="A206:N206">
    <cfRule type="containsBlanks" dxfId="203" priority="288">
      <formula>LEN(TRIM(A206))=0</formula>
    </cfRule>
    <cfRule type="notContainsBlanks" dxfId="202" priority="289">
      <formula>LEN(TRIM(A206))&gt;0</formula>
    </cfRule>
  </conditionalFormatting>
  <conditionalFormatting sqref="C7:D7">
    <cfRule type="containsBlanks" dxfId="201" priority="276">
      <formula>LEN(TRIM(C7))=0</formula>
    </cfRule>
    <cfRule type="notContainsBlanks" dxfId="200" priority="277">
      <formula>LEN(TRIM(C7))&gt;0</formula>
    </cfRule>
  </conditionalFormatting>
  <conditionalFormatting sqref="A11 I11">
    <cfRule type="notContainsBlanks" dxfId="199" priority="274">
      <formula>LEN(TRIM(A11))&gt;0</formula>
    </cfRule>
    <cfRule type="containsBlanks" dxfId="198" priority="275">
      <formula>LEN(TRIM(A11))=0</formula>
    </cfRule>
  </conditionalFormatting>
  <conditionalFormatting sqref="A15 C15">
    <cfRule type="notContainsBlanks" dxfId="197" priority="272">
      <formula>LEN(TRIM(A15))&gt;0</formula>
    </cfRule>
    <cfRule type="containsBlanks" dxfId="196" priority="273">
      <formula>LEN(TRIM(A15))=0</formula>
    </cfRule>
  </conditionalFormatting>
  <conditionalFormatting sqref="A23 C23:D23 F23">
    <cfRule type="containsBlanks" dxfId="195" priority="270">
      <formula>LEN(TRIM(A23))=0</formula>
    </cfRule>
    <cfRule type="notContainsBlanks" dxfId="194" priority="271">
      <formula>LEN(TRIM(A23))&gt;0</formula>
    </cfRule>
  </conditionalFormatting>
  <conditionalFormatting sqref="A49 C49:D49">
    <cfRule type="containsBlanks" dxfId="193" priority="268">
      <formula>LEN(TRIM(A49))=0</formula>
    </cfRule>
    <cfRule type="notContainsBlanks" dxfId="192" priority="269">
      <formula>LEN(TRIM(A49))&gt;0</formula>
    </cfRule>
  </conditionalFormatting>
  <conditionalFormatting sqref="I15">
    <cfRule type="notContainsBlanks" dxfId="191" priority="264">
      <formula>LEN(TRIM(I15))&gt;0</formula>
    </cfRule>
    <cfRule type="containsBlanks" dxfId="190" priority="265">
      <formula>LEN(TRIM(I15))=0</formula>
    </cfRule>
  </conditionalFormatting>
  <conditionalFormatting sqref="B49">
    <cfRule type="containsBlanks" dxfId="189" priority="262">
      <formula>LEN(TRIM(B49))=0</formula>
    </cfRule>
    <cfRule type="notContainsBlanks" dxfId="188" priority="263">
      <formula>LEN(TRIM(B49))&gt;0</formula>
    </cfRule>
  </conditionalFormatting>
  <conditionalFormatting sqref="E23">
    <cfRule type="containsBlanks" dxfId="187" priority="256">
      <formula>LEN(TRIM(E23))=0</formula>
    </cfRule>
    <cfRule type="notContainsBlanks" dxfId="186" priority="257">
      <formula>LEN(TRIM(E23))&gt;0</formula>
    </cfRule>
  </conditionalFormatting>
  <conditionalFormatting sqref="L16">
    <cfRule type="containsBlanks" dxfId="185" priority="254">
      <formula>LEN(TRIM(L16))=0</formula>
    </cfRule>
    <cfRule type="notContainsBlanks" dxfId="184" priority="566">
      <formula>LEN(TRIM(L16))&gt;0</formula>
    </cfRule>
  </conditionalFormatting>
  <conditionalFormatting sqref="H180">
    <cfRule type="expression" dxfId="183" priority="251">
      <formula>$I$180&gt;0</formula>
    </cfRule>
  </conditionalFormatting>
  <conditionalFormatting sqref="C24">
    <cfRule type="notContainsBlanks" dxfId="182" priority="249">
      <formula>LEN(TRIM(C24))&gt;0</formula>
    </cfRule>
    <cfRule type="containsBlanks" dxfId="181" priority="250">
      <formula>LEN(TRIM(C24))=0</formula>
    </cfRule>
  </conditionalFormatting>
  <conditionalFormatting sqref="D15:H15">
    <cfRule type="notContainsBlanks" dxfId="180" priority="247">
      <formula>LEN(TRIM(D15))&gt;0</formula>
    </cfRule>
    <cfRule type="containsBlanks" dxfId="179" priority="248">
      <formula>LEN(TRIM(D15))=0</formula>
    </cfRule>
  </conditionalFormatting>
  <conditionalFormatting sqref="C75:D75">
    <cfRule type="containsBlanks" dxfId="178" priority="237">
      <formula>LEN(TRIM(C75))=0</formula>
    </cfRule>
    <cfRule type="notContainsBlanks" dxfId="177" priority="238">
      <formula>LEN(TRIM(C75))&gt;0</formula>
    </cfRule>
  </conditionalFormatting>
  <conditionalFormatting sqref="D12">
    <cfRule type="notContainsBlanks" dxfId="176" priority="231">
      <formula>LEN(TRIM(D12))&gt;0</formula>
    </cfRule>
    <cfRule type="containsBlanks" dxfId="175" priority="232">
      <formula>LEN(TRIM(D12))=0</formula>
    </cfRule>
  </conditionalFormatting>
  <conditionalFormatting sqref="D8">
    <cfRule type="notContainsBlanks" dxfId="174" priority="227">
      <formula>LEN(TRIM(D8))&gt;0</formula>
    </cfRule>
    <cfRule type="containsBlanks" dxfId="173" priority="228">
      <formula>LEN(TRIM(D8))=0</formula>
    </cfRule>
  </conditionalFormatting>
  <conditionalFormatting sqref="F12">
    <cfRule type="notContainsBlanks" dxfId="172" priority="225">
      <formula>LEN(TRIM(F12))&gt;0</formula>
    </cfRule>
    <cfRule type="containsBlanks" dxfId="171" priority="226">
      <formula>LEN(TRIM(F12))=0</formula>
    </cfRule>
  </conditionalFormatting>
  <conditionalFormatting sqref="A83:D83">
    <cfRule type="notContainsBlanks" dxfId="170" priority="223">
      <formula>LEN(TRIM(A83))&gt;0</formula>
    </cfRule>
    <cfRule type="containsBlanks" dxfId="169" priority="224">
      <formula>LEN(TRIM(A83))=0</formula>
    </cfRule>
  </conditionalFormatting>
  <conditionalFormatting sqref="G182">
    <cfRule type="notContainsBlanks" dxfId="168" priority="221">
      <formula>LEN(TRIM(G182))&gt;0</formula>
    </cfRule>
    <cfRule type="containsBlanks" dxfId="167" priority="222">
      <formula>LEN(TRIM(G182))=0</formula>
    </cfRule>
  </conditionalFormatting>
  <conditionalFormatting sqref="B75">
    <cfRule type="containsBlanks" dxfId="166" priority="213">
      <formula>LEN(TRIM(B75))=0</formula>
    </cfRule>
    <cfRule type="notContainsBlanks" dxfId="165" priority="214">
      <formula>LEN(TRIM(B75))&gt;0</formula>
    </cfRule>
  </conditionalFormatting>
  <conditionalFormatting sqref="A75">
    <cfRule type="containsBlanks" dxfId="164" priority="215">
      <formula>LEN(TRIM(A75))=0</formula>
    </cfRule>
    <cfRule type="notContainsBlanks" dxfId="163" priority="216">
      <formula>LEN(TRIM(A75))&gt;0</formula>
    </cfRule>
  </conditionalFormatting>
  <conditionalFormatting sqref="E11:H11">
    <cfRule type="notContainsBlanks" dxfId="162" priority="211">
      <formula>LEN(TRIM(E11))&gt;0</formula>
    </cfRule>
    <cfRule type="containsBlanks" dxfId="161" priority="212">
      <formula>LEN(TRIM(E11))=0</formula>
    </cfRule>
  </conditionalFormatting>
  <conditionalFormatting sqref="J3">
    <cfRule type="notContainsBlanks" dxfId="160" priority="208">
      <formula>LEN(TRIM(J3))&gt;0</formula>
    </cfRule>
    <cfRule type="containsBlanks" dxfId="159" priority="567">
      <formula>LEN(TRIM(J3))=0</formula>
    </cfRule>
  </conditionalFormatting>
  <conditionalFormatting sqref="A182:D182">
    <cfRule type="containsBlanks" dxfId="158" priority="205">
      <formula>LEN(TRIM(A182))=0</formula>
    </cfRule>
    <cfRule type="notContainsBlanks" dxfId="157" priority="206">
      <formula>LEN(TRIM(A182))&gt;0</formula>
    </cfRule>
  </conditionalFormatting>
  <conditionalFormatting sqref="D179">
    <cfRule type="notContainsBlanks" dxfId="156" priority="177">
      <formula>LEN(TRIM(D179))&gt;0</formula>
    </cfRule>
    <cfRule type="containsBlanks" dxfId="155" priority="178">
      <formula>LEN(TRIM(D179))=0</formula>
    </cfRule>
  </conditionalFormatting>
  <conditionalFormatting sqref="D183">
    <cfRule type="notContainsBlanks" dxfId="154" priority="181">
      <formula>LEN(TRIM(D183))&gt;0</formula>
    </cfRule>
    <cfRule type="containsBlanks" dxfId="153" priority="182">
      <formula>LEN(TRIM(D183))=0</formula>
    </cfRule>
  </conditionalFormatting>
  <conditionalFormatting sqref="E179">
    <cfRule type="containsBlanks" dxfId="152" priority="179">
      <formula>LEN(TRIM(E179))=0</formula>
    </cfRule>
    <cfRule type="notContainsBlanks" dxfId="151" priority="180">
      <formula>LEN(TRIM(E179))&gt;0</formula>
    </cfRule>
  </conditionalFormatting>
  <conditionalFormatting sqref="E183">
    <cfRule type="containsBlanks" dxfId="150" priority="175">
      <formula>LEN(TRIM(E183))=0</formula>
    </cfRule>
    <cfRule type="notContainsBlanks" dxfId="149" priority="176">
      <formula>LEN(TRIM(E183))&gt;0</formula>
    </cfRule>
  </conditionalFormatting>
  <conditionalFormatting sqref="B101">
    <cfRule type="containsBlanks" dxfId="148" priority="171">
      <formula>LEN(TRIM(B101))=0</formula>
    </cfRule>
    <cfRule type="notContainsBlanks" dxfId="147" priority="172">
      <formula>LEN(TRIM(B101))&gt;0</formula>
    </cfRule>
  </conditionalFormatting>
  <conditionalFormatting sqref="A101">
    <cfRule type="containsBlanks" dxfId="146" priority="173">
      <formula>LEN(TRIM(A101))=0</formula>
    </cfRule>
    <cfRule type="notContainsBlanks" dxfId="145" priority="174">
      <formula>LEN(TRIM(A101))&gt;0</formula>
    </cfRule>
  </conditionalFormatting>
  <conditionalFormatting sqref="D11">
    <cfRule type="notContainsBlanks" dxfId="144" priority="169">
      <formula>LEN(TRIM(D11))&gt;0</formula>
    </cfRule>
    <cfRule type="containsBlanks" dxfId="143" priority="170">
      <formula>LEN(TRIM(D11))=0</formula>
    </cfRule>
  </conditionalFormatting>
  <conditionalFormatting sqref="B188">
    <cfRule type="containsBlanks" dxfId="142" priority="167">
      <formula>LEN(TRIM(B188))=0</formula>
    </cfRule>
    <cfRule type="notContainsBlanks" dxfId="141" priority="168">
      <formula>LEN(TRIM(B188))&gt;0</formula>
    </cfRule>
  </conditionalFormatting>
  <conditionalFormatting sqref="F8">
    <cfRule type="notContainsBlanks" dxfId="140" priority="165">
      <formula>LEN(TRIM(F8))&gt;0</formula>
    </cfRule>
    <cfRule type="containsBlanks" dxfId="139" priority="166">
      <formula>LEN(TRIM(F8))=0</formula>
    </cfRule>
  </conditionalFormatting>
  <conditionalFormatting sqref="H12">
    <cfRule type="notContainsBlanks" dxfId="138" priority="161">
      <formula>LEN(TRIM(H12))&gt;0</formula>
    </cfRule>
    <cfRule type="containsBlanks" dxfId="137" priority="162">
      <formula>LEN(TRIM(H12))=0</formula>
    </cfRule>
  </conditionalFormatting>
  <conditionalFormatting sqref="H8">
    <cfRule type="notContainsBlanks" dxfId="136" priority="159">
      <formula>LEN(TRIM(H8))&gt;0</formula>
    </cfRule>
    <cfRule type="containsBlanks" dxfId="135" priority="160">
      <formula>LEN(TRIM(H8))=0</formula>
    </cfRule>
  </conditionalFormatting>
  <conditionalFormatting sqref="J8">
    <cfRule type="notContainsBlanks" dxfId="134" priority="157">
      <formula>LEN(TRIM(J8))&gt;0</formula>
    </cfRule>
    <cfRule type="containsBlanks" dxfId="133" priority="158">
      <formula>LEN(TRIM(J8))=0</formula>
    </cfRule>
  </conditionalFormatting>
  <conditionalFormatting sqref="J7">
    <cfRule type="notContainsBlanks" dxfId="132" priority="155">
      <formula>LEN(TRIM(J7))&gt;0</formula>
    </cfRule>
    <cfRule type="containsBlanks" dxfId="131" priority="156">
      <formula>LEN(TRIM(J7))=0</formula>
    </cfRule>
  </conditionalFormatting>
  <conditionalFormatting sqref="L9">
    <cfRule type="notContainsBlanks" dxfId="130" priority="153">
      <formula>LEN(TRIM(L9))&gt;0</formula>
    </cfRule>
    <cfRule type="containsBlanks" dxfId="129" priority="154">
      <formula>LEN(TRIM(L9))=0</formula>
    </cfRule>
  </conditionalFormatting>
  <conditionalFormatting sqref="L11">
    <cfRule type="notContainsBlanks" dxfId="128" priority="151">
      <formula>LEN(TRIM(L11))&gt;0</formula>
    </cfRule>
    <cfRule type="containsBlanks" dxfId="127" priority="152">
      <formula>LEN(TRIM(L11))=0</formula>
    </cfRule>
  </conditionalFormatting>
  <conditionalFormatting sqref="A25:H25">
    <cfRule type="expression" dxfId="126" priority="150">
      <formula>"ДЕНЬНЕД(РАБДЕНЬ.МЕЖД(A23;20;""0000000"";DRAFT!X2:X85);2)=6"</formula>
    </cfRule>
  </conditionalFormatting>
  <conditionalFormatting sqref="D24">
    <cfRule type="containsText" dxfId="125" priority="148" operator="containsText" text="СБТ">
      <formula>NOT(ISERROR(SEARCH("СБТ",D24)))</formula>
    </cfRule>
    <cfRule type="containsText" dxfId="124" priority="149" operator="containsText" text="ВКС">
      <formula>NOT(ISERROR(SEARCH("ВКС",D24)))</formula>
    </cfRule>
  </conditionalFormatting>
  <conditionalFormatting sqref="D76">
    <cfRule type="containsText" dxfId="123" priority="146" operator="containsText" text="СБТ">
      <formula>NOT(ISERROR(SEARCH("СБТ",D76)))</formula>
    </cfRule>
    <cfRule type="containsText" dxfId="122" priority="147" operator="containsText" text="ВКС">
      <formula>NOT(ISERROR(SEARCH("ВКС",D76)))</formula>
    </cfRule>
  </conditionalFormatting>
  <conditionalFormatting sqref="D50">
    <cfRule type="containsText" dxfId="121" priority="144" operator="containsText" text="СБТ">
      <formula>NOT(ISERROR(SEARCH("СБТ",D50)))</formula>
    </cfRule>
    <cfRule type="containsText" dxfId="120" priority="145" operator="containsText" text="ВКС">
      <formula>NOT(ISERROR(SEARCH("ВКС",D50)))</formula>
    </cfRule>
  </conditionalFormatting>
  <conditionalFormatting sqref="D102">
    <cfRule type="containsText" dxfId="119" priority="142" operator="containsText" text="СБТ">
      <formula>NOT(ISERROR(SEARCH("СБТ",D102)))</formula>
    </cfRule>
    <cfRule type="containsText" dxfId="118" priority="143" operator="containsText" text="ВКС">
      <formula>NOT(ISERROR(SEARCH("ВКС",D102)))</formula>
    </cfRule>
  </conditionalFormatting>
  <conditionalFormatting sqref="D128">
    <cfRule type="containsText" dxfId="117" priority="130" operator="containsText" text="СБТ">
      <formula>NOT(ISERROR(SEARCH("СБТ",D128)))</formula>
    </cfRule>
    <cfRule type="containsText" dxfId="116" priority="131" operator="containsText" text="ВКС">
      <formula>NOT(ISERROR(SEARCH("ВКС",D128)))</formula>
    </cfRule>
  </conditionalFormatting>
  <conditionalFormatting sqref="D154">
    <cfRule type="containsText" dxfId="115" priority="128" operator="containsText" text="СБТ">
      <formula>NOT(ISERROR(SEARCH("СБТ",D154)))</formula>
    </cfRule>
    <cfRule type="containsText" dxfId="114" priority="129" operator="containsText" text="ВКС">
      <formula>NOT(ISERROR(SEARCH("ВКС",D154)))</formula>
    </cfRule>
  </conditionalFormatting>
  <conditionalFormatting sqref="E49">
    <cfRule type="containsBlanks" dxfId="113" priority="126">
      <formula>LEN(TRIM(E49))=0</formula>
    </cfRule>
    <cfRule type="notContainsBlanks" dxfId="112" priority="127">
      <formula>LEN(TRIM(E49))&gt;0</formula>
    </cfRule>
  </conditionalFormatting>
  <conditionalFormatting sqref="E75">
    <cfRule type="containsBlanks" dxfId="111" priority="124">
      <formula>LEN(TRIM(E75))=0</formula>
    </cfRule>
    <cfRule type="notContainsBlanks" dxfId="110" priority="125">
      <formula>LEN(TRIM(E75))&gt;0</formula>
    </cfRule>
  </conditionalFormatting>
  <conditionalFormatting sqref="E101">
    <cfRule type="containsBlanks" dxfId="109" priority="122">
      <formula>LEN(TRIM(E101))=0</formula>
    </cfRule>
    <cfRule type="notContainsBlanks" dxfId="108" priority="123">
      <formula>LEN(TRIM(E101))&gt;0</formula>
    </cfRule>
  </conditionalFormatting>
  <conditionalFormatting sqref="E127">
    <cfRule type="containsBlanks" dxfId="107" priority="120">
      <formula>LEN(TRIM(E127))=0</formula>
    </cfRule>
    <cfRule type="notContainsBlanks" dxfId="106" priority="121">
      <formula>LEN(TRIM(E127))&gt;0</formula>
    </cfRule>
  </conditionalFormatting>
  <conditionalFormatting sqref="E153">
    <cfRule type="containsBlanks" dxfId="105" priority="118">
      <formula>LEN(TRIM(E153))=0</formula>
    </cfRule>
    <cfRule type="notContainsBlanks" dxfId="104" priority="119">
      <formula>LEN(TRIM(E153))&gt;0</formula>
    </cfRule>
  </conditionalFormatting>
  <conditionalFormatting sqref="A225:H225">
    <cfRule type="containsBlanks" dxfId="103" priority="116">
      <formula>LEN(TRIM(A225))=0</formula>
    </cfRule>
    <cfRule type="notContainsBlanks" dxfId="102" priority="117">
      <formula>LEN(TRIM(A225))&gt;0</formula>
    </cfRule>
  </conditionalFormatting>
  <conditionalFormatting sqref="A229:D229 F229:H229">
    <cfRule type="containsBlanks" dxfId="101" priority="114">
      <formula>LEN(TRIM(A229))=0</formula>
    </cfRule>
    <cfRule type="notContainsBlanks" dxfId="100" priority="115">
      <formula>LEN(TRIM(A229))&gt;0</formula>
    </cfRule>
  </conditionalFormatting>
  <conditionalFormatting sqref="E229">
    <cfRule type="containsBlanks" dxfId="99" priority="112">
      <formula>LEN(TRIM(E229))=0</formula>
    </cfRule>
    <cfRule type="notContainsBlanks" dxfId="98" priority="113">
      <formula>LEN(TRIM(E229))&gt;0</formula>
    </cfRule>
  </conditionalFormatting>
  <conditionalFormatting sqref="A237:K237">
    <cfRule type="containsBlanks" dxfId="97" priority="106">
      <formula>LEN(TRIM(A237))=0</formula>
    </cfRule>
    <cfRule type="notContainsBlanks" dxfId="96" priority="107">
      <formula>LEN(TRIM(A237))&gt;0</formula>
    </cfRule>
  </conditionalFormatting>
  <conditionalFormatting sqref="C17:C18">
    <cfRule type="containsText" dxfId="95" priority="105" operator="containsText" text="СРОК ДАВНОСТИ">
      <formula>NOT(ISERROR(SEARCH("СРОК ДАВНОСТИ",C17)))</formula>
    </cfRule>
  </conditionalFormatting>
  <conditionalFormatting sqref="B240">
    <cfRule type="containsBlanks" dxfId="94" priority="103">
      <formula>LEN(TRIM(B240))=0</formula>
    </cfRule>
    <cfRule type="notContainsBlanks" dxfId="93" priority="104">
      <formula>LEN(TRIM(B240))&gt;0</formula>
    </cfRule>
  </conditionalFormatting>
  <conditionalFormatting sqref="B241">
    <cfRule type="containsBlanks" dxfId="92" priority="101">
      <formula>LEN(TRIM(B241))=0</formula>
    </cfRule>
    <cfRule type="notContainsBlanks" dxfId="91" priority="102">
      <formula>LEN(TRIM(B241))&gt;0</formula>
    </cfRule>
  </conditionalFormatting>
  <conditionalFormatting sqref="B242">
    <cfRule type="containsBlanks" dxfId="90" priority="99">
      <formula>LEN(TRIM(B242))=0</formula>
    </cfRule>
    <cfRule type="notContainsBlanks" dxfId="89" priority="100">
      <formula>LEN(TRIM(B242))&gt;0</formula>
    </cfRule>
  </conditionalFormatting>
  <conditionalFormatting sqref="B243">
    <cfRule type="containsBlanks" dxfId="88" priority="97">
      <formula>LEN(TRIM(B243))=0</formula>
    </cfRule>
    <cfRule type="notContainsBlanks" dxfId="87" priority="98">
      <formula>LEN(TRIM(B243))&gt;0</formula>
    </cfRule>
  </conditionalFormatting>
  <conditionalFormatting sqref="B244">
    <cfRule type="containsBlanks" dxfId="86" priority="95">
      <formula>LEN(TRIM(B244))=0</formula>
    </cfRule>
    <cfRule type="notContainsBlanks" dxfId="85" priority="96">
      <formula>LEN(TRIM(B244))&gt;0</formula>
    </cfRule>
  </conditionalFormatting>
  <conditionalFormatting sqref="L17">
    <cfRule type="containsText" dxfId="84" priority="78" operator="containsText" text="НЕ ПОЛОЖЕНО">
      <formula>NOT(ISERROR(SEARCH("НЕ ПОЛОЖЕНО",L17)))</formula>
    </cfRule>
  </conditionalFormatting>
  <conditionalFormatting sqref="F3">
    <cfRule type="containsBlanks" dxfId="83" priority="76">
      <formula>LEN(TRIM(F3))=0</formula>
    </cfRule>
    <cfRule type="notContainsBlanks" dxfId="82" priority="77">
      <formula>LEN(TRIM(F3))&gt;0</formula>
    </cfRule>
  </conditionalFormatting>
  <conditionalFormatting sqref="M25">
    <cfRule type="containsBlanks" dxfId="81" priority="74">
      <formula>LEN(TRIM(M25))=0</formula>
    </cfRule>
    <cfRule type="notContainsBlanks" dxfId="80" priority="75">
      <formula>LEN(TRIM(M25))&gt;0</formula>
    </cfRule>
  </conditionalFormatting>
  <conditionalFormatting sqref="X17">
    <cfRule type="containsText" dxfId="79" priority="71" operator="containsText" text="ОТКАЗ">
      <formula>NOT(ISERROR(SEARCH("ОТКАЗ",X17)))</formula>
    </cfRule>
    <cfRule type="containsText" dxfId="78" priority="72" operator="containsText" text="ВЗЫСКАНИЕ">
      <formula>NOT(ISERROR(SEARCH("ВЗЫСКАНИЕ",X17)))</formula>
    </cfRule>
    <cfRule type="containsText" dxfId="77" priority="73" operator="containsText" text="ОТКАЗ">
      <formula>NOT(ISERROR(SEARCH("ОТКАЗ",X17)))</formula>
    </cfRule>
  </conditionalFormatting>
  <conditionalFormatting sqref="X20">
    <cfRule type="containsText" dxfId="76" priority="68" operator="containsText" text="ОТКАЗ">
      <formula>NOT(ISERROR(SEARCH("ОТКАЗ",X20)))</formula>
    </cfRule>
    <cfRule type="containsText" dxfId="75" priority="69" operator="containsText" text="ВЗЫСКАНИЕ">
      <formula>NOT(ISERROR(SEARCH("ВЗЫСКАНИЕ",X20)))</formula>
    </cfRule>
    <cfRule type="containsText" dxfId="74" priority="70" operator="containsText" text="ОТКАЗ">
      <formula>NOT(ISERROR(SEARCH("ОТКАЗ",X20)))</formula>
    </cfRule>
  </conditionalFormatting>
  <conditionalFormatting sqref="K16">
    <cfRule type="notContainsBlanks" dxfId="73" priority="54">
      <formula>LEN(TRIM(K16))&gt;0</formula>
    </cfRule>
    <cfRule type="containsBlanks" dxfId="72" priority="55">
      <formula>LEN(TRIM(K16))=0</formula>
    </cfRule>
  </conditionalFormatting>
  <conditionalFormatting sqref="M51">
    <cfRule type="containsBlanks" dxfId="71" priority="52">
      <formula>LEN(TRIM(M51))=0</formula>
    </cfRule>
    <cfRule type="notContainsBlanks" dxfId="70" priority="53">
      <formula>LEN(TRIM(M51))&gt;0</formula>
    </cfRule>
  </conditionalFormatting>
  <conditionalFormatting sqref="N49">
    <cfRule type="containsBlanks" dxfId="69" priority="50">
      <formula>LEN(TRIM(N49))=0</formula>
    </cfRule>
    <cfRule type="notContainsBlanks" dxfId="68" priority="51">
      <formula>LEN(TRIM(N49))&gt;0</formula>
    </cfRule>
  </conditionalFormatting>
  <conditionalFormatting sqref="N75">
    <cfRule type="containsBlanks" dxfId="67" priority="48">
      <formula>LEN(TRIM(N75))=0</formula>
    </cfRule>
    <cfRule type="notContainsBlanks" dxfId="66" priority="49">
      <formula>LEN(TRIM(N75))&gt;0</formula>
    </cfRule>
  </conditionalFormatting>
  <conditionalFormatting sqref="N101">
    <cfRule type="containsBlanks" dxfId="65" priority="46">
      <formula>LEN(TRIM(N101))=0</formula>
    </cfRule>
    <cfRule type="notContainsBlanks" dxfId="64" priority="47">
      <formula>LEN(TRIM(N101))&gt;0</formula>
    </cfRule>
  </conditionalFormatting>
  <conditionalFormatting sqref="N127">
    <cfRule type="containsBlanks" dxfId="63" priority="44">
      <formula>LEN(TRIM(N127))=0</formula>
    </cfRule>
    <cfRule type="notContainsBlanks" dxfId="62" priority="45">
      <formula>LEN(TRIM(N127))&gt;0</formula>
    </cfRule>
  </conditionalFormatting>
  <conditionalFormatting sqref="N153">
    <cfRule type="containsBlanks" dxfId="61" priority="42">
      <formula>LEN(TRIM(N153))=0</formula>
    </cfRule>
    <cfRule type="notContainsBlanks" dxfId="60" priority="43">
      <formula>LEN(TRIM(N153))&gt;0</formula>
    </cfRule>
  </conditionalFormatting>
  <conditionalFormatting sqref="M77">
    <cfRule type="containsBlanks" dxfId="59" priority="40">
      <formula>LEN(TRIM(M77))=0</formula>
    </cfRule>
    <cfRule type="notContainsBlanks" dxfId="58" priority="41">
      <formula>LEN(TRIM(M77))&gt;0</formula>
    </cfRule>
  </conditionalFormatting>
  <conditionalFormatting sqref="M103">
    <cfRule type="containsBlanks" dxfId="57" priority="38">
      <formula>LEN(TRIM(M103))=0</formula>
    </cfRule>
    <cfRule type="notContainsBlanks" dxfId="56" priority="39">
      <formula>LEN(TRIM(M103))&gt;0</formula>
    </cfRule>
  </conditionalFormatting>
  <conditionalFormatting sqref="M129">
    <cfRule type="containsBlanks" dxfId="55" priority="36">
      <formula>LEN(TRIM(M129))=0</formula>
    </cfRule>
    <cfRule type="notContainsBlanks" dxfId="54" priority="37">
      <formula>LEN(TRIM(M129))&gt;0</formula>
    </cfRule>
  </conditionalFormatting>
  <conditionalFormatting sqref="M155">
    <cfRule type="containsBlanks" dxfId="53" priority="34">
      <formula>LEN(TRIM(M155))=0</formula>
    </cfRule>
    <cfRule type="notContainsBlanks" dxfId="52" priority="35">
      <formula>LEN(TRIM(M155))&gt;0</formula>
    </cfRule>
  </conditionalFormatting>
  <conditionalFormatting sqref="X21">
    <cfRule type="containsText" dxfId="51" priority="31" operator="containsText" text="ОТКАЗ">
      <formula>NOT(ISERROR(SEARCH("ОТКАЗ",X21)))</formula>
    </cfRule>
    <cfRule type="containsText" dxfId="50" priority="32" operator="containsText" text="ВЗЫСКАНИЕ">
      <formula>NOT(ISERROR(SEARCH("ВЗЫСКАНИЕ",X21)))</formula>
    </cfRule>
  </conditionalFormatting>
  <conditionalFormatting sqref="X19">
    <cfRule type="containsText" dxfId="49" priority="29" operator="containsText" text="ОТКАЗ">
      <formula>NOT(ISERROR(SEARCH("ОТКАЗ",X19)))</formula>
    </cfRule>
    <cfRule type="containsText" dxfId="48" priority="30" operator="containsText" text="ВЗЫСКАНИЕ">
      <formula>NOT(ISERROR(SEARCH("ВЗЫСКАНИЕ",X19)))</formula>
    </cfRule>
  </conditionalFormatting>
  <conditionalFormatting sqref="C179">
    <cfRule type="containsBlanks" dxfId="47" priority="27">
      <formula>LEN(TRIM(C179))=0</formula>
    </cfRule>
    <cfRule type="notContainsBlanks" dxfId="46" priority="28">
      <formula>LEN(TRIM(C179))&gt;0</formula>
    </cfRule>
  </conditionalFormatting>
  <conditionalFormatting sqref="B247">
    <cfRule type="containsBlanks" dxfId="45" priority="25">
      <formula>LEN(TRIM(B247))=0</formula>
    </cfRule>
    <cfRule type="notContainsBlanks" dxfId="44" priority="26">
      <formula>LEN(TRIM(B247))&gt;0</formula>
    </cfRule>
  </conditionalFormatting>
  <conditionalFormatting sqref="B248">
    <cfRule type="containsBlanks" dxfId="43" priority="23">
      <formula>LEN(TRIM(B248))=0</formula>
    </cfRule>
    <cfRule type="notContainsBlanks" dxfId="42" priority="24">
      <formula>LEN(TRIM(B248))&gt;0</formula>
    </cfRule>
  </conditionalFormatting>
  <conditionalFormatting sqref="B249">
    <cfRule type="containsBlanks" dxfId="41" priority="21">
      <formula>LEN(TRIM(B249))=0</formula>
    </cfRule>
    <cfRule type="notContainsBlanks" dxfId="40" priority="22">
      <formula>LEN(TRIM(B249))&gt;0</formula>
    </cfRule>
  </conditionalFormatting>
  <conditionalFormatting sqref="B250">
    <cfRule type="containsBlanks" dxfId="39" priority="19">
      <formula>LEN(TRIM(B250))=0</formula>
    </cfRule>
    <cfRule type="notContainsBlanks" dxfId="38" priority="20">
      <formula>LEN(TRIM(B250))&gt;0</formula>
    </cfRule>
  </conditionalFormatting>
  <conditionalFormatting sqref="B251">
    <cfRule type="containsBlanks" dxfId="37" priority="17">
      <formula>LEN(TRIM(B251))=0</formula>
    </cfRule>
    <cfRule type="notContainsBlanks" dxfId="36" priority="18">
      <formula>LEN(TRIM(B251))&gt;0</formula>
    </cfRule>
  </conditionalFormatting>
  <conditionalFormatting sqref="B7">
    <cfRule type="containsBlanks" dxfId="35" priority="15">
      <formula>LEN(TRIM(B7))=0</formula>
    </cfRule>
    <cfRule type="notContainsBlanks" dxfId="34" priority="16">
      <formula>LEN(TRIM(B7))&gt;0</formula>
    </cfRule>
  </conditionalFormatting>
  <conditionalFormatting sqref="B8">
    <cfRule type="notContainsBlanks" dxfId="33" priority="13">
      <formula>LEN(TRIM(B8))&gt;0</formula>
    </cfRule>
    <cfRule type="containsBlanks" dxfId="32" priority="14">
      <formula>LEN(TRIM(B8))=0</formula>
    </cfRule>
  </conditionalFormatting>
  <conditionalFormatting sqref="B11">
    <cfRule type="notContainsBlanks" dxfId="31" priority="11">
      <formula>LEN(TRIM(B11))&gt;0</formula>
    </cfRule>
    <cfRule type="containsBlanks" dxfId="30" priority="12">
      <formula>LEN(TRIM(B11))=0</formula>
    </cfRule>
  </conditionalFormatting>
  <conditionalFormatting sqref="B12">
    <cfRule type="notContainsBlanks" dxfId="29" priority="9">
      <formula>LEN(TRIM(B12))&gt;0</formula>
    </cfRule>
    <cfRule type="containsBlanks" dxfId="28" priority="10">
      <formula>LEN(TRIM(B12))=0</formula>
    </cfRule>
  </conditionalFormatting>
  <conditionalFormatting sqref="B15">
    <cfRule type="notContainsBlanks" dxfId="27" priority="7">
      <formula>LEN(TRIM(B15))&gt;0</formula>
    </cfRule>
    <cfRule type="containsBlanks" dxfId="26" priority="8">
      <formula>LEN(TRIM(B15))=0</formula>
    </cfRule>
  </conditionalFormatting>
  <conditionalFormatting sqref="B23">
    <cfRule type="containsBlanks" dxfId="25" priority="5">
      <formula>LEN(TRIM(B23))=0</formula>
    </cfRule>
    <cfRule type="notContainsBlanks" dxfId="24" priority="6">
      <formula>LEN(TRIM(B23))&gt;0</formula>
    </cfRule>
  </conditionalFormatting>
  <conditionalFormatting sqref="C11">
    <cfRule type="notContainsBlanks" dxfId="23" priority="1">
      <formula>LEN(TRIM(C11))&gt;0</formula>
    </cfRule>
    <cfRule type="containsBlanks" dxfId="22" priority="2">
      <formula>LEN(TRIM(C11))=0</formula>
    </cfRule>
  </conditionalFormatting>
  <dataValidations xWindow="587" yWindow="718" count="2">
    <dataValidation errorStyle="information" allowBlank="1" showInputMessage="1" showErrorMessage="1" errorTitle="ВИНОВНИК НЕ ЗАСТРАХОВАН" error="Ответственность виновника на момент ДТП застрахована не была!" sqref="A18"/>
    <dataValidation errorStyle="information" allowBlank="1" showInputMessage="1" showErrorMessage="1" promptTitle="Доказательства выдачи" prompt="Заполнить доказательства выдачи ННР_x000a_N23 - Способ выдачи_x000a_М25 - Дата выдачи_x000a_J23 - Дата ННР" sqref="J23"/>
  </dataValidations>
  <hyperlinks>
    <hyperlink ref="A1:B1" location="STATUS!A1" display="ОБРАЩЕНИЕ"/>
  </hyperlinks>
  <pageMargins left="0.7" right="0.7" top="0.75" bottom="0.75" header="0.3" footer="0.3"/>
  <pageSetup paperSize="9" orientation="portrait" horizontalDpi="300" verticalDpi="300" r:id="rId1"/>
  <ignoredErrors>
    <ignoredError sqref="P18 S17:S27 V17:V18 V21:V27" unlockedFormula="1"/>
  </ignoredErrors>
  <drawing r:id="rId2"/>
  <legacyDrawing r:id="rId3"/>
  <controls>
    <mc:AlternateContent xmlns:mc="http://schemas.openxmlformats.org/markup-compatibility/2006">
      <mc:Choice Requires="x14">
        <control shapeId="4595" r:id="rId4" name="ComboBox2">
          <controlPr defaultSize="0" autoLine="0" autoPict="0" linkedCell="D15" listFillRange="DDL_Fake2" r:id="rId5">
            <anchor moveWithCells="1">
              <from>
                <xdr:col>3</xdr:col>
                <xdr:colOff>0</xdr:colOff>
                <xdr:row>13</xdr:row>
                <xdr:rowOff>222250</xdr:rowOff>
              </from>
              <to>
                <xdr:col>4</xdr:col>
                <xdr:colOff>0</xdr:colOff>
                <xdr:row>15</xdr:row>
                <xdr:rowOff>0</xdr:rowOff>
              </to>
            </anchor>
          </controlPr>
        </control>
      </mc:Choice>
      <mc:Fallback>
        <control shapeId="4595" r:id="rId4" name="ComboBox2"/>
      </mc:Fallback>
    </mc:AlternateContent>
    <mc:AlternateContent xmlns:mc="http://schemas.openxmlformats.org/markup-compatibility/2006">
      <mc:Choice Requires="x14">
        <control shapeId="4594" r:id="rId6" name="ComboBox1">
          <controlPr defaultSize="0" autoLine="0" autoPict="0" linkedCell="D11" listFillRange="DDL_Fake" r:id="rId7">
            <anchor moveWithCells="1">
              <from>
                <xdr:col>3</xdr:col>
                <xdr:colOff>0</xdr:colOff>
                <xdr:row>9</xdr:row>
                <xdr:rowOff>209550</xdr:rowOff>
              </from>
              <to>
                <xdr:col>4</xdr:col>
                <xdr:colOff>0</xdr:colOff>
                <xdr:row>11</xdr:row>
                <xdr:rowOff>0</xdr:rowOff>
              </to>
            </anchor>
          </controlPr>
        </control>
      </mc:Choice>
      <mc:Fallback>
        <control shapeId="4594" r:id="rId6" name="ComboBox1"/>
      </mc:Fallback>
    </mc:AlternateContent>
    <mc:AlternateContent xmlns:mc="http://schemas.openxmlformats.org/markup-compatibility/2006">
      <mc:Choice Requires="x14">
        <control shapeId="4592" r:id="rId8" name="ComboBox3">
          <controlPr defaultSize="0" autoLine="0" autoPict="0" linkedCell="L16" listFillRange="DDL_Fake_Region" r:id="rId9">
            <anchor moveWithCells="1">
              <from>
                <xdr:col>11</xdr:col>
                <xdr:colOff>0</xdr:colOff>
                <xdr:row>15</xdr:row>
                <xdr:rowOff>0</xdr:rowOff>
              </from>
              <to>
                <xdr:col>12</xdr:col>
                <xdr:colOff>0</xdr:colOff>
                <xdr:row>16</xdr:row>
                <xdr:rowOff>0</xdr:rowOff>
              </to>
            </anchor>
          </controlPr>
        </control>
      </mc:Choice>
      <mc:Fallback>
        <control shapeId="4592" r:id="rId8" name="ComboBox3"/>
      </mc:Fallback>
    </mc:AlternateContent>
    <mc:AlternateContent xmlns:mc="http://schemas.openxmlformats.org/markup-compatibility/2006">
      <mc:Choice Requires="x14">
        <control shapeId="4691" r:id="rId10" name="ComboBox4">
          <controlPr defaultSize="0" autoLine="0" linkedCell="L9" listFillRange="DRAFT!V2:V6" r:id="rId9">
            <anchor moveWithCells="1">
              <from>
                <xdr:col>11</xdr:col>
                <xdr:colOff>0</xdr:colOff>
                <xdr:row>8</xdr:row>
                <xdr:rowOff>0</xdr:rowOff>
              </from>
              <to>
                <xdr:col>12</xdr:col>
                <xdr:colOff>0</xdr:colOff>
                <xdr:row>9</xdr:row>
                <xdr:rowOff>6350</xdr:rowOff>
              </to>
            </anchor>
          </controlPr>
        </control>
      </mc:Choice>
      <mc:Fallback>
        <control shapeId="4691" r:id="rId10" name="ComboBox4"/>
      </mc:Fallback>
    </mc:AlternateContent>
    <mc:AlternateContent xmlns:mc="http://schemas.openxmlformats.org/markup-compatibility/2006">
      <mc:Choice Requires="x14">
        <control shapeId="4713" r:id="rId11" name="ComboBox5">
          <controlPr defaultSize="0" autoLine="0" linkedCell="J3" listFillRange="DRAFT!P2:P5" r:id="rId12">
            <anchor moveWithCells="1">
              <from>
                <xdr:col>9</xdr:col>
                <xdr:colOff>0</xdr:colOff>
                <xdr:row>2</xdr:row>
                <xdr:rowOff>0</xdr:rowOff>
              </from>
              <to>
                <xdr:col>10</xdr:col>
                <xdr:colOff>0</xdr:colOff>
                <xdr:row>3</xdr:row>
                <xdr:rowOff>6350</xdr:rowOff>
              </to>
            </anchor>
          </controlPr>
        </control>
      </mc:Choice>
      <mc:Fallback>
        <control shapeId="4713" r:id="rId11" name="ComboBox5"/>
      </mc:Fallback>
    </mc:AlternateContent>
    <mc:AlternateContent xmlns:mc="http://schemas.openxmlformats.org/markup-compatibility/2006">
      <mc:Choice Requires="x14">
        <control shapeId="4099" r:id="rId13" name="Button 3">
          <controlPr defaultSize="0" print="0" autoFill="0" autoPict="0" macro="[0]!AddDataToTable">
            <anchor moveWithCells="1" sizeWithCells="1">
              <from>
                <xdr:col>10</xdr:col>
                <xdr:colOff>0</xdr:colOff>
                <xdr:row>0</xdr:row>
                <xdr:rowOff>0</xdr:rowOff>
              </from>
              <to>
                <xdr:col>11</xdr:col>
                <xdr:colOff>0</xdr:colOff>
                <xdr:row>4</xdr:row>
                <xdr:rowOff>0</xdr:rowOff>
              </to>
            </anchor>
          </controlPr>
        </control>
      </mc:Choice>
    </mc:AlternateContent>
    <mc:AlternateContent xmlns:mc="http://schemas.openxmlformats.org/markup-compatibility/2006">
      <mc:Choice Requires="x14">
        <control shapeId="4105" r:id="rId14" name="Button 9">
          <controlPr defaultSize="0" print="0" autoFill="0" autoPict="0" macro="[0]!DeleteData.DeleteData">
            <anchor moveWithCells="1" sizeWithCells="1">
              <from>
                <xdr:col>11</xdr:col>
                <xdr:colOff>0</xdr:colOff>
                <xdr:row>4</xdr:row>
                <xdr:rowOff>0</xdr:rowOff>
              </from>
              <to>
                <xdr:col>12</xdr:col>
                <xdr:colOff>0</xdr:colOff>
                <xdr:row>6</xdr:row>
                <xdr:rowOff>0</xdr:rowOff>
              </to>
            </anchor>
          </controlPr>
        </control>
      </mc:Choice>
    </mc:AlternateContent>
    <mc:AlternateContent xmlns:mc="http://schemas.openxmlformats.org/markup-compatibility/2006">
      <mc:Choice Requires="x14">
        <control shapeId="4106" r:id="rId15" name="Button 10">
          <controlPr defaultSize="0" print="0" autoFill="0" autoPict="0" macro="[0]!NewFilledList.NewFilledList">
            <anchor moveWithCells="1" sizeWithCells="1">
              <from>
                <xdr:col>11</xdr:col>
                <xdr:colOff>0</xdr:colOff>
                <xdr:row>0</xdr:row>
                <xdr:rowOff>0</xdr:rowOff>
              </from>
              <to>
                <xdr:col>12</xdr:col>
                <xdr:colOff>0</xdr:colOff>
                <xdr:row>2</xdr:row>
                <xdr:rowOff>0</xdr:rowOff>
              </to>
            </anchor>
          </controlPr>
        </control>
      </mc:Choice>
    </mc:AlternateContent>
    <mc:AlternateContent xmlns:mc="http://schemas.openxmlformats.org/markup-compatibility/2006">
      <mc:Choice Requires="x14">
        <control shapeId="4126" r:id="rId16" name="CheckBoxOchnoe">
          <controlPr defaultSize="0" autoFill="0" autoLine="0" autoPict="0" altText="333 ГК РФ">
            <anchor moveWithCells="1">
              <from>
                <xdr:col>9</xdr:col>
                <xdr:colOff>1181100</xdr:colOff>
                <xdr:row>9</xdr:row>
                <xdr:rowOff>0</xdr:rowOff>
              </from>
              <to>
                <xdr:col>11</xdr:col>
                <xdr:colOff>0</xdr:colOff>
                <xdr:row>10</xdr:row>
                <xdr:rowOff>0</xdr:rowOff>
              </to>
            </anchor>
          </controlPr>
        </control>
      </mc:Choice>
    </mc:AlternateContent>
    <mc:AlternateContent xmlns:mc="http://schemas.openxmlformats.org/markup-compatibility/2006">
      <mc:Choice Requires="x14">
        <control shapeId="4127" r:id="rId17" name="CheckBox333">
          <controlPr defaultSize="0" autoFill="0" autoLine="0" autoPict="0" altText="333 ГК РФ">
            <anchor moveWithCells="1">
              <from>
                <xdr:col>9</xdr:col>
                <xdr:colOff>1181100</xdr:colOff>
                <xdr:row>8</xdr:row>
                <xdr:rowOff>0</xdr:rowOff>
              </from>
              <to>
                <xdr:col>11</xdr:col>
                <xdr:colOff>0</xdr:colOff>
                <xdr:row>9</xdr:row>
                <xdr:rowOff>0</xdr:rowOff>
              </to>
            </anchor>
          </controlPr>
        </control>
      </mc:Choice>
    </mc:AlternateContent>
    <mc:AlternateContent xmlns:mc="http://schemas.openxmlformats.org/markup-compatibility/2006">
      <mc:Choice Requires="x14">
        <control shapeId="4184" r:id="rId18" name="Check Box 88">
          <controlPr defaultSize="0" autoFill="0" autoLine="0" autoPict="0">
            <anchor moveWithCells="1">
              <from>
                <xdr:col>10</xdr:col>
                <xdr:colOff>0</xdr:colOff>
                <xdr:row>13</xdr:row>
                <xdr:rowOff>0</xdr:rowOff>
              </from>
              <to>
                <xdr:col>11</xdr:col>
                <xdr:colOff>0</xdr:colOff>
                <xdr:row>14</xdr:row>
                <xdr:rowOff>0</xdr:rowOff>
              </to>
            </anchor>
          </controlPr>
        </control>
      </mc:Choice>
    </mc:AlternateContent>
    <mc:AlternateContent xmlns:mc="http://schemas.openxmlformats.org/markup-compatibility/2006">
      <mc:Choice Requires="x14">
        <control shapeId="4317" r:id="rId19" name="Button 221">
          <controlPr defaultSize="0" print="0" autoFill="0" autoPict="0" macro="[0]!NTE_FU">
            <anchor moveWithCells="1" sizeWithCells="1">
              <from>
                <xdr:col>11</xdr:col>
                <xdr:colOff>0</xdr:colOff>
                <xdr:row>2</xdr:row>
                <xdr:rowOff>0</xdr:rowOff>
              </from>
              <to>
                <xdr:col>12</xdr:col>
                <xdr:colOff>0</xdr:colOff>
                <xdr:row>4</xdr:row>
                <xdr:rowOff>0</xdr:rowOff>
              </to>
            </anchor>
          </controlPr>
        </control>
      </mc:Choice>
    </mc:AlternateContent>
    <mc:AlternateContent xmlns:mc="http://schemas.openxmlformats.org/markup-compatibility/2006">
      <mc:Choice Requires="x14">
        <control shapeId="4319" r:id="rId20" name="Check Box 223">
          <controlPr defaultSize="0" autoFill="0" autoLine="0" autoPict="0">
            <anchor moveWithCells="1">
              <from>
                <xdr:col>9</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4438" r:id="rId21" name="Check Box 342">
          <controlPr defaultSize="0" autoFill="0" autoLine="0" autoPict="0">
            <anchor moveWithCells="1">
              <from>
                <xdr:col>9</xdr:col>
                <xdr:colOff>0</xdr:colOff>
                <xdr:row>11</xdr:row>
                <xdr:rowOff>209550</xdr:rowOff>
              </from>
              <to>
                <xdr:col>10</xdr:col>
                <xdr:colOff>0</xdr:colOff>
                <xdr:row>13</xdr:row>
                <xdr:rowOff>0</xdr:rowOff>
              </to>
            </anchor>
          </controlPr>
        </control>
      </mc:Choice>
    </mc:AlternateContent>
    <mc:AlternateContent xmlns:mc="http://schemas.openxmlformats.org/markup-compatibility/2006">
      <mc:Choice Requires="x14">
        <control shapeId="4439" r:id="rId22" name="Check Box 343">
          <controlPr defaultSize="0" autoFill="0" autoLine="0" autoPict="0">
            <anchor moveWithCells="1">
              <from>
                <xdr:col>9</xdr:col>
                <xdr:colOff>0</xdr:colOff>
                <xdr:row>12</xdr:row>
                <xdr:rowOff>209550</xdr:rowOff>
              </from>
              <to>
                <xdr:col>10</xdr:col>
                <xdr:colOff>0</xdr:colOff>
                <xdr:row>14</xdr:row>
                <xdr:rowOff>0</xdr:rowOff>
              </to>
            </anchor>
          </controlPr>
        </control>
      </mc:Choice>
    </mc:AlternateContent>
    <mc:AlternateContent xmlns:mc="http://schemas.openxmlformats.org/markup-compatibility/2006">
      <mc:Choice Requires="x14">
        <control shapeId="4453" r:id="rId23" name="Check Box 357">
          <controlPr defaultSize="0" autoFill="0" autoLine="0" autoPict="0">
            <anchor moveWithCells="1">
              <from>
                <xdr:col>9</xdr:col>
                <xdr:colOff>0</xdr:colOff>
                <xdr:row>13</xdr:row>
                <xdr:rowOff>209550</xdr:rowOff>
              </from>
              <to>
                <xdr:col>10</xdr:col>
                <xdr:colOff>0</xdr:colOff>
                <xdr:row>15</xdr:row>
                <xdr:rowOff>0</xdr:rowOff>
              </to>
            </anchor>
          </controlPr>
        </control>
      </mc:Choice>
    </mc:AlternateContent>
    <mc:AlternateContent xmlns:mc="http://schemas.openxmlformats.org/markup-compatibility/2006">
      <mc:Choice Requires="x14">
        <control shapeId="4581" r:id="rId24" name="Check Box 485">
          <controlPr defaultSize="0" autoFill="0" autoLine="0" autoPict="0">
            <anchor moveWithCells="1">
              <from>
                <xdr:col>9</xdr:col>
                <xdr:colOff>0</xdr:colOff>
                <xdr:row>16</xdr:row>
                <xdr:rowOff>209550</xdr:rowOff>
              </from>
              <to>
                <xdr:col>10</xdr:col>
                <xdr:colOff>0</xdr:colOff>
                <xdr:row>18</xdr:row>
                <xdr:rowOff>0</xdr:rowOff>
              </to>
            </anchor>
          </controlPr>
        </control>
      </mc:Choice>
    </mc:AlternateContent>
    <mc:AlternateContent xmlns:mc="http://schemas.openxmlformats.org/markup-compatibility/2006">
      <mc:Choice Requires="x14">
        <control shapeId="4614" r:id="rId25" name="Check Box 518">
          <controlPr defaultSize="0" autoFill="0" autoLine="0" autoPict="0">
            <anchor moveWithCells="1">
              <from>
                <xdr:col>10</xdr:col>
                <xdr:colOff>0</xdr:colOff>
                <xdr:row>11</xdr:row>
                <xdr:rowOff>203200</xdr:rowOff>
              </from>
              <to>
                <xdr:col>11</xdr:col>
                <xdr:colOff>0</xdr:colOff>
                <xdr:row>13</xdr:row>
                <xdr:rowOff>0</xdr:rowOff>
              </to>
            </anchor>
          </controlPr>
        </control>
      </mc:Choice>
    </mc:AlternateContent>
    <mc:AlternateContent xmlns:mc="http://schemas.openxmlformats.org/markup-compatibility/2006">
      <mc:Choice Requires="x14">
        <control shapeId="4622" r:id="rId26" name="Button 526">
          <controlPr defaultSize="0" print="0" autoFill="0" autoPict="0" macro="[0]!mod_FillData.FillData">
            <anchor moveWithCells="1" sizeWithCells="1">
              <from>
                <xdr:col>10</xdr:col>
                <xdr:colOff>0</xdr:colOff>
                <xdr:row>4</xdr:row>
                <xdr:rowOff>0</xdr:rowOff>
              </from>
              <to>
                <xdr:col>11</xdr:col>
                <xdr:colOff>0</xdr:colOff>
                <xdr:row>7</xdr:row>
                <xdr:rowOff>0</xdr:rowOff>
              </to>
            </anchor>
          </controlPr>
        </control>
      </mc:Choice>
    </mc:AlternateContent>
    <mc:AlternateContent xmlns:mc="http://schemas.openxmlformats.org/markup-compatibility/2006">
      <mc:Choice Requires="x14">
        <control shapeId="4641" r:id="rId27" name="Button 545">
          <controlPr defaultSize="0" print="0" autoFill="0" autoPict="0" macro="[0]!PreCourtOrder">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4643" r:id="rId28" name="Check Box 547">
          <controlPr defaultSize="0" autoFill="0" autoLine="0" autoPict="0">
            <anchor moveWithCells="1">
              <from>
                <xdr:col>0</xdr:col>
                <xdr:colOff>0</xdr:colOff>
                <xdr:row>17</xdr:row>
                <xdr:rowOff>203200</xdr:rowOff>
              </from>
              <to>
                <xdr:col>1</xdr:col>
                <xdr:colOff>0</xdr:colOff>
                <xdr:row>19</xdr:row>
                <xdr:rowOff>0</xdr:rowOff>
              </to>
            </anchor>
          </controlPr>
        </control>
      </mc:Choice>
    </mc:AlternateContent>
    <mc:AlternateContent xmlns:mc="http://schemas.openxmlformats.org/markup-compatibility/2006">
      <mc:Choice Requires="x14">
        <control shapeId="4700" r:id="rId29" name="Check Box 604">
          <controlPr defaultSize="0" autoFill="0" autoLine="0" autoPict="0">
            <anchor moveWithCells="1">
              <from>
                <xdr:col>25</xdr:col>
                <xdr:colOff>0</xdr:colOff>
                <xdr:row>14</xdr:row>
                <xdr:rowOff>0</xdr:rowOff>
              </from>
              <to>
                <xdr:col>26</xdr:col>
                <xdr:colOff>0</xdr:colOff>
                <xdr:row>16</xdr:row>
                <xdr:rowOff>0</xdr:rowOff>
              </to>
            </anchor>
          </controlPr>
        </control>
      </mc:Choice>
    </mc:AlternateContent>
    <mc:AlternateContent xmlns:mc="http://schemas.openxmlformats.org/markup-compatibility/2006">
      <mc:Choice Requires="x14">
        <control shapeId="4706" r:id="rId30" name="Check Box 610">
          <controlPr defaultSize="0" autoFill="0" autoLine="0" autoPict="0">
            <anchor moveWithCells="1">
              <from>
                <xdr:col>9</xdr:col>
                <xdr:colOff>0</xdr:colOff>
                <xdr:row>15</xdr:row>
                <xdr:rowOff>209550</xdr:rowOff>
              </from>
              <to>
                <xdr:col>10</xdr:col>
                <xdr:colOff>0</xdr:colOff>
                <xdr:row>17</xdr:row>
                <xdr:rowOff>0</xdr:rowOff>
              </to>
            </anchor>
          </controlPr>
        </control>
      </mc:Choice>
    </mc:AlternateContent>
  </controls>
  <extLst>
    <ext xmlns:x14="http://schemas.microsoft.com/office/spreadsheetml/2009/9/main" uri="{CCE6A557-97BC-4b89-ADB6-D9C93CAAB3DF}">
      <x14:dataValidations xmlns:xm="http://schemas.microsoft.com/office/excel/2006/main" xWindow="587" yWindow="718" count="19">
        <x14:dataValidation type="list" allowBlank="1" showInputMessage="1" showErrorMessage="1">
          <x14:formula1>
            <xm:f>DRAFT!$C$2:$C$4</xm:f>
          </x14:formula1>
          <xm:sqref>I3</xm:sqref>
        </x14:dataValidation>
        <x14:dataValidation type="list" allowBlank="1" showInputMessage="1" showErrorMessage="1">
          <x14:formula1>
            <xm:f>DRAFT!$A$2:$A$4</xm:f>
          </x14:formula1>
          <xm:sqref>H3</xm:sqref>
        </x14:dataValidation>
        <x14:dataValidation type="list" allowBlank="1" showInputMessage="1" showErrorMessage="1">
          <x14:formula1>
            <xm:f>DRAFT!$C$6:$C$7</xm:f>
          </x14:formula1>
          <xm:sqref>E3</xm:sqref>
        </x14:dataValidation>
        <x14:dataValidation type="list" allowBlank="1" showInputMessage="1" showErrorMessage="1">
          <x14:formula1>
            <xm:f>DRAFT!$C$9:$C$12</xm:f>
          </x14:formula1>
          <xm:sqref>B153 B75 B101 B127 B49</xm:sqref>
        </x14:dataValidation>
        <x14:dataValidation type="list" allowBlank="1" showInputMessage="1" showErrorMessage="1">
          <x14:formula1>
            <xm:f>DRAFT!$B$6:$B$7</xm:f>
          </x14:formula1>
          <xm:sqref>I11 I15 H8</xm:sqref>
        </x14:dataValidation>
        <x14:dataValidation type="list" allowBlank="1" showInputMessage="1" showErrorMessage="1">
          <x14:formula1>
            <xm:f>DRAFT!$D$32:$D$33</xm:f>
          </x14:formula1>
          <xm:sqref>G182</xm:sqref>
        </x14:dataValidation>
        <x14:dataValidation type="list" allowBlank="1" showInputMessage="1" showErrorMessage="1">
          <x14:formula1>
            <xm:f>DRAFT!$W$2:$W$6</xm:f>
          </x14:formula1>
          <xm:sqref>L11</xm:sqref>
        </x14:dataValidation>
        <x14:dataValidation type="list" allowBlank="1" showInputMessage="1" showErrorMessage="1">
          <x14:formula1>
            <xm:f>DRAFT!$C$18:$C$22</xm:f>
          </x14:formula1>
          <xm:sqref>N23 N49 N75 N101 N127 N153</xm:sqref>
        </x14:dataValidation>
        <x14:dataValidation type="list" allowBlank="1" showInputMessage="1" showErrorMessage="1">
          <x14:formula1>
            <xm:f>DRAFT!$N$2:$N$7</xm:f>
          </x14:formula1>
          <xm:sqref>E179</xm:sqref>
        </x14:dataValidation>
        <x14:dataValidation type="list" allowBlank="1" showInputMessage="1" showErrorMessage="1">
          <x14:formula1>
            <xm:f>DRAFT!$N$8:$N$9</xm:f>
          </x14:formula1>
          <xm:sqref>E183</xm:sqref>
        </x14:dataValidation>
        <x14:dataValidation type="list" allowBlank="1" showInputMessage="1" showErrorMessage="1">
          <x14:formula1>
            <xm:f>DRAFT!$Y$2:$Y$5</xm:f>
          </x14:formula1>
          <xm:sqref>E23 E153 E75 E101 E127 E49</xm:sqref>
        </x14:dataValidation>
        <x14:dataValidation type="list" allowBlank="1" showInputMessage="1" showErrorMessage="1">
          <x14:formula1>
            <xm:f>DRAFT!$M$2:$M$17</xm:f>
          </x14:formula1>
          <xm:sqref>F34:F43 F60:F69 F138:F147 F164:F173 F112:F121 F86:F95 R22:R26</xm:sqref>
        </x14:dataValidation>
        <x14:dataValidation type="list" allowBlank="1" showInputMessage="1" showErrorMessage="1">
          <x14:formula1>
            <xm:f>DRAFT!$F$2:$F$29</xm:f>
          </x14:formula1>
          <xm:sqref>U21:U26 O22:O26</xm:sqref>
        </x14:dataValidation>
        <x14:dataValidation type="list" allowBlank="1" showInputMessage="1" showErrorMessage="1">
          <x14:formula1>
            <xm:f>DRAFT!$F$2:$F$32</xm:f>
          </x14:formula1>
          <xm:sqref>R3:R12 M3:M12 K191:K200 F191:F200 K210:K219 F210:F219 A191:A200 A138:A147 A34:A43 A210:A219 A164:A173 A86:A95 A60:A69 A112:A121 AE3:AE12 Z3:Z12</xm:sqref>
        </x14:dataValidation>
        <x14:dataValidation type="list" allowBlank="1" showInputMessage="1" showErrorMessage="1">
          <x14:formula1>
            <xm:f>DRAFT!$D$6:$D$7</xm:f>
          </x14:formula1>
          <xm:sqref>E225 E229</xm:sqref>
        </x14:dataValidation>
        <x14:dataValidation type="list" allowBlank="1" showInputMessage="1" showErrorMessage="1">
          <x14:formula1>
            <xm:f>DRAFT!$C$19:$C$21</xm:f>
          </x14:formula1>
          <xm:sqref>E233 E237</xm:sqref>
        </x14:dataValidation>
        <x14:dataValidation type="list" allowBlank="1" showInputMessage="1" showErrorMessage="1">
          <x14:formula1>
            <xm:f>DRAFT!$AL$2:$AL$8</xm:f>
          </x14:formula1>
          <xm:sqref>F3</xm:sqref>
        </x14:dataValidation>
        <x14:dataValidation type="list" allowBlank="1" showInputMessage="1" showErrorMessage="1">
          <x14:formula1>
            <xm:f>DRAFT!$AQ$2:$AQ$4</xm:f>
          </x14:formula1>
          <xm:sqref>K16</xm:sqref>
        </x14:dataValidation>
        <x14:dataValidation type="list" allowBlank="1" showInputMessage="1" showErrorMessage="1">
          <x14:formula1>
            <xm:f>'C:\Users\Lenovo\Documents\Nextcloud\РАБОЧИЕ ФАЙЛЫ\АРХИВ\[ШАБЛОН_23.03.2020.XLSM]DRAFT'!#REF!</xm:f>
          </x14:formula1>
          <xm:sqref>B23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List">
    <tabColor rgb="FFC00000"/>
  </sheetPr>
  <dimension ref="A1:GU4"/>
  <sheetViews>
    <sheetView workbookViewId="0">
      <selection activeCell="E9" sqref="E9"/>
    </sheetView>
  </sheetViews>
  <sheetFormatPr defaultRowHeight="14.5" x14ac:dyDescent="0.35"/>
  <cols>
    <col min="1" max="1" width="12.54296875" style="5" customWidth="1"/>
    <col min="2" max="2" width="11.54296875" style="5" customWidth="1"/>
    <col min="3" max="3" width="14.453125" style="5" customWidth="1"/>
    <col min="4" max="4" width="15.36328125" style="5" customWidth="1"/>
    <col min="5" max="5" width="14.81640625" style="5" customWidth="1"/>
    <col min="6" max="6" width="22.36328125" customWidth="1"/>
    <col min="7" max="7" width="15" customWidth="1"/>
    <col min="8" max="8" width="13.7265625" customWidth="1"/>
    <col min="9" max="9" width="15.6328125" customWidth="1"/>
    <col min="10" max="10" width="22.08984375" customWidth="1"/>
    <col min="16" max="16" width="8.7265625" customWidth="1"/>
    <col min="29" max="29" width="12.1796875" customWidth="1"/>
    <col min="30" max="31" width="14.1796875" customWidth="1"/>
    <col min="111" max="111" width="11.7265625" customWidth="1"/>
    <col min="112" max="112" width="11.54296875" customWidth="1"/>
  </cols>
  <sheetData>
    <row r="1" spans="1:203" ht="15.5" thickTop="1" thickBot="1" x14ac:dyDescent="0.4">
      <c r="A1" s="806" t="s">
        <v>0</v>
      </c>
      <c r="B1" s="807"/>
      <c r="C1" s="810" t="s">
        <v>2</v>
      </c>
      <c r="D1" s="810" t="s">
        <v>3</v>
      </c>
      <c r="E1" s="810" t="s">
        <v>205</v>
      </c>
      <c r="F1" s="777" t="s">
        <v>6</v>
      </c>
      <c r="G1" s="778"/>
      <c r="H1" s="778"/>
      <c r="I1" s="779"/>
      <c r="J1" s="810" t="s">
        <v>12</v>
      </c>
      <c r="K1" s="777" t="s">
        <v>116</v>
      </c>
      <c r="L1" s="778"/>
      <c r="M1" s="778"/>
      <c r="N1" s="778"/>
      <c r="O1" s="778"/>
      <c r="P1" s="778"/>
      <c r="Q1" s="778"/>
      <c r="R1" s="778"/>
      <c r="S1" s="779"/>
      <c r="T1" s="780" t="s">
        <v>125</v>
      </c>
      <c r="U1" s="781"/>
      <c r="V1" s="781"/>
      <c r="W1" s="781"/>
      <c r="X1" s="781"/>
      <c r="Y1" s="781"/>
      <c r="Z1" s="781"/>
      <c r="AA1" s="781"/>
      <c r="AB1" s="782"/>
      <c r="AC1" s="810" t="s">
        <v>144</v>
      </c>
      <c r="AD1" s="850" t="s">
        <v>6046</v>
      </c>
      <c r="AE1" s="850" t="s">
        <v>7755</v>
      </c>
      <c r="AF1" s="808" t="s">
        <v>663</v>
      </c>
      <c r="AG1" s="809"/>
      <c r="AH1" s="777" t="s">
        <v>146</v>
      </c>
      <c r="AI1" s="779"/>
      <c r="AJ1" s="815" t="s">
        <v>600</v>
      </c>
      <c r="AK1" s="816"/>
      <c r="AL1" s="817"/>
      <c r="AM1" s="780" t="s">
        <v>617</v>
      </c>
      <c r="AN1" s="782"/>
      <c r="AO1" s="780" t="s">
        <v>601</v>
      </c>
      <c r="AP1" s="782"/>
      <c r="AQ1" s="852" t="s">
        <v>7756</v>
      </c>
      <c r="AR1" s="853"/>
      <c r="AS1" s="853"/>
      <c r="AT1" s="853"/>
      <c r="AU1" s="853"/>
      <c r="AV1" s="853"/>
      <c r="AW1" s="853"/>
      <c r="AX1" s="853"/>
      <c r="AY1" s="853"/>
      <c r="AZ1" s="853"/>
      <c r="BA1" s="853"/>
      <c r="BB1" s="853"/>
      <c r="BC1" s="853"/>
      <c r="BD1" s="853"/>
      <c r="BE1" s="853"/>
      <c r="BF1" s="853"/>
      <c r="BG1" s="853"/>
      <c r="BH1" s="853"/>
      <c r="BI1" s="853"/>
      <c r="BJ1" s="853"/>
      <c r="BK1" s="780" t="s">
        <v>588</v>
      </c>
      <c r="BL1" s="781"/>
      <c r="BM1" s="781"/>
      <c r="BN1" s="781"/>
      <c r="BO1" s="781"/>
      <c r="BP1" s="782"/>
      <c r="BQ1" s="815" t="s">
        <v>636</v>
      </c>
      <c r="BR1" s="816"/>
      <c r="BS1" s="816"/>
      <c r="BT1" s="816"/>
      <c r="BU1" s="816"/>
      <c r="BV1" s="816"/>
      <c r="BW1" s="816"/>
      <c r="BX1" s="817"/>
      <c r="BY1" s="815" t="s">
        <v>637</v>
      </c>
      <c r="BZ1" s="816"/>
      <c r="CA1" s="816"/>
      <c r="CB1" s="817"/>
      <c r="CC1" s="823" t="s">
        <v>620</v>
      </c>
      <c r="CD1" s="824"/>
      <c r="CE1" s="824"/>
      <c r="CF1" s="824"/>
      <c r="CG1" s="824"/>
      <c r="CH1" s="824"/>
      <c r="CI1" s="824"/>
      <c r="CJ1" s="825"/>
      <c r="CK1" s="823" t="s">
        <v>621</v>
      </c>
      <c r="CL1" s="824"/>
      <c r="CM1" s="824"/>
      <c r="CN1" s="825"/>
      <c r="CO1" s="842" t="s">
        <v>623</v>
      </c>
      <c r="CP1" s="843"/>
      <c r="CQ1" s="843"/>
      <c r="CR1" s="843"/>
      <c r="CS1" s="843"/>
      <c r="CT1" s="843"/>
      <c r="CU1" s="843"/>
      <c r="CV1" s="843"/>
      <c r="CW1" s="843"/>
      <c r="CX1" s="843"/>
      <c r="CY1" s="844"/>
      <c r="CZ1" s="842" t="s">
        <v>622</v>
      </c>
      <c r="DA1" s="843"/>
      <c r="DB1" s="843"/>
      <c r="DC1" s="843"/>
      <c r="DD1" s="843"/>
      <c r="DE1" s="843"/>
      <c r="DF1" s="844"/>
      <c r="DG1" s="827" t="s">
        <v>42</v>
      </c>
      <c r="DH1" s="828"/>
      <c r="DI1" s="828"/>
      <c r="DJ1" s="828"/>
      <c r="DK1" s="828"/>
      <c r="DL1" s="828"/>
      <c r="DM1" s="828"/>
      <c r="DN1" s="828"/>
      <c r="DO1" s="828"/>
      <c r="DP1" s="828"/>
      <c r="DQ1" s="828"/>
      <c r="DR1" s="828"/>
      <c r="DS1" s="828"/>
      <c r="DT1" s="828"/>
      <c r="DU1" s="828"/>
      <c r="DV1" s="828"/>
      <c r="DW1" s="828"/>
      <c r="DX1" s="828"/>
      <c r="DY1" s="828"/>
      <c r="DZ1" s="828"/>
      <c r="EA1" s="827" t="s">
        <v>44</v>
      </c>
      <c r="EB1" s="828"/>
      <c r="EC1" s="828"/>
      <c r="ED1" s="828"/>
      <c r="EE1" s="828"/>
      <c r="EF1" s="828"/>
      <c r="EG1" s="828"/>
      <c r="EH1" s="828"/>
      <c r="EI1" s="828"/>
      <c r="EJ1" s="828"/>
      <c r="EK1" s="828"/>
      <c r="EL1" s="828"/>
      <c r="EM1" s="828"/>
      <c r="EN1" s="828"/>
      <c r="EO1" s="828"/>
      <c r="EP1" s="828"/>
      <c r="EQ1" s="828"/>
      <c r="ER1" s="828"/>
      <c r="ES1" s="828"/>
      <c r="ET1" s="828"/>
      <c r="EU1" s="774" t="s">
        <v>629</v>
      </c>
      <c r="EV1" s="774"/>
      <c r="EW1" s="774"/>
      <c r="EX1" s="827" t="s">
        <v>7757</v>
      </c>
      <c r="EY1" s="828"/>
      <c r="EZ1" s="828"/>
      <c r="FA1" s="828"/>
      <c r="FB1" s="828"/>
      <c r="FC1" s="828"/>
      <c r="FD1" s="828"/>
      <c r="FE1" s="828"/>
      <c r="FF1" s="828"/>
      <c r="FG1" s="828"/>
      <c r="FH1" s="828"/>
      <c r="FI1" s="828"/>
      <c r="FJ1" s="828"/>
      <c r="FK1" s="828"/>
      <c r="FL1" s="828"/>
      <c r="FM1" s="828"/>
      <c r="FN1" s="828"/>
      <c r="FO1" s="828"/>
      <c r="FP1" s="828"/>
      <c r="FQ1" s="828"/>
      <c r="FR1" s="827" t="s">
        <v>7761</v>
      </c>
      <c r="FS1" s="828"/>
      <c r="FT1" s="828"/>
      <c r="FU1" s="828"/>
      <c r="FV1" s="828"/>
      <c r="FW1" s="828"/>
      <c r="FX1" s="828"/>
      <c r="FY1" s="828"/>
      <c r="FZ1" s="828"/>
      <c r="GA1" s="828"/>
      <c r="GB1" s="828"/>
      <c r="GC1" s="828"/>
      <c r="GD1" s="828"/>
      <c r="GE1" s="828"/>
      <c r="GF1" s="828"/>
      <c r="GG1" s="828"/>
      <c r="GH1" s="828"/>
      <c r="GI1" s="828"/>
      <c r="GJ1" s="828"/>
      <c r="GK1" s="828"/>
      <c r="GL1" s="828"/>
      <c r="GM1" s="828"/>
      <c r="GN1" s="828"/>
      <c r="GO1" s="828"/>
      <c r="GP1" s="828"/>
      <c r="GQ1" s="828"/>
      <c r="GR1" s="828"/>
      <c r="GS1" s="828"/>
      <c r="GT1" s="828"/>
      <c r="GU1" s="828"/>
    </row>
    <row r="2" spans="1:203" ht="15.5" thickTop="1" thickBot="1" x14ac:dyDescent="0.4">
      <c r="A2" s="715" t="s">
        <v>4</v>
      </c>
      <c r="B2" s="715" t="s">
        <v>5</v>
      </c>
      <c r="C2" s="811"/>
      <c r="D2" s="811"/>
      <c r="E2" s="811"/>
      <c r="F2" s="265" t="s">
        <v>8</v>
      </c>
      <c r="G2" s="265" t="s">
        <v>9</v>
      </c>
      <c r="H2" s="265" t="s">
        <v>10</v>
      </c>
      <c r="I2" s="265" t="s">
        <v>11</v>
      </c>
      <c r="J2" s="811"/>
      <c r="K2" s="265" t="s">
        <v>117</v>
      </c>
      <c r="L2" s="265" t="s">
        <v>118</v>
      </c>
      <c r="M2" s="265" t="s">
        <v>119</v>
      </c>
      <c r="N2" s="265" t="s">
        <v>12</v>
      </c>
      <c r="O2" s="36" t="s">
        <v>120</v>
      </c>
      <c r="P2" s="37" t="s">
        <v>121</v>
      </c>
      <c r="Q2" s="265" t="s">
        <v>122</v>
      </c>
      <c r="R2" s="265" t="s">
        <v>123</v>
      </c>
      <c r="S2" s="265" t="s">
        <v>124</v>
      </c>
      <c r="T2" s="265" t="s">
        <v>117</v>
      </c>
      <c r="U2" s="265" t="s">
        <v>118</v>
      </c>
      <c r="V2" s="265" t="s">
        <v>126</v>
      </c>
      <c r="W2" s="265" t="s">
        <v>12</v>
      </c>
      <c r="X2" s="36" t="s">
        <v>120</v>
      </c>
      <c r="Y2" s="37" t="s">
        <v>121</v>
      </c>
      <c r="Z2" s="265" t="s">
        <v>122</v>
      </c>
      <c r="AA2" s="265" t="s">
        <v>123</v>
      </c>
      <c r="AB2" s="265" t="s">
        <v>124</v>
      </c>
      <c r="AC2" s="811"/>
      <c r="AD2" s="851"/>
      <c r="AE2" s="851"/>
      <c r="AF2" s="37" t="s">
        <v>5</v>
      </c>
      <c r="AG2" s="57" t="s">
        <v>634</v>
      </c>
      <c r="AH2" s="265" t="s">
        <v>5</v>
      </c>
      <c r="AI2" s="265" t="s">
        <v>612</v>
      </c>
      <c r="AJ2" s="265" t="s">
        <v>5</v>
      </c>
      <c r="AK2" s="265" t="s">
        <v>4</v>
      </c>
      <c r="AL2" s="265" t="s">
        <v>602</v>
      </c>
      <c r="AM2" s="715" t="s">
        <v>5</v>
      </c>
      <c r="AN2" s="265" t="s">
        <v>606</v>
      </c>
      <c r="AO2" s="265" t="s">
        <v>5</v>
      </c>
      <c r="AP2" s="265" t="s">
        <v>603</v>
      </c>
      <c r="AQ2" s="715" t="s">
        <v>612</v>
      </c>
      <c r="AR2" s="715" t="s">
        <v>634</v>
      </c>
      <c r="AS2" s="715" t="s">
        <v>612</v>
      </c>
      <c r="AT2" s="715" t="s">
        <v>634</v>
      </c>
      <c r="AU2" s="715" t="s">
        <v>612</v>
      </c>
      <c r="AV2" s="715" t="s">
        <v>634</v>
      </c>
      <c r="AW2" s="715" t="s">
        <v>612</v>
      </c>
      <c r="AX2" s="715" t="s">
        <v>634</v>
      </c>
      <c r="AY2" s="715" t="s">
        <v>612</v>
      </c>
      <c r="AZ2" s="715" t="s">
        <v>634</v>
      </c>
      <c r="BA2" s="715" t="s">
        <v>612</v>
      </c>
      <c r="BB2" s="715" t="s">
        <v>634</v>
      </c>
      <c r="BC2" s="715" t="s">
        <v>612</v>
      </c>
      <c r="BD2" s="715" t="s">
        <v>634</v>
      </c>
      <c r="BE2" s="715" t="s">
        <v>612</v>
      </c>
      <c r="BF2" s="715" t="s">
        <v>634</v>
      </c>
      <c r="BG2" s="715" t="s">
        <v>612</v>
      </c>
      <c r="BH2" s="715" t="s">
        <v>634</v>
      </c>
      <c r="BI2" s="715" t="s">
        <v>612</v>
      </c>
      <c r="BJ2" s="715" t="s">
        <v>634</v>
      </c>
      <c r="BK2" s="265" t="s">
        <v>5</v>
      </c>
      <c r="BL2" s="265" t="s">
        <v>4</v>
      </c>
      <c r="BM2" s="265" t="s">
        <v>604</v>
      </c>
      <c r="BN2" s="715" t="s">
        <v>5</v>
      </c>
      <c r="BO2" s="265" t="s">
        <v>4</v>
      </c>
      <c r="BP2" s="265" t="s">
        <v>666</v>
      </c>
      <c r="BQ2" s="265" t="s">
        <v>5</v>
      </c>
      <c r="BR2" s="265" t="s">
        <v>4</v>
      </c>
      <c r="BS2" s="183" t="s">
        <v>606</v>
      </c>
      <c r="BT2" s="183" t="s">
        <v>607</v>
      </c>
      <c r="BU2" s="183" t="s">
        <v>608</v>
      </c>
      <c r="BV2" s="183" t="s">
        <v>609</v>
      </c>
      <c r="BW2" s="183" t="s">
        <v>610</v>
      </c>
      <c r="BX2" s="183" t="s">
        <v>618</v>
      </c>
      <c r="BY2" s="265" t="s">
        <v>5</v>
      </c>
      <c r="BZ2" s="265" t="s">
        <v>4</v>
      </c>
      <c r="CA2" s="183" t="s">
        <v>606</v>
      </c>
      <c r="CB2" s="183" t="s">
        <v>611</v>
      </c>
      <c r="CC2" s="265" t="s">
        <v>5</v>
      </c>
      <c r="CD2" s="265" t="s">
        <v>4</v>
      </c>
      <c r="CE2" s="183" t="s">
        <v>606</v>
      </c>
      <c r="CF2" s="183" t="s">
        <v>607</v>
      </c>
      <c r="CG2" s="183" t="s">
        <v>608</v>
      </c>
      <c r="CH2" s="183" t="s">
        <v>609</v>
      </c>
      <c r="CI2" s="183" t="s">
        <v>610</v>
      </c>
      <c r="CJ2" s="183" t="s">
        <v>618</v>
      </c>
      <c r="CK2" s="265" t="s">
        <v>5</v>
      </c>
      <c r="CL2" s="265" t="s">
        <v>4</v>
      </c>
      <c r="CM2" s="183" t="s">
        <v>606</v>
      </c>
      <c r="CN2" s="183" t="s">
        <v>611</v>
      </c>
      <c r="CO2" s="265" t="s">
        <v>5</v>
      </c>
      <c r="CP2" s="265" t="s">
        <v>4</v>
      </c>
      <c r="CQ2" s="183" t="s">
        <v>606</v>
      </c>
      <c r="CR2" s="183" t="s">
        <v>625</v>
      </c>
      <c r="CS2" s="183" t="s">
        <v>624</v>
      </c>
      <c r="CT2" s="183" t="s">
        <v>607</v>
      </c>
      <c r="CU2" s="183" t="s">
        <v>608</v>
      </c>
      <c r="CV2" s="183" t="s">
        <v>609</v>
      </c>
      <c r="CW2" s="183" t="s">
        <v>610</v>
      </c>
      <c r="CX2" s="265" t="s">
        <v>611</v>
      </c>
      <c r="CY2" s="183" t="s">
        <v>618</v>
      </c>
      <c r="CZ2" s="265" t="s">
        <v>5</v>
      </c>
      <c r="DA2" s="265" t="s">
        <v>4</v>
      </c>
      <c r="DB2" s="183" t="s">
        <v>606</v>
      </c>
      <c r="DC2" s="183" t="s">
        <v>625</v>
      </c>
      <c r="DD2" s="183" t="s">
        <v>624</v>
      </c>
      <c r="DE2" s="183" t="s">
        <v>618</v>
      </c>
      <c r="DF2" s="183" t="s">
        <v>1263</v>
      </c>
      <c r="DG2" s="265" t="s">
        <v>612</v>
      </c>
      <c r="DH2" s="265" t="s">
        <v>634</v>
      </c>
      <c r="DI2" s="265" t="s">
        <v>612</v>
      </c>
      <c r="DJ2" s="265" t="s">
        <v>634</v>
      </c>
      <c r="DK2" s="265" t="s">
        <v>612</v>
      </c>
      <c r="DL2" s="265" t="s">
        <v>634</v>
      </c>
      <c r="DM2" s="265" t="s">
        <v>612</v>
      </c>
      <c r="DN2" s="265" t="s">
        <v>634</v>
      </c>
      <c r="DO2" s="265" t="s">
        <v>612</v>
      </c>
      <c r="DP2" s="265" t="s">
        <v>634</v>
      </c>
      <c r="DQ2" s="265" t="s">
        <v>612</v>
      </c>
      <c r="DR2" s="265" t="s">
        <v>634</v>
      </c>
      <c r="DS2" s="265" t="s">
        <v>612</v>
      </c>
      <c r="DT2" s="265" t="s">
        <v>634</v>
      </c>
      <c r="DU2" s="265" t="s">
        <v>612</v>
      </c>
      <c r="DV2" s="265" t="s">
        <v>634</v>
      </c>
      <c r="DW2" s="265" t="s">
        <v>612</v>
      </c>
      <c r="DX2" s="265" t="s">
        <v>634</v>
      </c>
      <c r="DY2" s="265" t="s">
        <v>612</v>
      </c>
      <c r="DZ2" s="265" t="s">
        <v>634</v>
      </c>
      <c r="EA2" s="265" t="s">
        <v>612</v>
      </c>
      <c r="EB2" s="265" t="s">
        <v>634</v>
      </c>
      <c r="EC2" s="265" t="s">
        <v>612</v>
      </c>
      <c r="ED2" s="265" t="s">
        <v>634</v>
      </c>
      <c r="EE2" s="265" t="s">
        <v>612</v>
      </c>
      <c r="EF2" s="265" t="s">
        <v>634</v>
      </c>
      <c r="EG2" s="265" t="s">
        <v>612</v>
      </c>
      <c r="EH2" s="265" t="s">
        <v>634</v>
      </c>
      <c r="EI2" s="265" t="s">
        <v>612</v>
      </c>
      <c r="EJ2" s="265" t="s">
        <v>634</v>
      </c>
      <c r="EK2" s="265" t="s">
        <v>612</v>
      </c>
      <c r="EL2" s="265" t="s">
        <v>634</v>
      </c>
      <c r="EM2" s="265" t="s">
        <v>612</v>
      </c>
      <c r="EN2" s="265" t="s">
        <v>634</v>
      </c>
      <c r="EO2" s="265" t="s">
        <v>612</v>
      </c>
      <c r="EP2" s="265" t="s">
        <v>634</v>
      </c>
      <c r="EQ2" s="265" t="s">
        <v>612</v>
      </c>
      <c r="ER2" s="265" t="s">
        <v>634</v>
      </c>
      <c r="ES2" s="265" t="s">
        <v>612</v>
      </c>
      <c r="ET2" s="716" t="s">
        <v>634</v>
      </c>
      <c r="EU2" s="715" t="s">
        <v>7758</v>
      </c>
      <c r="EV2" s="715" t="s">
        <v>7759</v>
      </c>
      <c r="EW2" s="715" t="s">
        <v>7760</v>
      </c>
      <c r="EX2" s="715" t="s">
        <v>612</v>
      </c>
      <c r="EY2" s="715" t="s">
        <v>634</v>
      </c>
      <c r="EZ2" s="715" t="s">
        <v>612</v>
      </c>
      <c r="FA2" s="715" t="s">
        <v>634</v>
      </c>
      <c r="FB2" s="715" t="s">
        <v>612</v>
      </c>
      <c r="FC2" s="715" t="s">
        <v>634</v>
      </c>
      <c r="FD2" s="715" t="s">
        <v>612</v>
      </c>
      <c r="FE2" s="715" t="s">
        <v>634</v>
      </c>
      <c r="FF2" s="715" t="s">
        <v>612</v>
      </c>
      <c r="FG2" s="715" t="s">
        <v>634</v>
      </c>
      <c r="FH2" s="715" t="s">
        <v>612</v>
      </c>
      <c r="FI2" s="715" t="s">
        <v>634</v>
      </c>
      <c r="FJ2" s="715" t="s">
        <v>612</v>
      </c>
      <c r="FK2" s="715" t="s">
        <v>634</v>
      </c>
      <c r="FL2" s="715" t="s">
        <v>612</v>
      </c>
      <c r="FM2" s="715" t="s">
        <v>634</v>
      </c>
      <c r="FN2" s="715" t="s">
        <v>612</v>
      </c>
      <c r="FO2" s="715" t="s">
        <v>634</v>
      </c>
      <c r="FP2" s="715" t="s">
        <v>612</v>
      </c>
      <c r="FQ2" s="715" t="s">
        <v>634</v>
      </c>
      <c r="FR2" s="715" t="s">
        <v>612</v>
      </c>
      <c r="FS2" s="715" t="s">
        <v>634</v>
      </c>
      <c r="FT2" s="715" t="s">
        <v>7762</v>
      </c>
      <c r="FU2" s="715" t="s">
        <v>612</v>
      </c>
      <c r="FV2" s="715" t="s">
        <v>634</v>
      </c>
      <c r="FW2" s="715" t="s">
        <v>7762</v>
      </c>
      <c r="FX2" s="715" t="s">
        <v>612</v>
      </c>
      <c r="FY2" s="715" t="s">
        <v>634</v>
      </c>
      <c r="FZ2" s="715" t="s">
        <v>7762</v>
      </c>
      <c r="GA2" s="715" t="s">
        <v>612</v>
      </c>
      <c r="GB2" s="715" t="s">
        <v>634</v>
      </c>
      <c r="GC2" s="715" t="s">
        <v>7762</v>
      </c>
      <c r="GD2" s="715" t="s">
        <v>612</v>
      </c>
      <c r="GE2" s="715" t="s">
        <v>634</v>
      </c>
      <c r="GF2" s="715" t="s">
        <v>7762</v>
      </c>
      <c r="GG2" s="715" t="s">
        <v>612</v>
      </c>
      <c r="GH2" s="715" t="s">
        <v>634</v>
      </c>
      <c r="GI2" s="715" t="s">
        <v>7762</v>
      </c>
      <c r="GJ2" s="715" t="s">
        <v>612</v>
      </c>
      <c r="GK2" s="715" t="s">
        <v>634</v>
      </c>
      <c r="GL2" s="715" t="s">
        <v>7762</v>
      </c>
      <c r="GM2" s="715" t="s">
        <v>612</v>
      </c>
      <c r="GN2" s="715" t="s">
        <v>634</v>
      </c>
      <c r="GO2" s="715" t="s">
        <v>7762</v>
      </c>
      <c r="GP2" s="715" t="s">
        <v>612</v>
      </c>
      <c r="GQ2" s="715" t="s">
        <v>634</v>
      </c>
      <c r="GR2" s="715" t="s">
        <v>7762</v>
      </c>
      <c r="GS2" s="715" t="s">
        <v>612</v>
      </c>
      <c r="GT2" s="715" t="s">
        <v>634</v>
      </c>
      <c r="GU2" s="715" t="s">
        <v>7762</v>
      </c>
    </row>
    <row r="3" spans="1:203" ht="15" thickTop="1" x14ac:dyDescent="0.35">
      <c r="A3" s="5" t="s">
        <v>7278</v>
      </c>
      <c r="B3" s="571">
        <v>43927</v>
      </c>
      <c r="C3" s="5" t="s">
        <v>17</v>
      </c>
      <c r="D3" s="5" t="s">
        <v>933</v>
      </c>
      <c r="E3" s="5" t="s">
        <v>652</v>
      </c>
      <c r="F3" t="s">
        <v>7765</v>
      </c>
      <c r="J3" t="s">
        <v>156</v>
      </c>
    </row>
    <row r="4" spans="1:203" x14ac:dyDescent="0.35">
      <c r="A4" s="5" t="s">
        <v>7278</v>
      </c>
      <c r="B4" s="571">
        <v>43927</v>
      </c>
      <c r="C4" s="5" t="s">
        <v>17</v>
      </c>
      <c r="D4" s="5" t="s">
        <v>933</v>
      </c>
      <c r="E4" s="5" t="s">
        <v>652</v>
      </c>
      <c r="F4" t="s">
        <v>7765</v>
      </c>
      <c r="J4" t="s">
        <v>156</v>
      </c>
    </row>
  </sheetData>
  <autoFilter ref="A2:GU2"/>
  <mergeCells count="29">
    <mergeCell ref="AJ1:AL1"/>
    <mergeCell ref="AM1:AN1"/>
    <mergeCell ref="AO1:AP1"/>
    <mergeCell ref="BK1:BP1"/>
    <mergeCell ref="A1:B1"/>
    <mergeCell ref="C1:C2"/>
    <mergeCell ref="D1:D2"/>
    <mergeCell ref="F1:I1"/>
    <mergeCell ref="K1:S1"/>
    <mergeCell ref="E1:E2"/>
    <mergeCell ref="AD1:AD2"/>
    <mergeCell ref="AE1:AE2"/>
    <mergeCell ref="AQ1:BJ1"/>
    <mergeCell ref="EX1:FQ1"/>
    <mergeCell ref="EU1:EW1"/>
    <mergeCell ref="FR1:GU1"/>
    <mergeCell ref="EA1:ET1"/>
    <mergeCell ref="J1:J2"/>
    <mergeCell ref="AC1:AC2"/>
    <mergeCell ref="DG1:DZ1"/>
    <mergeCell ref="CZ1:DF1"/>
    <mergeCell ref="BQ1:BX1"/>
    <mergeCell ref="BY1:CB1"/>
    <mergeCell ref="CC1:CJ1"/>
    <mergeCell ref="CK1:CN1"/>
    <mergeCell ref="CO1:CY1"/>
    <mergeCell ref="T1:AB1"/>
    <mergeCell ref="AF1:AG1"/>
    <mergeCell ref="AH1:AI1"/>
  </mergeCells>
  <hyperlinks>
    <hyperlink ref="A1:B1" location="STATUS!A1" display="ОБРАЩЕНИЕ"/>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0" tint="-0.499984740745262"/>
  </sheetPr>
  <dimension ref="A1:B46"/>
  <sheetViews>
    <sheetView workbookViewId="0">
      <selection activeCell="B17" sqref="B17"/>
    </sheetView>
  </sheetViews>
  <sheetFormatPr defaultRowHeight="14.5" x14ac:dyDescent="0.35"/>
  <cols>
    <col min="1" max="1" width="5.36328125" customWidth="1"/>
  </cols>
  <sheetData>
    <row r="1" spans="1:2" x14ac:dyDescent="0.35">
      <c r="A1" t="s">
        <v>4</v>
      </c>
      <c r="B1" t="s">
        <v>5950</v>
      </c>
    </row>
    <row r="2" spans="1:2" x14ac:dyDescent="0.35">
      <c r="A2" t="s">
        <v>5951</v>
      </c>
    </row>
    <row r="3" spans="1:2" x14ac:dyDescent="0.35">
      <c r="A3" t="s">
        <v>5952</v>
      </c>
      <c r="B3" t="s">
        <v>5953</v>
      </c>
    </row>
    <row r="4" spans="1:2" x14ac:dyDescent="0.35">
      <c r="A4" t="s">
        <v>5954</v>
      </c>
      <c r="B4" t="s">
        <v>5955</v>
      </c>
    </row>
    <row r="5" spans="1:2" x14ac:dyDescent="0.35">
      <c r="A5" t="s">
        <v>5956</v>
      </c>
      <c r="B5" t="s">
        <v>5957</v>
      </c>
    </row>
    <row r="6" spans="1:2" x14ac:dyDescent="0.35">
      <c r="A6" t="s">
        <v>5958</v>
      </c>
      <c r="B6" t="s">
        <v>5959</v>
      </c>
    </row>
    <row r="7" spans="1:2" x14ac:dyDescent="0.35">
      <c r="A7" t="s">
        <v>5960</v>
      </c>
      <c r="B7" t="s">
        <v>5961</v>
      </c>
    </row>
    <row r="8" spans="1:2" x14ac:dyDescent="0.35">
      <c r="A8" t="s">
        <v>5962</v>
      </c>
      <c r="B8" t="s">
        <v>5963</v>
      </c>
    </row>
    <row r="9" spans="1:2" x14ac:dyDescent="0.35">
      <c r="A9" t="s">
        <v>5964</v>
      </c>
      <c r="B9" t="s">
        <v>5965</v>
      </c>
    </row>
    <row r="10" spans="1:2" x14ac:dyDescent="0.35">
      <c r="A10" t="s">
        <v>5966</v>
      </c>
      <c r="B10" t="s">
        <v>5967</v>
      </c>
    </row>
    <row r="11" spans="1:2" x14ac:dyDescent="0.35">
      <c r="A11" t="s">
        <v>5968</v>
      </c>
      <c r="B11" t="s">
        <v>5969</v>
      </c>
    </row>
    <row r="12" spans="1:2" x14ac:dyDescent="0.35">
      <c r="A12" t="s">
        <v>5970</v>
      </c>
      <c r="B12" t="s">
        <v>5971</v>
      </c>
    </row>
    <row r="13" spans="1:2" x14ac:dyDescent="0.35">
      <c r="A13" t="s">
        <v>5972</v>
      </c>
    </row>
    <row r="14" spans="1:2" x14ac:dyDescent="0.35">
      <c r="A14" t="s">
        <v>5973</v>
      </c>
      <c r="B14" t="s">
        <v>5974</v>
      </c>
    </row>
    <row r="15" spans="1:2" x14ac:dyDescent="0.35">
      <c r="A15" t="s">
        <v>5975</v>
      </c>
    </row>
    <row r="16" spans="1:2" x14ac:dyDescent="0.35">
      <c r="A16" t="s">
        <v>5976</v>
      </c>
      <c r="B16" t="s">
        <v>5977</v>
      </c>
    </row>
    <row r="17" spans="1:2" x14ac:dyDescent="0.35">
      <c r="A17" t="s">
        <v>5978</v>
      </c>
      <c r="B17" t="s">
        <v>5979</v>
      </c>
    </row>
    <row r="18" spans="1:2" x14ac:dyDescent="0.35">
      <c r="A18" t="s">
        <v>5980</v>
      </c>
      <c r="B18" t="s">
        <v>5981</v>
      </c>
    </row>
    <row r="19" spans="1:2" x14ac:dyDescent="0.35">
      <c r="A19" t="s">
        <v>5982</v>
      </c>
      <c r="B19" t="s">
        <v>5983</v>
      </c>
    </row>
    <row r="20" spans="1:2" x14ac:dyDescent="0.35">
      <c r="A20" t="s">
        <v>5984</v>
      </c>
      <c r="B20" t="s">
        <v>5985</v>
      </c>
    </row>
    <row r="21" spans="1:2" x14ac:dyDescent="0.35">
      <c r="A21" t="s">
        <v>5986</v>
      </c>
    </row>
    <row r="22" spans="1:2" x14ac:dyDescent="0.35">
      <c r="A22" t="s">
        <v>5987</v>
      </c>
    </row>
    <row r="23" spans="1:2" x14ac:dyDescent="0.35">
      <c r="A23" t="s">
        <v>5988</v>
      </c>
      <c r="B23" t="s">
        <v>5989</v>
      </c>
    </row>
    <row r="24" spans="1:2" x14ac:dyDescent="0.35">
      <c r="A24" t="s">
        <v>5990</v>
      </c>
      <c r="B24" t="s">
        <v>5991</v>
      </c>
    </row>
    <row r="25" spans="1:2" x14ac:dyDescent="0.35">
      <c r="A25" t="s">
        <v>5992</v>
      </c>
      <c r="B25" t="s">
        <v>5993</v>
      </c>
    </row>
    <row r="26" spans="1:2" x14ac:dyDescent="0.35">
      <c r="A26" t="s">
        <v>5994</v>
      </c>
      <c r="B26" t="s">
        <v>5995</v>
      </c>
    </row>
    <row r="27" spans="1:2" x14ac:dyDescent="0.35">
      <c r="B27" t="s">
        <v>5996</v>
      </c>
    </row>
    <row r="28" spans="1:2" x14ac:dyDescent="0.35">
      <c r="A28" t="s">
        <v>5997</v>
      </c>
    </row>
    <row r="29" spans="1:2" x14ac:dyDescent="0.35">
      <c r="A29" t="s">
        <v>5998</v>
      </c>
      <c r="B29" t="s">
        <v>5999</v>
      </c>
    </row>
    <row r="30" spans="1:2" x14ac:dyDescent="0.35">
      <c r="A30" t="s">
        <v>6000</v>
      </c>
      <c r="B30" t="s">
        <v>6001</v>
      </c>
    </row>
    <row r="31" spans="1:2" x14ac:dyDescent="0.35">
      <c r="A31" t="s">
        <v>6002</v>
      </c>
      <c r="B31" t="s">
        <v>6003</v>
      </c>
    </row>
    <row r="32" spans="1:2" x14ac:dyDescent="0.35">
      <c r="A32" t="s">
        <v>6004</v>
      </c>
      <c r="B32" t="s">
        <v>80</v>
      </c>
    </row>
    <row r="33" spans="1:2" x14ac:dyDescent="0.35">
      <c r="A33" t="s">
        <v>6005</v>
      </c>
      <c r="B33" t="s">
        <v>6006</v>
      </c>
    </row>
    <row r="34" spans="1:2" x14ac:dyDescent="0.35">
      <c r="A34" t="s">
        <v>6007</v>
      </c>
      <c r="B34" t="s">
        <v>6008</v>
      </c>
    </row>
    <row r="35" spans="1:2" x14ac:dyDescent="0.35">
      <c r="A35" t="s">
        <v>6009</v>
      </c>
      <c r="B35" t="s">
        <v>6010</v>
      </c>
    </row>
    <row r="36" spans="1:2" x14ac:dyDescent="0.35">
      <c r="A36" t="s">
        <v>6011</v>
      </c>
      <c r="B36" t="s">
        <v>6012</v>
      </c>
    </row>
    <row r="37" spans="1:2" x14ac:dyDescent="0.35">
      <c r="A37" t="s">
        <v>6013</v>
      </c>
    </row>
    <row r="38" spans="1:2" x14ac:dyDescent="0.35">
      <c r="A38" t="s">
        <v>6014</v>
      </c>
      <c r="B38" t="s">
        <v>6015</v>
      </c>
    </row>
    <row r="39" spans="1:2" x14ac:dyDescent="0.35">
      <c r="A39" t="s">
        <v>6016</v>
      </c>
      <c r="B39" t="s">
        <v>6017</v>
      </c>
    </row>
    <row r="40" spans="1:2" x14ac:dyDescent="0.35">
      <c r="A40" t="s">
        <v>6018</v>
      </c>
      <c r="B40" t="s">
        <v>6019</v>
      </c>
    </row>
    <row r="41" spans="1:2" x14ac:dyDescent="0.35">
      <c r="A41" t="s">
        <v>6020</v>
      </c>
      <c r="B41" t="s">
        <v>6021</v>
      </c>
    </row>
    <row r="42" spans="1:2" x14ac:dyDescent="0.35">
      <c r="A42" t="s">
        <v>6022</v>
      </c>
      <c r="B42" t="s">
        <v>6023</v>
      </c>
    </row>
    <row r="43" spans="1:2" x14ac:dyDescent="0.35">
      <c r="A43" t="s">
        <v>6024</v>
      </c>
      <c r="B43" t="s">
        <v>6025</v>
      </c>
    </row>
    <row r="44" spans="1:2" x14ac:dyDescent="0.35">
      <c r="A44" t="s">
        <v>7774</v>
      </c>
      <c r="B44" t="s">
        <v>7775</v>
      </c>
    </row>
    <row r="45" spans="1:2" x14ac:dyDescent="0.35">
      <c r="A45" t="s">
        <v>6026</v>
      </c>
      <c r="B45" t="s">
        <v>6027</v>
      </c>
    </row>
    <row r="46" spans="1:2" x14ac:dyDescent="0.35">
      <c r="A46" t="s">
        <v>6028</v>
      </c>
      <c r="B46" t="s">
        <v>6029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tabColor rgb="FF0070C0"/>
  </sheetPr>
  <dimension ref="A1:G87"/>
  <sheetViews>
    <sheetView workbookViewId="0">
      <pane ySplit="1" topLeftCell="A62" activePane="bottomLeft" state="frozen"/>
      <selection pane="bottomLeft" activeCell="H68" sqref="H68"/>
    </sheetView>
  </sheetViews>
  <sheetFormatPr defaultRowHeight="14.5" x14ac:dyDescent="0.35"/>
  <cols>
    <col min="1" max="1" width="11.7265625" style="571" customWidth="1"/>
    <col min="2" max="2" width="13.453125" style="5" customWidth="1"/>
    <col min="3" max="3" width="12.81640625" style="579" customWidth="1"/>
    <col min="4" max="4" width="13.54296875" style="5" customWidth="1"/>
    <col min="5" max="5" width="12" style="5" customWidth="1"/>
    <col min="6" max="6" width="11.7265625" customWidth="1"/>
    <col min="7" max="7" width="15.7265625" customWidth="1"/>
  </cols>
  <sheetData>
    <row r="1" spans="1:7" ht="15.5" thickTop="1" thickBot="1" x14ac:dyDescent="0.4">
      <c r="A1" s="572" t="s">
        <v>5</v>
      </c>
      <c r="B1" s="573" t="s">
        <v>6216</v>
      </c>
      <c r="C1" s="577" t="s">
        <v>6219</v>
      </c>
      <c r="D1" s="577" t="s">
        <v>6223</v>
      </c>
      <c r="E1" s="577" t="s">
        <v>6224</v>
      </c>
      <c r="F1" s="577" t="s">
        <v>6227</v>
      </c>
      <c r="G1" s="577" t="s">
        <v>7222</v>
      </c>
    </row>
    <row r="2" spans="1:7" ht="15" thickTop="1" x14ac:dyDescent="0.35">
      <c r="A2" s="571">
        <v>43927</v>
      </c>
      <c r="B2" s="5">
        <f>COUNTIF(STATUS!$E:$E,A2)</f>
        <v>20</v>
      </c>
      <c r="C2" s="578">
        <f>SUMIFS(STATUS!$AA:$AA,STATUS!$E:$E,A2)</f>
        <v>0.25277777777777799</v>
      </c>
      <c r="D2" s="578">
        <f t="shared" ref="D2:D7" si="0">IFERROR(C2/B2,0)</f>
        <v>1.2638888888888899E-2</v>
      </c>
      <c r="E2" s="578">
        <f>D2*20</f>
        <v>0.25277777777777799</v>
      </c>
      <c r="F2" s="579">
        <f t="shared" ref="F2:F18" si="1">E2-C2</f>
        <v>0</v>
      </c>
    </row>
    <row r="3" spans="1:7" x14ac:dyDescent="0.35">
      <c r="A3" s="571">
        <v>43928</v>
      </c>
      <c r="B3" s="5">
        <f>COUNTIF(STATUS!$E:$E,A3)</f>
        <v>20</v>
      </c>
      <c r="C3" s="578">
        <f>SUMIFS(STATUS!$AA:$AA,STATUS!$E:$E,A3)</f>
        <v>0.28958333333333353</v>
      </c>
      <c r="D3" s="578">
        <f t="shared" si="0"/>
        <v>1.4479166666666677E-2</v>
      </c>
      <c r="E3" s="578">
        <f t="shared" ref="E3:E18" si="2">D3*20</f>
        <v>0.28958333333333353</v>
      </c>
      <c r="F3" s="579">
        <f t="shared" si="1"/>
        <v>0</v>
      </c>
    </row>
    <row r="4" spans="1:7" x14ac:dyDescent="0.35">
      <c r="A4" s="571">
        <v>43929</v>
      </c>
      <c r="B4" s="5">
        <f>COUNTIF(STATUS!$E:$E,A4)</f>
        <v>20</v>
      </c>
      <c r="C4" s="578">
        <f>SUMIFS(STATUS!$AA:$AA,STATUS!$E:$E,A4)</f>
        <v>0.20694444444444454</v>
      </c>
      <c r="D4" s="578">
        <f t="shared" si="0"/>
        <v>1.0347222222222226E-2</v>
      </c>
      <c r="E4" s="578">
        <f t="shared" si="2"/>
        <v>0.20694444444444454</v>
      </c>
      <c r="F4" s="579">
        <f t="shared" si="1"/>
        <v>0</v>
      </c>
    </row>
    <row r="5" spans="1:7" x14ac:dyDescent="0.35">
      <c r="A5" s="571">
        <v>43930</v>
      </c>
      <c r="B5" s="5">
        <f>COUNTIF(STATUS!$E:$E,A5)</f>
        <v>20</v>
      </c>
      <c r="C5" s="578">
        <f>SUMIFS(STATUS!$AA:$AA,STATUS!$E:$E,A5)</f>
        <v>0.22188657407407347</v>
      </c>
      <c r="D5" s="578">
        <f t="shared" si="0"/>
        <v>1.1094328703703674E-2</v>
      </c>
      <c r="E5" s="578">
        <f t="shared" si="2"/>
        <v>0.22188657407407347</v>
      </c>
      <c r="F5" s="579">
        <f t="shared" si="1"/>
        <v>0</v>
      </c>
    </row>
    <row r="6" spans="1:7" x14ac:dyDescent="0.35">
      <c r="A6" s="571">
        <v>43931</v>
      </c>
      <c r="B6" s="5">
        <f>COUNTIF(STATUS!$E:$E,A6)</f>
        <v>13</v>
      </c>
      <c r="C6" s="578">
        <f>SUMIFS(STATUS!$AA:$AA,STATUS!$E:$E,A6)</f>
        <v>0.20563657407407376</v>
      </c>
      <c r="D6" s="578">
        <f t="shared" si="0"/>
        <v>1.5818198005697982E-2</v>
      </c>
      <c r="E6" s="578">
        <f t="shared" si="2"/>
        <v>0.31636396011395962</v>
      </c>
      <c r="F6" s="579">
        <f t="shared" si="1"/>
        <v>0.11072738603988586</v>
      </c>
    </row>
    <row r="7" spans="1:7" x14ac:dyDescent="0.35">
      <c r="A7" s="571">
        <v>43932</v>
      </c>
      <c r="B7" s="5">
        <f>COUNTIF(STATUS!$E:$E,A7)</f>
        <v>4</v>
      </c>
      <c r="C7" s="578">
        <f>SUMIFS(STATUS!$AA:$AA,STATUS!$E:$E,A7)</f>
        <v>6.8912037037036855E-2</v>
      </c>
      <c r="D7" s="578">
        <f t="shared" si="0"/>
        <v>1.7228009259259214E-2</v>
      </c>
      <c r="E7" s="578">
        <f t="shared" si="2"/>
        <v>0.34456018518518428</v>
      </c>
      <c r="F7" s="579">
        <f t="shared" si="1"/>
        <v>0.27564814814814742</v>
      </c>
    </row>
    <row r="8" spans="1:7" x14ac:dyDescent="0.35">
      <c r="A8" s="571">
        <v>43933</v>
      </c>
      <c r="B8" s="5">
        <f>COUNTIF(STATUS!$E:$E,A8)</f>
        <v>0</v>
      </c>
      <c r="C8" s="578">
        <f>SUMIFS(STATUS!$AA:$AA,STATUS!$E:$E,A8)</f>
        <v>0</v>
      </c>
      <c r="D8" s="578">
        <f>IFERROR(C8/B8,0)</f>
        <v>0</v>
      </c>
      <c r="E8" s="578">
        <f t="shared" si="2"/>
        <v>0</v>
      </c>
      <c r="F8" s="579">
        <f t="shared" si="1"/>
        <v>0</v>
      </c>
    </row>
    <row r="9" spans="1:7" x14ac:dyDescent="0.35">
      <c r="A9" s="571">
        <v>43934</v>
      </c>
      <c r="B9" s="5">
        <f>COUNTIF(STATUS!$E:$E,A9)</f>
        <v>20</v>
      </c>
      <c r="C9" s="578">
        <f>SUMIFS(STATUS!$AA:$AA,STATUS!$E:$E,A9)</f>
        <v>0.31193287037037015</v>
      </c>
      <c r="D9" s="578">
        <f>IFERROR(C9/B9,0)</f>
        <v>1.5596643518518508E-2</v>
      </c>
      <c r="E9" s="578">
        <f t="shared" si="2"/>
        <v>0.31193287037037015</v>
      </c>
      <c r="F9" s="579">
        <f t="shared" si="1"/>
        <v>0</v>
      </c>
    </row>
    <row r="10" spans="1:7" x14ac:dyDescent="0.35">
      <c r="A10" s="571">
        <v>43935</v>
      </c>
      <c r="B10" s="5">
        <f>COUNTIF(STATUS!$E:$E,A10)</f>
        <v>20</v>
      </c>
      <c r="C10" s="578">
        <f>SUMIFS(STATUS!$AA:$AA,STATUS!$E:$E,A10)</f>
        <v>0.29502314814814773</v>
      </c>
      <c r="D10" s="578">
        <f>IFERROR(C10/B10,0)</f>
        <v>1.4751157407407386E-2</v>
      </c>
      <c r="E10" s="578">
        <f t="shared" si="2"/>
        <v>0.29502314814814773</v>
      </c>
      <c r="F10" s="579">
        <f t="shared" si="1"/>
        <v>0</v>
      </c>
    </row>
    <row r="11" spans="1:7" x14ac:dyDescent="0.35">
      <c r="A11" s="571">
        <v>43936</v>
      </c>
      <c r="B11" s="5">
        <f>COUNTIF(STATUS!$E:$E,A11)</f>
        <v>14</v>
      </c>
      <c r="C11" s="578">
        <f>SUMIFS(STATUS!$AA:$AA,STATUS!$E:$E,A11)</f>
        <v>0.16537037037037061</v>
      </c>
      <c r="D11" s="578">
        <f t="shared" ref="D11:D18" si="3">IFERROR(C11/B11,0)</f>
        <v>1.1812169312169329E-2</v>
      </c>
      <c r="E11" s="578">
        <f t="shared" si="2"/>
        <v>0.23624338624338659</v>
      </c>
      <c r="F11" s="579">
        <f t="shared" si="1"/>
        <v>7.0873015873015976E-2</v>
      </c>
      <c r="G11" s="626"/>
    </row>
    <row r="12" spans="1:7" x14ac:dyDescent="0.35">
      <c r="A12" s="571">
        <v>43937</v>
      </c>
      <c r="B12" s="5">
        <f>COUNTIF(STATUS!$E:$E,A12)</f>
        <v>22</v>
      </c>
      <c r="C12" s="578">
        <f>SUMIFS(STATUS!$AA:$AA,STATUS!$E:$E,A12)</f>
        <v>0.33684027777777764</v>
      </c>
      <c r="D12" s="578">
        <f t="shared" si="3"/>
        <v>1.5310921717171711E-2</v>
      </c>
      <c r="E12" s="578">
        <f t="shared" si="2"/>
        <v>0.30621843434343421</v>
      </c>
      <c r="F12" s="579">
        <f>C12-E12</f>
        <v>3.0621843434343432E-2</v>
      </c>
    </row>
    <row r="13" spans="1:7" x14ac:dyDescent="0.35">
      <c r="A13" s="571">
        <v>43938</v>
      </c>
      <c r="B13" s="5">
        <f>COUNTIF(STATUS!$E:$E,A13)</f>
        <v>20</v>
      </c>
      <c r="C13" s="578">
        <f>SUMIFS(STATUS!$AA:$AA,STATUS!$E:$E,A13)</f>
        <v>0.23146990740740769</v>
      </c>
      <c r="D13" s="578">
        <f t="shared" si="3"/>
        <v>1.1573495370370385E-2</v>
      </c>
      <c r="E13" s="578">
        <f t="shared" si="2"/>
        <v>0.23146990740740769</v>
      </c>
      <c r="F13" s="579">
        <f>C13-E13</f>
        <v>0</v>
      </c>
    </row>
    <row r="14" spans="1:7" x14ac:dyDescent="0.35">
      <c r="A14" s="571">
        <v>43939</v>
      </c>
      <c r="B14" s="5">
        <f>COUNTIF(STATUS!$E:$E,A14)</f>
        <v>0</v>
      </c>
      <c r="C14" s="578">
        <f>SUMIFS(STATUS!$AA:$AA,STATUS!$E:$E,A14)</f>
        <v>0</v>
      </c>
      <c r="D14" s="578">
        <f t="shared" si="3"/>
        <v>0</v>
      </c>
      <c r="E14" s="578">
        <f t="shared" si="2"/>
        <v>0</v>
      </c>
      <c r="F14" s="579">
        <f t="shared" si="1"/>
        <v>0</v>
      </c>
    </row>
    <row r="15" spans="1:7" x14ac:dyDescent="0.35">
      <c r="A15" s="571">
        <v>43940</v>
      </c>
      <c r="B15" s="5">
        <f>COUNTIF(STATUS!$E:$E,A15)</f>
        <v>0</v>
      </c>
      <c r="C15" s="578">
        <f>SUMIFS(STATUS!$AA:$AA,STATUS!$E:$E,A15)</f>
        <v>0</v>
      </c>
      <c r="D15" s="578">
        <f t="shared" si="3"/>
        <v>0</v>
      </c>
      <c r="E15" s="578">
        <f t="shared" si="2"/>
        <v>0</v>
      </c>
      <c r="F15" s="579">
        <f t="shared" si="1"/>
        <v>0</v>
      </c>
    </row>
    <row r="16" spans="1:7" x14ac:dyDescent="0.35">
      <c r="A16" s="571">
        <v>43941</v>
      </c>
      <c r="B16" s="5">
        <f>COUNTIF(STATUS!$E:$E,A16)</f>
        <v>21</v>
      </c>
      <c r="C16" s="578">
        <f>SUMIFS(STATUS!$AA:$AA,STATUS!$E:$E,A16)</f>
        <v>0.21994212962962933</v>
      </c>
      <c r="D16" s="578">
        <f t="shared" si="3"/>
        <v>1.0473434744268064E-2</v>
      </c>
      <c r="E16" s="578">
        <f t="shared" si="2"/>
        <v>0.2094686948853613</v>
      </c>
      <c r="F16" s="579">
        <f>C16-E16</f>
        <v>1.047343474426804E-2</v>
      </c>
    </row>
    <row r="17" spans="1:6" x14ac:dyDescent="0.35">
      <c r="A17" s="571">
        <v>43942</v>
      </c>
      <c r="B17" s="5">
        <f>COUNTIF(STATUS!$E:$E,A17)</f>
        <v>15</v>
      </c>
      <c r="C17" s="578">
        <f>SUMIFS(STATUS!$AA:$AA,STATUS!$E:$E,A17)</f>
        <v>0.17960648148148128</v>
      </c>
      <c r="D17" s="578">
        <f t="shared" si="3"/>
        <v>1.1973765432098752E-2</v>
      </c>
      <c r="E17" s="578">
        <f t="shared" si="2"/>
        <v>0.23947530864197503</v>
      </c>
      <c r="F17" s="579">
        <f t="shared" si="1"/>
        <v>5.9868827160493743E-2</v>
      </c>
    </row>
    <row r="18" spans="1:6" x14ac:dyDescent="0.35">
      <c r="A18" s="571">
        <v>43943</v>
      </c>
      <c r="B18" s="5">
        <f>COUNTIF(STATUS!$E:$E,A18)</f>
        <v>19</v>
      </c>
      <c r="C18" s="578">
        <f>SUMIFS(STATUS!$AA:$AA,STATUS!$E:$E,A18)</f>
        <v>0.26181712962962961</v>
      </c>
      <c r="D18" s="578">
        <f t="shared" si="3"/>
        <v>1.3779848927875243E-2</v>
      </c>
      <c r="E18" s="578">
        <f t="shared" si="2"/>
        <v>0.27559697855750487</v>
      </c>
      <c r="F18" s="579">
        <f t="shared" si="1"/>
        <v>1.377984892787526E-2</v>
      </c>
    </row>
    <row r="19" spans="1:6" x14ac:dyDescent="0.35">
      <c r="A19" s="571">
        <v>43944</v>
      </c>
      <c r="B19" s="5">
        <f>COUNTIF(STATUS!$E:$E,A19)</f>
        <v>4</v>
      </c>
      <c r="C19" s="578">
        <f>SUMIFS(STATUS!$AA:$AA,STATUS!$E:$E,A19)</f>
        <v>6.1805555555555891E-2</v>
      </c>
      <c r="D19" s="578">
        <f t="shared" ref="D19:D25" si="4">IFERROR(C19/B19,0)</f>
        <v>1.5451388888888973E-2</v>
      </c>
      <c r="E19" s="578">
        <f t="shared" ref="E19:E25" si="5">D19*20</f>
        <v>0.30902777777777946</v>
      </c>
      <c r="F19" s="579">
        <f t="shared" ref="F19:F25" si="6">E19-C19</f>
        <v>0.24722222222222356</v>
      </c>
    </row>
    <row r="20" spans="1:6" x14ac:dyDescent="0.35">
      <c r="A20" s="571">
        <v>43945</v>
      </c>
      <c r="B20" s="5">
        <f>COUNTIF(STATUS!$E:$E,A20)</f>
        <v>16</v>
      </c>
      <c r="C20" s="578">
        <f>SUMIFS(STATUS!$AA:$AA,STATUS!$E:$E,A20)</f>
        <v>0.28337962962962959</v>
      </c>
      <c r="D20" s="578">
        <f t="shared" si="4"/>
        <v>1.771122685185185E-2</v>
      </c>
      <c r="E20" s="578">
        <f t="shared" si="5"/>
        <v>0.35422453703703699</v>
      </c>
      <c r="F20" s="579">
        <f t="shared" si="6"/>
        <v>7.0844907407407398E-2</v>
      </c>
    </row>
    <row r="21" spans="1:6" x14ac:dyDescent="0.35">
      <c r="A21" s="571">
        <v>43946</v>
      </c>
      <c r="B21" s="5">
        <f>COUNTIF(STATUS!$E:$E,A21)</f>
        <v>0</v>
      </c>
      <c r="C21" s="578">
        <f>SUMIFS(STATUS!$AA:$AA,STATUS!$E:$E,A21)</f>
        <v>0</v>
      </c>
      <c r="D21" s="578">
        <f t="shared" si="4"/>
        <v>0</v>
      </c>
      <c r="E21" s="578">
        <f t="shared" si="5"/>
        <v>0</v>
      </c>
      <c r="F21" s="579">
        <f t="shared" si="6"/>
        <v>0</v>
      </c>
    </row>
    <row r="22" spans="1:6" x14ac:dyDescent="0.35">
      <c r="A22" s="571">
        <v>43947</v>
      </c>
      <c r="B22" s="5">
        <f>COUNTIF(STATUS!$E:$E,A22)</f>
        <v>0</v>
      </c>
      <c r="C22" s="578">
        <f>SUMIFS(STATUS!$AA:$AA,STATUS!$E:$E,A22)</f>
        <v>0</v>
      </c>
      <c r="D22" s="578">
        <f t="shared" si="4"/>
        <v>0</v>
      </c>
      <c r="E22" s="578">
        <f t="shared" si="5"/>
        <v>0</v>
      </c>
      <c r="F22" s="579">
        <f t="shared" si="6"/>
        <v>0</v>
      </c>
    </row>
    <row r="23" spans="1:6" x14ac:dyDescent="0.35">
      <c r="A23" s="571">
        <v>43948</v>
      </c>
      <c r="B23" s="5">
        <f>COUNTIF(STATUS!$E:$E,A23)</f>
        <v>0</v>
      </c>
      <c r="C23" s="578">
        <f>SUMIFS(STATUS!$AA:$AA,STATUS!$E:$E,A23)</f>
        <v>0</v>
      </c>
      <c r="D23" s="578">
        <f t="shared" si="4"/>
        <v>0</v>
      </c>
      <c r="E23" s="578">
        <f t="shared" si="5"/>
        <v>0</v>
      </c>
      <c r="F23" s="579">
        <f t="shared" si="6"/>
        <v>0</v>
      </c>
    </row>
    <row r="24" spans="1:6" x14ac:dyDescent="0.35">
      <c r="A24" s="571">
        <v>43949</v>
      </c>
      <c r="B24" s="5">
        <f>COUNTIF(STATUS!$E:$E,A24)</f>
        <v>0</v>
      </c>
      <c r="C24" s="578">
        <f>SUMIFS(STATUS!$AA:$AA,STATUS!$E:$E,A24)</f>
        <v>0</v>
      </c>
      <c r="D24" s="578">
        <f t="shared" si="4"/>
        <v>0</v>
      </c>
      <c r="E24" s="578">
        <f t="shared" si="5"/>
        <v>0</v>
      </c>
      <c r="F24" s="579">
        <f t="shared" si="6"/>
        <v>0</v>
      </c>
    </row>
    <row r="25" spans="1:6" x14ac:dyDescent="0.35">
      <c r="A25" s="571">
        <v>43950</v>
      </c>
      <c r="B25" s="5">
        <f>COUNTIF(STATUS!$E:$E,A25)</f>
        <v>0</v>
      </c>
      <c r="C25" s="578">
        <f>SUMIFS(STATUS!$AA:$AA,STATUS!$E:$E,A25)</f>
        <v>0</v>
      </c>
      <c r="D25" s="578">
        <f t="shared" si="4"/>
        <v>0</v>
      </c>
      <c r="E25" s="578">
        <f t="shared" si="5"/>
        <v>0</v>
      </c>
      <c r="F25" s="579">
        <f t="shared" si="6"/>
        <v>0</v>
      </c>
    </row>
    <row r="26" spans="1:6" x14ac:dyDescent="0.35">
      <c r="A26" s="571">
        <v>43951</v>
      </c>
      <c r="B26" s="5">
        <f>COUNTIF(STATUS!$E:$E,A26)</f>
        <v>0</v>
      </c>
      <c r="C26" s="578">
        <f>SUMIFS(STATUS!$AA:$AA,STATUS!$E:$E,A26)</f>
        <v>0</v>
      </c>
      <c r="D26" s="578">
        <f t="shared" ref="D26:D38" si="7">IFERROR(C26/B26,0)</f>
        <v>0</v>
      </c>
      <c r="E26" s="578">
        <f t="shared" ref="E26:E38" si="8">D26*20</f>
        <v>0</v>
      </c>
      <c r="F26" s="579">
        <f t="shared" ref="F26:F38" si="9">E26-C26</f>
        <v>0</v>
      </c>
    </row>
    <row r="27" spans="1:6" x14ac:dyDescent="0.35">
      <c r="A27" s="571">
        <v>43952</v>
      </c>
      <c r="B27" s="5">
        <f>COUNTIF(STATUS!$E:$E,A27)</f>
        <v>0</v>
      </c>
      <c r="C27" s="578">
        <f>SUMIFS(STATUS!$AA:$AA,STATUS!$E:$E,A27)</f>
        <v>0</v>
      </c>
      <c r="D27" s="578">
        <f t="shared" si="7"/>
        <v>0</v>
      </c>
      <c r="E27" s="578">
        <f t="shared" si="8"/>
        <v>0</v>
      </c>
      <c r="F27" s="579">
        <f t="shared" si="9"/>
        <v>0</v>
      </c>
    </row>
    <row r="28" spans="1:6" x14ac:dyDescent="0.35">
      <c r="A28" s="571">
        <v>43953</v>
      </c>
      <c r="B28" s="5">
        <f>COUNTIF(STATUS!$E:$E,A28)</f>
        <v>2</v>
      </c>
      <c r="C28" s="578">
        <f>SUMIFS(STATUS!$AA:$AA,STATUS!$E:$E,A28)</f>
        <v>3.427083333333325E-2</v>
      </c>
      <c r="D28" s="578">
        <f t="shared" si="7"/>
        <v>1.7135416666666625E-2</v>
      </c>
      <c r="E28" s="578">
        <f t="shared" si="8"/>
        <v>0.3427083333333325</v>
      </c>
      <c r="F28" s="579">
        <f t="shared" si="9"/>
        <v>0.30843749999999925</v>
      </c>
    </row>
    <row r="29" spans="1:6" x14ac:dyDescent="0.35">
      <c r="A29" s="571">
        <v>43954</v>
      </c>
      <c r="B29" s="5">
        <f>COUNTIF(STATUS!$E:$E,A29)</f>
        <v>1</v>
      </c>
      <c r="C29" s="578">
        <f>SUMIFS(STATUS!$AA:$AA,STATUS!$E:$E,A29)</f>
        <v>4.2476851851852571E-3</v>
      </c>
      <c r="D29" s="578">
        <f t="shared" si="7"/>
        <v>4.2476851851852571E-3</v>
      </c>
      <c r="E29" s="578">
        <f t="shared" si="8"/>
        <v>8.4953703703705141E-2</v>
      </c>
      <c r="F29" s="579">
        <f t="shared" si="9"/>
        <v>8.0706018518519884E-2</v>
      </c>
    </row>
    <row r="30" spans="1:6" x14ac:dyDescent="0.35">
      <c r="A30" s="571">
        <v>43955</v>
      </c>
      <c r="B30" s="5">
        <f>COUNTIF(STATUS!$E:$E,A30)</f>
        <v>2</v>
      </c>
      <c r="C30" s="578">
        <f>SUMIFS(STATUS!$AA:$AA,STATUS!$E:$E,A30)</f>
        <v>3.7870370370370332E-2</v>
      </c>
      <c r="D30" s="578">
        <f t="shared" si="7"/>
        <v>1.8935185185185166E-2</v>
      </c>
      <c r="E30" s="578">
        <f t="shared" si="8"/>
        <v>0.37870370370370332</v>
      </c>
      <c r="F30" s="579">
        <f t="shared" si="9"/>
        <v>0.34083333333333299</v>
      </c>
    </row>
    <row r="31" spans="1:6" x14ac:dyDescent="0.35">
      <c r="A31" s="571">
        <v>43956</v>
      </c>
      <c r="B31" s="5">
        <f>COUNTIF(STATUS!$E:$E,A31)</f>
        <v>3</v>
      </c>
      <c r="C31" s="578">
        <f>SUMIFS(STATUS!$AA:$AA,STATUS!$E:$E,A31)</f>
        <v>3.9861111111111347E-2</v>
      </c>
      <c r="D31" s="578">
        <f t="shared" si="7"/>
        <v>1.3287037037037116E-2</v>
      </c>
      <c r="E31" s="578">
        <f t="shared" si="8"/>
        <v>0.26574074074074233</v>
      </c>
      <c r="F31" s="579">
        <f t="shared" si="9"/>
        <v>0.22587962962963098</v>
      </c>
    </row>
    <row r="32" spans="1:6" x14ac:dyDescent="0.35">
      <c r="A32" s="571">
        <v>43957</v>
      </c>
      <c r="B32" s="5">
        <f>COUNTIF(STATUS!$E:$E,A32)</f>
        <v>21</v>
      </c>
      <c r="C32" s="578">
        <f>SUMIFS(STATUS!$AA:$AA,STATUS!$E:$E,A32)</f>
        <v>0.17975694444444451</v>
      </c>
      <c r="D32" s="578">
        <f t="shared" si="7"/>
        <v>8.5598544973545E-3</v>
      </c>
      <c r="E32" s="578">
        <f t="shared" si="8"/>
        <v>0.17119708994708999</v>
      </c>
      <c r="F32" s="579">
        <f>C32-E32</f>
        <v>8.5598544973545243E-3</v>
      </c>
    </row>
    <row r="33" spans="1:7" x14ac:dyDescent="0.35">
      <c r="A33" s="571">
        <v>43958</v>
      </c>
      <c r="B33" s="5">
        <f>COUNTIF(STATUS!$E:$E,A33)</f>
        <v>12</v>
      </c>
      <c r="C33" s="578">
        <f>SUMIFS(STATUS!$AA:$AA,STATUS!$E:$E,A33)</f>
        <v>0.21335648148148145</v>
      </c>
      <c r="D33" s="578">
        <f t="shared" si="7"/>
        <v>1.7779706790123456E-2</v>
      </c>
      <c r="E33" s="578">
        <f t="shared" si="8"/>
        <v>0.35559413580246912</v>
      </c>
      <c r="F33" s="579">
        <f t="shared" si="9"/>
        <v>0.14223765432098767</v>
      </c>
    </row>
    <row r="34" spans="1:7" x14ac:dyDescent="0.35">
      <c r="A34" s="571">
        <v>43959</v>
      </c>
      <c r="B34" s="5">
        <f>COUNTIF(STATUS!$E:$E,A34)</f>
        <v>10</v>
      </c>
      <c r="C34" s="578">
        <f>SUMIFS(STATUS!$AA:$AA,STATUS!$E:$E,A34)</f>
        <v>0.22936342592592573</v>
      </c>
      <c r="D34" s="578">
        <f t="shared" si="7"/>
        <v>2.2936342592592574E-2</v>
      </c>
      <c r="E34" s="578">
        <f t="shared" si="8"/>
        <v>0.45872685185185147</v>
      </c>
      <c r="F34" s="579">
        <f t="shared" si="9"/>
        <v>0.22936342592592573</v>
      </c>
    </row>
    <row r="35" spans="1:7" x14ac:dyDescent="0.35">
      <c r="A35" s="571">
        <v>43960</v>
      </c>
      <c r="B35" s="5">
        <f>COUNTIF(STATUS!$E:$E,A35)</f>
        <v>0</v>
      </c>
      <c r="C35" s="578">
        <f>SUMIFS(STATUS!$AA:$AA,STATUS!$E:$E,A35)</f>
        <v>0</v>
      </c>
      <c r="D35" s="578">
        <f t="shared" si="7"/>
        <v>0</v>
      </c>
      <c r="E35" s="578">
        <f t="shared" si="8"/>
        <v>0</v>
      </c>
      <c r="F35" s="579">
        <f t="shared" si="9"/>
        <v>0</v>
      </c>
    </row>
    <row r="36" spans="1:7" x14ac:dyDescent="0.35">
      <c r="A36" s="571">
        <v>43961</v>
      </c>
      <c r="B36" s="5">
        <f>COUNTIF(STATUS!$E:$E,A36)</f>
        <v>0</v>
      </c>
      <c r="C36" s="578">
        <f>SUMIFS(STATUS!$AA:$AA,STATUS!$E:$E,A36)</f>
        <v>0</v>
      </c>
      <c r="D36" s="578">
        <f t="shared" si="7"/>
        <v>0</v>
      </c>
      <c r="E36" s="578">
        <f t="shared" si="8"/>
        <v>0</v>
      </c>
      <c r="F36" s="579">
        <f t="shared" si="9"/>
        <v>0</v>
      </c>
    </row>
    <row r="37" spans="1:7" x14ac:dyDescent="0.35">
      <c r="A37" s="571">
        <v>43962</v>
      </c>
      <c r="B37" s="5">
        <f>COUNTIF(STATUS!$E:$E,A37)</f>
        <v>5</v>
      </c>
      <c r="C37" s="578">
        <f>SUMIFS(STATUS!$AA:$AA,STATUS!$E:$E,A37)</f>
        <v>4.3854166666666528E-2</v>
      </c>
      <c r="D37" s="578">
        <f t="shared" si="7"/>
        <v>8.7708333333333059E-3</v>
      </c>
      <c r="E37" s="578">
        <f t="shared" si="8"/>
        <v>0.17541666666666611</v>
      </c>
      <c r="F37" s="579">
        <f t="shared" si="9"/>
        <v>0.13156249999999958</v>
      </c>
    </row>
    <row r="38" spans="1:7" x14ac:dyDescent="0.35">
      <c r="A38" s="571">
        <v>43963</v>
      </c>
      <c r="B38" s="5">
        <f>COUNTIF(STATUS!$E:$E,A38)</f>
        <v>10</v>
      </c>
      <c r="C38" s="578">
        <f>SUMIFS(STATUS!$AA:$AA,STATUS!$E:$E,A38)</f>
        <v>0.19267361111111103</v>
      </c>
      <c r="D38" s="578">
        <f t="shared" si="7"/>
        <v>1.9267361111111103E-2</v>
      </c>
      <c r="E38" s="578">
        <f t="shared" si="8"/>
        <v>0.38534722222222206</v>
      </c>
      <c r="F38" s="579">
        <f t="shared" si="9"/>
        <v>0.19267361111111103</v>
      </c>
    </row>
    <row r="39" spans="1:7" x14ac:dyDescent="0.35">
      <c r="A39" s="571">
        <v>43964</v>
      </c>
      <c r="B39" s="5">
        <f>COUNTIF(STATUS!$E:$E,A39)</f>
        <v>15</v>
      </c>
      <c r="C39" s="578">
        <f>SUMIFS(STATUS!$AA:$AA,STATUS!$E:$E,A39)</f>
        <v>0.16476851851851798</v>
      </c>
      <c r="D39" s="578">
        <f t="shared" ref="D39:D42" si="10">IFERROR(C39/B39,0)</f>
        <v>1.0984567901234532E-2</v>
      </c>
      <c r="E39" s="578">
        <f t="shared" ref="E39:E42" si="11">D39*20</f>
        <v>0.21969135802469064</v>
      </c>
      <c r="F39" s="579">
        <f t="shared" ref="F39:F42" si="12">E39-C39</f>
        <v>5.492283950617266E-2</v>
      </c>
      <c r="G39" t="s">
        <v>7223</v>
      </c>
    </row>
    <row r="40" spans="1:7" x14ac:dyDescent="0.35">
      <c r="A40" s="571">
        <v>43965</v>
      </c>
      <c r="B40" s="5">
        <f>COUNTIF(STATUS!$E:$E,A40)</f>
        <v>21</v>
      </c>
      <c r="C40" s="578">
        <f>SUMIFS(STATUS!$AA:$AA,STATUS!$E:$E,A40)</f>
        <v>0.24857638888888933</v>
      </c>
      <c r="D40" s="578">
        <f t="shared" si="10"/>
        <v>1.183697089947092E-2</v>
      </c>
      <c r="E40" s="578">
        <f t="shared" si="11"/>
        <v>0.23673941798941839</v>
      </c>
      <c r="F40" s="579">
        <f>C40-E40</f>
        <v>1.1836970899470944E-2</v>
      </c>
      <c r="G40" t="s">
        <v>7224</v>
      </c>
    </row>
    <row r="41" spans="1:7" x14ac:dyDescent="0.35">
      <c r="A41" s="571">
        <v>43966</v>
      </c>
      <c r="B41" s="5">
        <f>COUNTIF(STATUS!$E:$E,A41)</f>
        <v>8</v>
      </c>
      <c r="C41" s="578">
        <f>SUMIFS(STATUS!$AA:$AA,STATUS!$E:$E,A41)</f>
        <v>9.637731481481504E-2</v>
      </c>
      <c r="D41" s="578">
        <f t="shared" si="10"/>
        <v>1.204716435185188E-2</v>
      </c>
      <c r="E41" s="578">
        <f t="shared" si="11"/>
        <v>0.2409432870370376</v>
      </c>
      <c r="F41" s="579">
        <f t="shared" si="12"/>
        <v>0.14456597222222256</v>
      </c>
      <c r="G41" t="s">
        <v>7225</v>
      </c>
    </row>
    <row r="42" spans="1:7" x14ac:dyDescent="0.35">
      <c r="A42" s="571">
        <v>43967</v>
      </c>
      <c r="B42" s="5">
        <f>COUNTIF(STATUS!$E:$E,A42)</f>
        <v>0</v>
      </c>
      <c r="C42" s="578">
        <f>SUMIFS(STATUS!$AA:$AA,STATUS!$E:$E,A42)</f>
        <v>0</v>
      </c>
      <c r="D42" s="578">
        <f t="shared" si="10"/>
        <v>0</v>
      </c>
      <c r="E42" s="578">
        <f t="shared" si="11"/>
        <v>0</v>
      </c>
      <c r="F42" s="579">
        <f t="shared" si="12"/>
        <v>0</v>
      </c>
    </row>
    <row r="43" spans="1:7" x14ac:dyDescent="0.35">
      <c r="A43" s="571">
        <v>43968</v>
      </c>
      <c r="B43" s="5">
        <f>COUNTIF(STATUS!$E:$E,A43)</f>
        <v>0</v>
      </c>
      <c r="C43" s="578">
        <f>SUMIFS(STATUS!$AA:$AA,STATUS!$E:$E,A43)</f>
        <v>0</v>
      </c>
      <c r="D43" s="578">
        <f t="shared" ref="D43:D55" si="13">IFERROR(C43/B43,0)</f>
        <v>0</v>
      </c>
      <c r="E43" s="578">
        <f t="shared" ref="E43:E55" si="14">D43*20</f>
        <v>0</v>
      </c>
      <c r="F43" s="579">
        <f t="shared" ref="F43:F55" si="15">E43-C43</f>
        <v>0</v>
      </c>
    </row>
    <row r="44" spans="1:7" x14ac:dyDescent="0.35">
      <c r="A44" s="571">
        <v>43969</v>
      </c>
      <c r="B44" s="5">
        <f>COUNTIF(STATUS!$E:$E,A44)</f>
        <v>24</v>
      </c>
      <c r="C44" s="578">
        <f>SUMIFS(STATUS!$AA:$AA,STATUS!$E:$E,A44)</f>
        <v>0.18847222222222221</v>
      </c>
      <c r="D44" s="578">
        <f t="shared" si="13"/>
        <v>7.8530092592592592E-3</v>
      </c>
      <c r="E44" s="578">
        <f t="shared" si="14"/>
        <v>0.15706018518518519</v>
      </c>
      <c r="F44" s="579">
        <f>C44-E44</f>
        <v>3.1412037037037016E-2</v>
      </c>
      <c r="G44" t="s">
        <v>7223</v>
      </c>
    </row>
    <row r="45" spans="1:7" x14ac:dyDescent="0.35">
      <c r="A45" s="571">
        <v>43970</v>
      </c>
      <c r="B45" s="5">
        <f>COUNTIF(STATUS!$E:$E,A45)</f>
        <v>20</v>
      </c>
      <c r="C45" s="578">
        <f>SUMIFS(STATUS!$AA:$AA,STATUS!$E:$E,A45)</f>
        <v>0.16649305555555621</v>
      </c>
      <c r="D45" s="578">
        <f t="shared" si="13"/>
        <v>8.324652777777811E-3</v>
      </c>
      <c r="E45" s="578">
        <f t="shared" si="14"/>
        <v>0.16649305555555621</v>
      </c>
      <c r="F45" s="579">
        <f t="shared" si="15"/>
        <v>0</v>
      </c>
      <c r="G45" t="s">
        <v>7224</v>
      </c>
    </row>
    <row r="46" spans="1:7" x14ac:dyDescent="0.35">
      <c r="A46" s="571">
        <v>43971</v>
      </c>
      <c r="B46" s="5">
        <f>COUNTIF(STATUS!$E:$E,A46)</f>
        <v>20</v>
      </c>
      <c r="C46" s="578">
        <f>SUMIFS(STATUS!$AA:$AA,STATUS!$E:$E,A46)</f>
        <v>0.23469907407407392</v>
      </c>
      <c r="D46" s="578">
        <f t="shared" si="13"/>
        <v>1.1734953703703695E-2</v>
      </c>
      <c r="E46" s="578">
        <f t="shared" si="14"/>
        <v>0.23469907407407392</v>
      </c>
      <c r="F46" s="579">
        <f t="shared" si="15"/>
        <v>0</v>
      </c>
      <c r="G46" t="s">
        <v>7225</v>
      </c>
    </row>
    <row r="47" spans="1:7" x14ac:dyDescent="0.35">
      <c r="A47" s="571">
        <v>43972</v>
      </c>
      <c r="B47" s="5">
        <f>COUNTIF(STATUS!$E:$E,A47)</f>
        <v>10</v>
      </c>
      <c r="C47" s="578">
        <f>SUMIFS(STATUS!$AA:$AA,STATUS!$E:$E,A47)</f>
        <v>0.2580555555555557</v>
      </c>
      <c r="D47" s="578">
        <f t="shared" si="13"/>
        <v>2.5805555555555571E-2</v>
      </c>
      <c r="E47" s="578">
        <f t="shared" si="14"/>
        <v>0.51611111111111141</v>
      </c>
      <c r="F47" s="579">
        <f t="shared" si="15"/>
        <v>0.2580555555555557</v>
      </c>
      <c r="G47" t="s">
        <v>7224</v>
      </c>
    </row>
    <row r="48" spans="1:7" x14ac:dyDescent="0.35">
      <c r="A48" s="571">
        <v>43973</v>
      </c>
      <c r="B48" s="5">
        <f>COUNTIF(STATUS!$E:$E,A48)</f>
        <v>6</v>
      </c>
      <c r="C48" s="578">
        <f>SUMIFS(STATUS!$AA:$AA,STATUS!$E:$E,A48)</f>
        <v>0.11438657407407415</v>
      </c>
      <c r="D48" s="578">
        <f t="shared" si="13"/>
        <v>1.9064429012345691E-2</v>
      </c>
      <c r="E48" s="578">
        <f t="shared" si="14"/>
        <v>0.38128858024691381</v>
      </c>
      <c r="F48" s="579">
        <f t="shared" si="15"/>
        <v>0.26690200617283966</v>
      </c>
      <c r="G48" t="s">
        <v>7223</v>
      </c>
    </row>
    <row r="49" spans="1:7" x14ac:dyDescent="0.35">
      <c r="A49" s="571">
        <v>43974</v>
      </c>
      <c r="B49" s="5">
        <f>COUNTIF(STATUS!$E:$E,A49)</f>
        <v>0</v>
      </c>
      <c r="C49" s="578">
        <f>SUMIFS(STATUS!$AA:$AA,STATUS!$E:$E,A49)</f>
        <v>0</v>
      </c>
      <c r="D49" s="578">
        <f t="shared" si="13"/>
        <v>0</v>
      </c>
      <c r="E49" s="578">
        <f t="shared" si="14"/>
        <v>0</v>
      </c>
      <c r="F49" s="579">
        <f t="shared" si="15"/>
        <v>0</v>
      </c>
    </row>
    <row r="50" spans="1:7" x14ac:dyDescent="0.35">
      <c r="A50" s="571">
        <v>43975</v>
      </c>
      <c r="B50" s="5">
        <f>COUNTIF(STATUS!$E:$E,A50)</f>
        <v>0</v>
      </c>
      <c r="C50" s="578">
        <f>SUMIFS(STATUS!$AA:$AA,STATUS!$E:$E,A50)</f>
        <v>0</v>
      </c>
      <c r="D50" s="578">
        <f t="shared" si="13"/>
        <v>0</v>
      </c>
      <c r="E50" s="578">
        <f t="shared" si="14"/>
        <v>0</v>
      </c>
      <c r="F50" s="579">
        <f t="shared" si="15"/>
        <v>0</v>
      </c>
    </row>
    <row r="51" spans="1:7" x14ac:dyDescent="0.35">
      <c r="A51" s="571">
        <v>43976</v>
      </c>
      <c r="B51" s="5">
        <f>COUNTIF(STATUS!$E:$E,A51)</f>
        <v>30</v>
      </c>
      <c r="C51" s="578">
        <f>SUMIFS(STATUS!$AA:$AA,STATUS!$E:$E,A51)</f>
        <v>0.29696759259259237</v>
      </c>
      <c r="D51" s="578">
        <f t="shared" si="13"/>
        <v>9.8989197530864118E-3</v>
      </c>
      <c r="E51" s="578">
        <f t="shared" si="14"/>
        <v>0.19797839506172824</v>
      </c>
      <c r="F51" s="579">
        <f>C51-E51</f>
        <v>9.8989197530864131E-2</v>
      </c>
      <c r="G51" t="s">
        <v>7225</v>
      </c>
    </row>
    <row r="52" spans="1:7" x14ac:dyDescent="0.35">
      <c r="A52" s="571">
        <v>43977</v>
      </c>
      <c r="B52" s="5">
        <f>COUNTIF(STATUS!$E:$E,A52)</f>
        <v>30</v>
      </c>
      <c r="C52" s="578">
        <f>SUMIFS(STATUS!$AA:$AA,STATUS!$E:$E,A52)</f>
        <v>0.39619212962963002</v>
      </c>
      <c r="D52" s="578">
        <f t="shared" si="13"/>
        <v>1.3206404320987667E-2</v>
      </c>
      <c r="E52" s="578">
        <f t="shared" si="14"/>
        <v>0.26412808641975333</v>
      </c>
      <c r="F52" s="579">
        <f>C52-E52</f>
        <v>0.13206404320987669</v>
      </c>
      <c r="G52" t="s">
        <v>7224</v>
      </c>
    </row>
    <row r="53" spans="1:7" x14ac:dyDescent="0.35">
      <c r="A53" s="571">
        <v>43978</v>
      </c>
      <c r="B53" s="5">
        <f>COUNTIF(STATUS!$E:$E,A53)</f>
        <v>26</v>
      </c>
      <c r="C53" s="578">
        <f>SUMIFS(STATUS!$AA:$AA,STATUS!$E:$E,A53)</f>
        <v>0.36734953703703793</v>
      </c>
      <c r="D53" s="578">
        <f t="shared" si="13"/>
        <v>1.4128828347578382E-2</v>
      </c>
      <c r="E53" s="578">
        <f t="shared" si="14"/>
        <v>0.28257656695156763</v>
      </c>
      <c r="F53" s="579">
        <f>C53-E53</f>
        <v>8.4772970085470301E-2</v>
      </c>
      <c r="G53" t="s">
        <v>7225</v>
      </c>
    </row>
    <row r="54" spans="1:7" x14ac:dyDescent="0.35">
      <c r="A54" s="571">
        <v>43979</v>
      </c>
      <c r="B54" s="5">
        <f>COUNTIF(STATUS!$E:$E,A54)</f>
        <v>22</v>
      </c>
      <c r="C54" s="578">
        <f>SUMIFS(STATUS!$AA:$AA,STATUS!$E:$E,A54)</f>
        <v>0.21883101851851833</v>
      </c>
      <c r="D54" s="578">
        <f t="shared" si="13"/>
        <v>9.9468644781144696E-3</v>
      </c>
      <c r="E54" s="578">
        <f t="shared" si="14"/>
        <v>0.1989372895622894</v>
      </c>
      <c r="F54" s="579">
        <f>C54-E54</f>
        <v>1.9893728956228929E-2</v>
      </c>
      <c r="G54" t="s">
        <v>7223</v>
      </c>
    </row>
    <row r="55" spans="1:7" x14ac:dyDescent="0.35">
      <c r="A55" s="571">
        <v>43980</v>
      </c>
      <c r="B55" s="5">
        <f>COUNTIF(STATUS!$E:$E,A55)</f>
        <v>10</v>
      </c>
      <c r="C55" s="578">
        <f>SUMIFS(STATUS!$AA:$AA,STATUS!$E:$E,A55)</f>
        <v>0.20837962962962953</v>
      </c>
      <c r="D55" s="578">
        <f t="shared" si="13"/>
        <v>2.0837962962962954E-2</v>
      </c>
      <c r="E55" s="578">
        <f t="shared" si="14"/>
        <v>0.41675925925925905</v>
      </c>
      <c r="F55" s="579">
        <f t="shared" si="15"/>
        <v>0.20837962962962953</v>
      </c>
      <c r="G55" t="s">
        <v>7224</v>
      </c>
    </row>
    <row r="56" spans="1:7" x14ac:dyDescent="0.35">
      <c r="A56" s="571">
        <v>43981</v>
      </c>
      <c r="B56" s="5">
        <f>COUNTIF(STATUS!$E:$E,A56)</f>
        <v>0</v>
      </c>
      <c r="C56" s="578">
        <f>SUMIFS(STATUS!$AA:$AA,STATUS!$E:$E,A56)</f>
        <v>0</v>
      </c>
      <c r="D56" s="578">
        <f t="shared" ref="D56:D87" si="16">IFERROR(C56/B56,0)</f>
        <v>0</v>
      </c>
      <c r="E56" s="578">
        <f t="shared" ref="E56:E87" si="17">D56*20</f>
        <v>0</v>
      </c>
      <c r="F56" s="579">
        <f t="shared" ref="F56:F87" si="18">E56-C56</f>
        <v>0</v>
      </c>
    </row>
    <row r="57" spans="1:7" x14ac:dyDescent="0.35">
      <c r="A57" s="571">
        <v>43982</v>
      </c>
      <c r="B57" s="5">
        <f>COUNTIF(STATUS!$E:$E,A57)</f>
        <v>0</v>
      </c>
      <c r="C57" s="578">
        <f>SUMIFS(STATUS!$AA:$AA,STATUS!$E:$E,A57)</f>
        <v>0</v>
      </c>
      <c r="D57" s="578">
        <f t="shared" si="16"/>
        <v>0</v>
      </c>
      <c r="E57" s="578">
        <f t="shared" si="17"/>
        <v>0</v>
      </c>
      <c r="F57" s="579">
        <f t="shared" si="18"/>
        <v>0</v>
      </c>
    </row>
    <row r="58" spans="1:7" x14ac:dyDescent="0.35">
      <c r="A58" s="571">
        <v>43983</v>
      </c>
      <c r="B58" s="5">
        <f>COUNTIF(STATUS!$E:$E,A58)</f>
        <v>25</v>
      </c>
      <c r="C58" s="578">
        <f>SUMIFS(STATUS!$AA:$AA,STATUS!$E:$E,A58)</f>
        <v>0.27202546296296298</v>
      </c>
      <c r="D58" s="578">
        <f t="shared" si="16"/>
        <v>1.0881018518518519E-2</v>
      </c>
      <c r="E58" s="578">
        <f t="shared" si="17"/>
        <v>0.21762037037037038</v>
      </c>
      <c r="F58" s="579">
        <f>C58-E58</f>
        <v>5.4405092592592602E-2</v>
      </c>
    </row>
    <row r="59" spans="1:7" x14ac:dyDescent="0.35">
      <c r="A59" s="571">
        <v>43984</v>
      </c>
      <c r="B59" s="5">
        <f>COUNTIF(STATUS!$E:$E,A59)</f>
        <v>22</v>
      </c>
      <c r="C59" s="578">
        <f>SUMIFS(STATUS!$AA:$AA,STATUS!$E:$E,A59)</f>
        <v>0.27171296296296327</v>
      </c>
      <c r="D59" s="578">
        <f t="shared" si="16"/>
        <v>1.2350589225589239E-2</v>
      </c>
      <c r="E59" s="578">
        <f t="shared" si="17"/>
        <v>0.24701178451178477</v>
      </c>
      <c r="F59" s="579">
        <f>C59-E59</f>
        <v>2.4701178451178502E-2</v>
      </c>
    </row>
    <row r="60" spans="1:7" x14ac:dyDescent="0.35">
      <c r="A60" s="571">
        <v>43985</v>
      </c>
      <c r="B60" s="5">
        <f>COUNTIF(STATUS!$E:$E,A60)</f>
        <v>20</v>
      </c>
      <c r="C60" s="578">
        <f>SUMIFS(STATUS!$AA:$AA,STATUS!$E:$E,A60)</f>
        <v>0.28628472222222212</v>
      </c>
      <c r="D60" s="578">
        <f t="shared" si="16"/>
        <v>1.4314236111111106E-2</v>
      </c>
      <c r="E60" s="578">
        <f t="shared" si="17"/>
        <v>0.28628472222222212</v>
      </c>
      <c r="F60" s="579">
        <f t="shared" si="18"/>
        <v>0</v>
      </c>
    </row>
    <row r="61" spans="1:7" x14ac:dyDescent="0.35">
      <c r="A61" s="571">
        <v>43986</v>
      </c>
      <c r="B61" s="5">
        <f>COUNTIF(STATUS!$E:$E,A61)</f>
        <v>19</v>
      </c>
      <c r="C61" s="578">
        <f>SUMIFS(STATUS!$AA:$AA,STATUS!$E:$E,A61)</f>
        <v>0.17498842592592623</v>
      </c>
      <c r="D61" s="578">
        <f t="shared" si="16"/>
        <v>9.2099171539961177E-3</v>
      </c>
      <c r="E61" s="578">
        <f t="shared" si="17"/>
        <v>0.18419834307992236</v>
      </c>
      <c r="F61" s="579">
        <f t="shared" si="18"/>
        <v>9.2099171539961333E-3</v>
      </c>
    </row>
    <row r="62" spans="1:7" x14ac:dyDescent="0.35">
      <c r="A62" s="571">
        <v>43987</v>
      </c>
      <c r="B62" s="5">
        <f>COUNTIF(STATUS!$E:$E,A62)</f>
        <v>20</v>
      </c>
      <c r="C62" s="578">
        <f>SUMIFS(STATUS!$AA:$AA,STATUS!$E:$E,A62)</f>
        <v>0.17614583333333333</v>
      </c>
      <c r="D62" s="578">
        <f t="shared" si="16"/>
        <v>8.8072916666666664E-3</v>
      </c>
      <c r="E62" s="578">
        <f t="shared" si="17"/>
        <v>0.17614583333333333</v>
      </c>
      <c r="F62" s="579">
        <f t="shared" si="18"/>
        <v>0</v>
      </c>
    </row>
    <row r="63" spans="1:7" x14ac:dyDescent="0.35">
      <c r="A63" s="571">
        <v>43988</v>
      </c>
      <c r="B63" s="5">
        <f>COUNTIF(STATUS!$E:$E,A63)</f>
        <v>0</v>
      </c>
      <c r="C63" s="578">
        <f>SUMIFS(STATUS!$AA:$AA,STATUS!$E:$E,A63)</f>
        <v>0</v>
      </c>
      <c r="D63" s="578">
        <f t="shared" si="16"/>
        <v>0</v>
      </c>
      <c r="E63" s="578">
        <f t="shared" si="17"/>
        <v>0</v>
      </c>
      <c r="F63" s="579">
        <f t="shared" si="18"/>
        <v>0</v>
      </c>
    </row>
    <row r="64" spans="1:7" x14ac:dyDescent="0.35">
      <c r="A64" s="571">
        <v>43989</v>
      </c>
      <c r="B64" s="5">
        <f>COUNTIF(STATUS!$E:$E,A64)</f>
        <v>0</v>
      </c>
      <c r="C64" s="578">
        <f>SUMIFS(STATUS!$AA:$AA,STATUS!$E:$E,A64)</f>
        <v>0</v>
      </c>
      <c r="D64" s="578">
        <f t="shared" si="16"/>
        <v>0</v>
      </c>
      <c r="E64" s="578">
        <f t="shared" si="17"/>
        <v>0</v>
      </c>
      <c r="F64" s="579">
        <f t="shared" si="18"/>
        <v>0</v>
      </c>
    </row>
    <row r="65" spans="1:6" x14ac:dyDescent="0.35">
      <c r="A65" s="571">
        <v>43990</v>
      </c>
      <c r="B65" s="5">
        <f>COUNTIF(STATUS!$E:$E,A65)</f>
        <v>32</v>
      </c>
      <c r="C65" s="578">
        <f>SUMIFS(STATUS!$AA:$AA,STATUS!$E:$E,A65)</f>
        <v>0.34380787037037058</v>
      </c>
      <c r="D65" s="578">
        <f t="shared" si="16"/>
        <v>1.0743995949074081E-2</v>
      </c>
      <c r="E65" s="578">
        <f t="shared" si="17"/>
        <v>0.21487991898148162</v>
      </c>
      <c r="F65" s="579">
        <f>C65-E65</f>
        <v>0.12892795138888896</v>
      </c>
    </row>
    <row r="66" spans="1:6" x14ac:dyDescent="0.35">
      <c r="A66" s="571">
        <v>43991</v>
      </c>
      <c r="B66" s="5">
        <f>COUNTIF(STATUS!$E:$E,A66)</f>
        <v>17</v>
      </c>
      <c r="C66" s="578">
        <f>SUMIFS(STATUS!$AA:$AA,STATUS!$E:$E,A66)</f>
        <v>0.22179398148148166</v>
      </c>
      <c r="D66" s="578">
        <f t="shared" si="16"/>
        <v>1.3046704793028333E-2</v>
      </c>
      <c r="E66" s="578">
        <f t="shared" si="17"/>
        <v>0.26093409586056665</v>
      </c>
      <c r="F66" s="579">
        <f t="shared" si="18"/>
        <v>3.9140114379084989E-2</v>
      </c>
    </row>
    <row r="67" spans="1:6" x14ac:dyDescent="0.35">
      <c r="A67" s="571">
        <v>43992</v>
      </c>
      <c r="B67" s="5">
        <f>COUNTIF(STATUS!$E:$E,A67)</f>
        <v>15</v>
      </c>
      <c r="C67" s="578">
        <f>SUMIFS(STATUS!$AA:$AA,STATUS!$E:$E,A67)</f>
        <v>0.23410879629629622</v>
      </c>
      <c r="D67" s="578">
        <f t="shared" si="16"/>
        <v>1.5607253086419748E-2</v>
      </c>
      <c r="E67" s="578">
        <f t="shared" si="17"/>
        <v>0.31214506172839496</v>
      </c>
      <c r="F67" s="579">
        <f t="shared" si="18"/>
        <v>7.8036265432098739E-2</v>
      </c>
    </row>
    <row r="68" spans="1:6" x14ac:dyDescent="0.35">
      <c r="A68" s="571">
        <v>43993</v>
      </c>
      <c r="B68" s="5">
        <f>COUNTIF(STATUS!$E:$E,A68)</f>
        <v>18</v>
      </c>
      <c r="C68" s="578">
        <f>SUMIFS(STATUS!$AA:$AA,STATUS!$E:$E,A68)</f>
        <v>0.15211805555555574</v>
      </c>
      <c r="D68" s="578">
        <f t="shared" si="16"/>
        <v>8.451003086419764E-3</v>
      </c>
      <c r="E68" s="578">
        <f t="shared" si="17"/>
        <v>0.16902006172839529</v>
      </c>
      <c r="F68" s="579">
        <f t="shared" si="18"/>
        <v>1.6902006172839545E-2</v>
      </c>
    </row>
    <row r="69" spans="1:6" x14ac:dyDescent="0.35">
      <c r="A69" s="571">
        <v>43994</v>
      </c>
      <c r="B69" s="5">
        <f>COUNTIF(STATUS!$E:$E,A69)</f>
        <v>12</v>
      </c>
      <c r="C69" s="578">
        <f>SUMIFS(STATUS!$AA:$AA,STATUS!$E:$E,A69)</f>
        <v>0.1548842592592593</v>
      </c>
      <c r="D69" s="578">
        <f t="shared" si="16"/>
        <v>1.2907021604938276E-2</v>
      </c>
      <c r="E69" s="578">
        <f t="shared" si="17"/>
        <v>0.25814043209876553</v>
      </c>
      <c r="F69" s="579">
        <f t="shared" si="18"/>
        <v>0.10325617283950622</v>
      </c>
    </row>
    <row r="70" spans="1:6" x14ac:dyDescent="0.35">
      <c r="A70" s="571">
        <v>43995</v>
      </c>
      <c r="B70" s="5">
        <f>COUNTIF(STATUS!$E:$E,A70)</f>
        <v>0</v>
      </c>
      <c r="C70" s="578">
        <f>SUMIFS(STATUS!$AA:$AA,STATUS!$E:$E,A70)</f>
        <v>0</v>
      </c>
      <c r="D70" s="578">
        <f t="shared" si="16"/>
        <v>0</v>
      </c>
      <c r="E70" s="578">
        <f t="shared" si="17"/>
        <v>0</v>
      </c>
      <c r="F70" s="579">
        <f t="shared" si="18"/>
        <v>0</v>
      </c>
    </row>
    <row r="71" spans="1:6" x14ac:dyDescent="0.35">
      <c r="A71" s="571">
        <v>43996</v>
      </c>
      <c r="B71" s="5">
        <f>COUNTIF(STATUS!$E:$E,A71)</f>
        <v>5</v>
      </c>
      <c r="C71" s="578">
        <f>SUMIFS(STATUS!$AA:$AA,STATUS!$E:$E,A71)</f>
        <v>2.4386574074074407E-2</v>
      </c>
      <c r="D71" s="578">
        <f t="shared" si="16"/>
        <v>4.8773148148148811E-3</v>
      </c>
      <c r="E71" s="578">
        <f t="shared" si="17"/>
        <v>9.754629629629763E-2</v>
      </c>
      <c r="F71" s="579">
        <f t="shared" si="18"/>
        <v>7.3159722222223222E-2</v>
      </c>
    </row>
    <row r="72" spans="1:6" x14ac:dyDescent="0.35">
      <c r="A72" s="571">
        <v>43997</v>
      </c>
      <c r="B72" s="5">
        <f>COUNTIF(STATUS!$E:$E,A72)</f>
        <v>9</v>
      </c>
      <c r="C72" s="578">
        <f>SUMIFS(STATUS!$AA:$AA,STATUS!$E:$E,A72)</f>
        <v>6.9502314814814947E-2</v>
      </c>
      <c r="D72" s="578">
        <f t="shared" si="16"/>
        <v>7.7224794238683276E-3</v>
      </c>
      <c r="E72" s="578">
        <f t="shared" si="17"/>
        <v>0.15444958847736656</v>
      </c>
      <c r="F72" s="579">
        <f t="shared" si="18"/>
        <v>8.4947273662551614E-2</v>
      </c>
    </row>
    <row r="73" spans="1:6" x14ac:dyDescent="0.35">
      <c r="A73" s="571">
        <v>43998</v>
      </c>
      <c r="B73" s="5">
        <f>COUNTIF(STATUS!$E:$E,A73)</f>
        <v>13</v>
      </c>
      <c r="C73" s="578">
        <f>SUMIFS(STATUS!$AA:$AA,STATUS!$E:$E,A73)</f>
        <v>0.12690972222222213</v>
      </c>
      <c r="D73" s="578">
        <f t="shared" si="16"/>
        <v>9.7622863247863179E-3</v>
      </c>
      <c r="E73" s="578">
        <f t="shared" si="17"/>
        <v>0.19524572649572636</v>
      </c>
      <c r="F73" s="579">
        <f t="shared" si="18"/>
        <v>6.8336004273504225E-2</v>
      </c>
    </row>
    <row r="74" spans="1:6" x14ac:dyDescent="0.35">
      <c r="A74" s="571">
        <v>43999</v>
      </c>
      <c r="B74" s="5">
        <f>COUNTIF(STATUS!$E:$E,A74)</f>
        <v>19</v>
      </c>
      <c r="C74" s="578">
        <f>SUMIFS(STATUS!$AA:$AA,STATUS!$E:$E,A74)</f>
        <v>0.16782407407407435</v>
      </c>
      <c r="D74" s="578">
        <f t="shared" si="16"/>
        <v>8.8328460038986506E-3</v>
      </c>
      <c r="E74" s="578">
        <f t="shared" si="17"/>
        <v>0.17665692007797301</v>
      </c>
      <c r="F74" s="579">
        <f t="shared" si="18"/>
        <v>8.8328460038986645E-3</v>
      </c>
    </row>
    <row r="75" spans="1:6" x14ac:dyDescent="0.35">
      <c r="A75" s="571">
        <v>44000</v>
      </c>
      <c r="B75" s="5">
        <f>COUNTIF(STATUS!$E:$E,A75)</f>
        <v>24</v>
      </c>
      <c r="C75" s="578">
        <f>SUMIFS(STATUS!$AA:$AA,STATUS!$E:$E,A75)</f>
        <v>0.24026620370370377</v>
      </c>
      <c r="D75" s="578">
        <f t="shared" si="16"/>
        <v>1.0011091820987658E-2</v>
      </c>
      <c r="E75" s="578">
        <f t="shared" si="17"/>
        <v>0.20022183641975316</v>
      </c>
      <c r="F75" s="579">
        <f>C75-E75</f>
        <v>4.004436728395061E-2</v>
      </c>
    </row>
    <row r="76" spans="1:6" x14ac:dyDescent="0.35">
      <c r="A76" s="571">
        <v>44001</v>
      </c>
      <c r="B76" s="5">
        <f>COUNTIF(STATUS!$E:$E,A76)</f>
        <v>10</v>
      </c>
      <c r="C76" s="578">
        <f>SUMIFS(STATUS!$AA:$AA,STATUS!$E:$E,A76)</f>
        <v>0.11287037037037012</v>
      </c>
      <c r="D76" s="578">
        <f t="shared" si="16"/>
        <v>1.1287037037037012E-2</v>
      </c>
      <c r="E76" s="578">
        <f t="shared" si="17"/>
        <v>0.22574074074074024</v>
      </c>
      <c r="F76" s="579">
        <f t="shared" si="18"/>
        <v>0.11287037037037012</v>
      </c>
    </row>
    <row r="77" spans="1:6" x14ac:dyDescent="0.35">
      <c r="A77" s="571">
        <v>44002</v>
      </c>
      <c r="B77" s="5">
        <f>COUNTIF(STATUS!$E:$E,A77)</f>
        <v>0</v>
      </c>
      <c r="C77" s="578">
        <f>SUMIFS(STATUS!$AA:$AA,STATUS!$E:$E,A77)</f>
        <v>0</v>
      </c>
      <c r="D77" s="578">
        <f t="shared" si="16"/>
        <v>0</v>
      </c>
      <c r="E77" s="578">
        <f t="shared" si="17"/>
        <v>0</v>
      </c>
      <c r="F77" s="579">
        <f t="shared" si="18"/>
        <v>0</v>
      </c>
    </row>
    <row r="78" spans="1:6" x14ac:dyDescent="0.35">
      <c r="A78" s="571">
        <v>44003</v>
      </c>
      <c r="B78" s="5">
        <f>COUNTIF(STATUS!$E:$E,A78)</f>
        <v>0</v>
      </c>
      <c r="C78" s="578">
        <f>SUMIFS(STATUS!$AA:$AA,STATUS!$E:$E,A78)</f>
        <v>0</v>
      </c>
      <c r="D78" s="578">
        <f t="shared" si="16"/>
        <v>0</v>
      </c>
      <c r="E78" s="578">
        <f t="shared" si="17"/>
        <v>0</v>
      </c>
      <c r="F78" s="579">
        <f t="shared" si="18"/>
        <v>0</v>
      </c>
    </row>
    <row r="79" spans="1:6" x14ac:dyDescent="0.35">
      <c r="A79" s="571">
        <v>44004</v>
      </c>
      <c r="B79" s="5">
        <f>COUNTIF(STATUS!$E:$E,A79)</f>
        <v>16</v>
      </c>
      <c r="C79" s="578">
        <f>SUMIFS(STATUS!$AA:$AA,STATUS!$E:$E,A79)</f>
        <v>0.22693287037037035</v>
      </c>
      <c r="D79" s="578">
        <f t="shared" si="16"/>
        <v>1.4183304398148147E-2</v>
      </c>
      <c r="E79" s="578">
        <f t="shared" si="17"/>
        <v>0.28366608796296294</v>
      </c>
      <c r="F79" s="579">
        <f t="shared" si="18"/>
        <v>5.6733217592592589E-2</v>
      </c>
    </row>
    <row r="80" spans="1:6" x14ac:dyDescent="0.35">
      <c r="A80" s="571">
        <v>44005</v>
      </c>
      <c r="B80" s="5">
        <f>COUNTIF(STATUS!$E:$E,A80)</f>
        <v>8</v>
      </c>
      <c r="C80" s="578">
        <f>SUMIFS(STATUS!$AA:$AA,STATUS!$E:$E,A80)</f>
        <v>9.5497685185185366E-2</v>
      </c>
      <c r="D80" s="578">
        <f t="shared" si="16"/>
        <v>1.1937210648148171E-2</v>
      </c>
      <c r="E80" s="578">
        <f t="shared" si="17"/>
        <v>0.23874421296296341</v>
      </c>
      <c r="F80" s="579">
        <f t="shared" si="18"/>
        <v>0.14324652777777805</v>
      </c>
    </row>
    <row r="81" spans="1:6" x14ac:dyDescent="0.35">
      <c r="A81" s="571">
        <v>44006</v>
      </c>
      <c r="B81" s="5">
        <f>COUNTIF(STATUS!$E:$E,A81)</f>
        <v>0</v>
      </c>
      <c r="C81" s="578">
        <f>SUMIFS(STATUS!$AA:$AA,STATUS!$E:$E,A81)</f>
        <v>0</v>
      </c>
      <c r="D81" s="578">
        <f t="shared" si="16"/>
        <v>0</v>
      </c>
      <c r="E81" s="578">
        <f t="shared" si="17"/>
        <v>0</v>
      </c>
      <c r="F81" s="579">
        <f t="shared" si="18"/>
        <v>0</v>
      </c>
    </row>
    <row r="82" spans="1:6" x14ac:dyDescent="0.35">
      <c r="A82" s="571">
        <v>44007</v>
      </c>
      <c r="B82" s="5">
        <f>COUNTIF(STATUS!$E:$E,A82)</f>
        <v>0</v>
      </c>
      <c r="C82" s="578">
        <f>SUMIFS(STATUS!$AA:$AA,STATUS!$E:$E,A82)</f>
        <v>0</v>
      </c>
      <c r="D82" s="578">
        <f t="shared" si="16"/>
        <v>0</v>
      </c>
      <c r="E82" s="578">
        <f t="shared" si="17"/>
        <v>0</v>
      </c>
      <c r="F82" s="579">
        <f t="shared" si="18"/>
        <v>0</v>
      </c>
    </row>
    <row r="83" spans="1:6" x14ac:dyDescent="0.35">
      <c r="A83" s="571">
        <v>44008</v>
      </c>
      <c r="B83" s="5">
        <f>COUNTIF(STATUS!$E:$E,A83)</f>
        <v>0</v>
      </c>
      <c r="C83" s="578">
        <f>SUMIFS(STATUS!$AA:$AA,STATUS!$E:$E,A83)</f>
        <v>0</v>
      </c>
      <c r="D83" s="578">
        <f t="shared" si="16"/>
        <v>0</v>
      </c>
      <c r="E83" s="578">
        <f t="shared" si="17"/>
        <v>0</v>
      </c>
      <c r="F83" s="579">
        <f t="shared" si="18"/>
        <v>0</v>
      </c>
    </row>
    <row r="84" spans="1:6" x14ac:dyDescent="0.35">
      <c r="A84" s="571">
        <v>44009</v>
      </c>
      <c r="B84" s="5">
        <f>COUNTIF(STATUS!$E:$E,A84)</f>
        <v>0</v>
      </c>
      <c r="C84" s="578">
        <f>SUMIFS(STATUS!$AA:$AA,STATUS!$E:$E,A84)</f>
        <v>0</v>
      </c>
      <c r="D84" s="578">
        <f t="shared" si="16"/>
        <v>0</v>
      </c>
      <c r="E84" s="578">
        <f t="shared" si="17"/>
        <v>0</v>
      </c>
      <c r="F84" s="579">
        <f t="shared" si="18"/>
        <v>0</v>
      </c>
    </row>
    <row r="85" spans="1:6" x14ac:dyDescent="0.35">
      <c r="A85" s="571">
        <v>44010</v>
      </c>
      <c r="B85" s="5">
        <f>COUNTIF(STATUS!$E:$E,A85)</f>
        <v>0</v>
      </c>
      <c r="C85" s="578">
        <f>SUMIFS(STATUS!$AA:$AA,STATUS!$E:$E,A85)</f>
        <v>0</v>
      </c>
      <c r="D85" s="578">
        <f t="shared" si="16"/>
        <v>0</v>
      </c>
      <c r="E85" s="578">
        <f t="shared" si="17"/>
        <v>0</v>
      </c>
      <c r="F85" s="579">
        <f t="shared" si="18"/>
        <v>0</v>
      </c>
    </row>
    <row r="86" spans="1:6" x14ac:dyDescent="0.35">
      <c r="A86" s="571">
        <v>44011</v>
      </c>
      <c r="B86" s="5">
        <f>COUNTIF(STATUS!$E:$E,A86)</f>
        <v>0</v>
      </c>
      <c r="C86" s="578">
        <f>SUMIFS(STATUS!$AA:$AA,STATUS!$E:$E,A86)</f>
        <v>0</v>
      </c>
      <c r="D86" s="578">
        <f t="shared" si="16"/>
        <v>0</v>
      </c>
      <c r="E86" s="578">
        <f t="shared" si="17"/>
        <v>0</v>
      </c>
      <c r="F86" s="579">
        <f t="shared" si="18"/>
        <v>0</v>
      </c>
    </row>
    <row r="87" spans="1:6" x14ac:dyDescent="0.35">
      <c r="A87" s="571">
        <v>44012</v>
      </c>
      <c r="B87" s="5">
        <f>COUNTIF(STATUS!$E:$E,A87)</f>
        <v>0</v>
      </c>
      <c r="C87" s="578">
        <f>SUMIFS(STATUS!$AA:$AA,STATUS!$E:$E,A87)</f>
        <v>0</v>
      </c>
      <c r="D87" s="578">
        <f t="shared" si="16"/>
        <v>0</v>
      </c>
      <c r="E87" s="578">
        <f t="shared" si="17"/>
        <v>0</v>
      </c>
      <c r="F87" s="579">
        <f t="shared" si="18"/>
        <v>0</v>
      </c>
    </row>
  </sheetData>
  <conditionalFormatting sqref="A1:A1048576">
    <cfRule type="timePeriod" dxfId="21" priority="2" timePeriod="today">
      <formula>FLOOR(A1,1)=TODAY()</formula>
    </cfRule>
  </conditionalFormatting>
  <conditionalFormatting sqref="B2:F100">
    <cfRule type="expression" dxfId="20" priority="1">
      <formula>$A2=TODAY()</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rgb="FF990099"/>
  </sheetPr>
  <dimension ref="A1:FZ9"/>
  <sheetViews>
    <sheetView zoomScale="80" zoomScaleNormal="80" workbookViewId="0">
      <pane xSplit="1" ySplit="2" topLeftCell="O3" activePane="bottomRight" state="frozen"/>
      <selection pane="topRight" activeCell="B1" sqref="B1"/>
      <selection pane="bottomLeft" activeCell="A3" sqref="A3"/>
      <selection pane="bottomRight" activeCell="GC9" sqref="GC9"/>
    </sheetView>
  </sheetViews>
  <sheetFormatPr defaultRowHeight="14.5" outlineLevelCol="1" x14ac:dyDescent="0.35"/>
  <cols>
    <col min="1" max="1" width="32.453125" customWidth="1"/>
    <col min="2" max="10" width="10.81640625" hidden="1" customWidth="1" outlineLevel="1"/>
    <col min="11" max="11" width="12.1796875" hidden="1" customWidth="1" outlineLevel="1"/>
    <col min="12" max="13" width="10.26953125" hidden="1" customWidth="1" outlineLevel="1"/>
    <col min="14" max="14" width="9.90625" hidden="1" customWidth="1" outlineLevel="1"/>
    <col min="15" max="15" width="9.90625" customWidth="1" collapsed="1"/>
    <col min="16" max="16" width="9.90625" hidden="1" customWidth="1" outlineLevel="1"/>
    <col min="17" max="24" width="8.7265625" hidden="1" customWidth="1" outlineLevel="1"/>
    <col min="25" max="25" width="8.7265625" collapsed="1"/>
    <col min="26" max="37" width="8.7265625" hidden="1" customWidth="1" outlineLevel="1"/>
    <col min="38" max="38" width="9.90625" bestFit="1" customWidth="1" collapsed="1"/>
    <col min="39" max="53" width="8.7265625" hidden="1" customWidth="1" outlineLevel="1"/>
    <col min="54" max="54" width="8.7265625" collapsed="1"/>
    <col min="55" max="69" width="8.7265625" hidden="1" customWidth="1" outlineLevel="1"/>
    <col min="70" max="70" width="8.7265625" collapsed="1"/>
    <col min="71" max="85" width="8.7265625" hidden="1" customWidth="1" outlineLevel="1"/>
    <col min="86" max="86" width="8.7265625" collapsed="1"/>
    <col min="87" max="101" width="8.7265625" hidden="1" customWidth="1" outlineLevel="1"/>
    <col min="102" max="102" width="8.7265625" collapsed="1"/>
    <col min="103" max="117" width="8.7265625" hidden="1" customWidth="1" outlineLevel="1"/>
    <col min="118" max="118" width="8.7265625" collapsed="1"/>
    <col min="119" max="133" width="8.7265625" hidden="1" customWidth="1" outlineLevel="1"/>
    <col min="134" max="134" width="8.7265625" collapsed="1"/>
    <col min="135" max="149" width="8.7265625" hidden="1" customWidth="1" outlineLevel="1"/>
    <col min="150" max="150" width="8.7265625" collapsed="1"/>
    <col min="151" max="165" width="8.7265625" hidden="1" customWidth="1" outlineLevel="1"/>
    <col min="166" max="166" width="8.7265625" collapsed="1"/>
    <col min="167" max="181" width="8.7265625" hidden="1" customWidth="1" outlineLevel="1"/>
    <col min="182" max="182" width="8.7265625" collapsed="1"/>
  </cols>
  <sheetData>
    <row r="1" spans="1:182" ht="15.5" customHeight="1" thickTop="1" thickBot="1" x14ac:dyDescent="0.4">
      <c r="A1" s="862" t="s">
        <v>1984</v>
      </c>
      <c r="B1" s="859" t="s">
        <v>220</v>
      </c>
      <c r="C1" s="860"/>
      <c r="D1" s="859" t="s">
        <v>275</v>
      </c>
      <c r="E1" s="860"/>
      <c r="F1" s="859" t="s">
        <v>649</v>
      </c>
      <c r="G1" s="860"/>
      <c r="H1" s="859" t="s">
        <v>656</v>
      </c>
      <c r="I1" s="860"/>
      <c r="J1" s="795" t="s">
        <v>8412</v>
      </c>
      <c r="K1" s="859" t="s">
        <v>7129</v>
      </c>
      <c r="L1" s="861"/>
      <c r="M1" s="861"/>
      <c r="N1" s="860"/>
      <c r="O1" s="795" t="s">
        <v>8022</v>
      </c>
      <c r="P1" s="857">
        <v>43957</v>
      </c>
      <c r="Q1" s="857"/>
      <c r="R1" s="857"/>
      <c r="S1" s="856">
        <v>43958</v>
      </c>
      <c r="T1" s="857"/>
      <c r="U1" s="858"/>
      <c r="V1" s="857">
        <v>43959</v>
      </c>
      <c r="W1" s="857"/>
      <c r="X1" s="857"/>
      <c r="Y1" s="854" t="s">
        <v>6394</v>
      </c>
      <c r="Z1" s="856">
        <v>43963</v>
      </c>
      <c r="AA1" s="857"/>
      <c r="AB1" s="858"/>
      <c r="AC1" s="857">
        <v>43964</v>
      </c>
      <c r="AD1" s="857"/>
      <c r="AE1" s="857"/>
      <c r="AF1" s="856">
        <v>43965</v>
      </c>
      <c r="AG1" s="857"/>
      <c r="AH1" s="858"/>
      <c r="AI1" s="857">
        <v>43966</v>
      </c>
      <c r="AJ1" s="857"/>
      <c r="AK1" s="858"/>
      <c r="AL1" s="854" t="s">
        <v>6393</v>
      </c>
      <c r="AM1" s="856">
        <v>43969</v>
      </c>
      <c r="AN1" s="857"/>
      <c r="AO1" s="858"/>
      <c r="AP1" s="857">
        <v>43970</v>
      </c>
      <c r="AQ1" s="857"/>
      <c r="AR1" s="857"/>
      <c r="AS1" s="856">
        <v>43971</v>
      </c>
      <c r="AT1" s="857"/>
      <c r="AU1" s="857"/>
      <c r="AV1" s="857">
        <v>43972</v>
      </c>
      <c r="AW1" s="857"/>
      <c r="AX1" s="857"/>
      <c r="AY1" s="857">
        <v>43973</v>
      </c>
      <c r="AZ1" s="857"/>
      <c r="BA1" s="857"/>
      <c r="BB1" s="854" t="s">
        <v>6395</v>
      </c>
      <c r="BC1" s="856">
        <v>43976</v>
      </c>
      <c r="BD1" s="857"/>
      <c r="BE1" s="858"/>
      <c r="BF1" s="857">
        <v>43977</v>
      </c>
      <c r="BG1" s="857"/>
      <c r="BH1" s="857"/>
      <c r="BI1" s="856">
        <v>43978</v>
      </c>
      <c r="BJ1" s="857"/>
      <c r="BK1" s="857"/>
      <c r="BL1" s="857">
        <v>43979</v>
      </c>
      <c r="BM1" s="857"/>
      <c r="BN1" s="857"/>
      <c r="BO1" s="857">
        <v>43980</v>
      </c>
      <c r="BP1" s="857"/>
      <c r="BQ1" s="857"/>
      <c r="BR1" s="854" t="s">
        <v>6512</v>
      </c>
      <c r="BS1" s="856">
        <v>43983</v>
      </c>
      <c r="BT1" s="857"/>
      <c r="BU1" s="858"/>
      <c r="BV1" s="857">
        <v>43984</v>
      </c>
      <c r="BW1" s="857"/>
      <c r="BX1" s="857"/>
      <c r="BY1" s="856">
        <v>43985</v>
      </c>
      <c r="BZ1" s="857"/>
      <c r="CA1" s="857"/>
      <c r="CB1" s="857">
        <v>43986</v>
      </c>
      <c r="CC1" s="857"/>
      <c r="CD1" s="857"/>
      <c r="CE1" s="857">
        <v>43987</v>
      </c>
      <c r="CF1" s="857"/>
      <c r="CG1" s="857"/>
      <c r="CH1" s="854" t="s">
        <v>6956</v>
      </c>
      <c r="CI1" s="856">
        <v>43990</v>
      </c>
      <c r="CJ1" s="857"/>
      <c r="CK1" s="858"/>
      <c r="CL1" s="857">
        <v>43991</v>
      </c>
      <c r="CM1" s="857"/>
      <c r="CN1" s="857"/>
      <c r="CO1" s="856">
        <v>43992</v>
      </c>
      <c r="CP1" s="857"/>
      <c r="CQ1" s="857"/>
      <c r="CR1" s="857">
        <v>43993</v>
      </c>
      <c r="CS1" s="857"/>
      <c r="CT1" s="857"/>
      <c r="CU1" s="857">
        <v>43994</v>
      </c>
      <c r="CV1" s="857"/>
      <c r="CW1" s="857"/>
      <c r="CX1" s="854" t="s">
        <v>6957</v>
      </c>
      <c r="CY1" s="856">
        <v>43997</v>
      </c>
      <c r="CZ1" s="857"/>
      <c r="DA1" s="858"/>
      <c r="DB1" s="857">
        <v>43998</v>
      </c>
      <c r="DC1" s="857"/>
      <c r="DD1" s="857"/>
      <c r="DE1" s="856">
        <v>43999</v>
      </c>
      <c r="DF1" s="857"/>
      <c r="DG1" s="857"/>
      <c r="DH1" s="857">
        <v>44000</v>
      </c>
      <c r="DI1" s="857"/>
      <c r="DJ1" s="857"/>
      <c r="DK1" s="857">
        <v>44001</v>
      </c>
      <c r="DL1" s="857"/>
      <c r="DM1" s="857"/>
      <c r="DN1" s="854" t="s">
        <v>7128</v>
      </c>
      <c r="DO1" s="856">
        <v>44004</v>
      </c>
      <c r="DP1" s="857"/>
      <c r="DQ1" s="858"/>
      <c r="DR1" s="857">
        <v>44005</v>
      </c>
      <c r="DS1" s="857"/>
      <c r="DT1" s="857"/>
      <c r="DU1" s="856">
        <v>44006</v>
      </c>
      <c r="DV1" s="857"/>
      <c r="DW1" s="857"/>
      <c r="DX1" s="857">
        <v>44007</v>
      </c>
      <c r="DY1" s="857"/>
      <c r="DZ1" s="857"/>
      <c r="EA1" s="857">
        <v>44008</v>
      </c>
      <c r="EB1" s="857"/>
      <c r="EC1" s="857"/>
      <c r="ED1" s="854" t="s">
        <v>8021</v>
      </c>
      <c r="EE1" s="856">
        <v>44011</v>
      </c>
      <c r="EF1" s="857"/>
      <c r="EG1" s="858"/>
      <c r="EH1" s="857">
        <v>44012</v>
      </c>
      <c r="EI1" s="857"/>
      <c r="EJ1" s="857"/>
      <c r="EK1" s="856">
        <v>44013</v>
      </c>
      <c r="EL1" s="857"/>
      <c r="EM1" s="857"/>
      <c r="EN1" s="857">
        <v>44014</v>
      </c>
      <c r="EO1" s="857"/>
      <c r="EP1" s="857"/>
      <c r="EQ1" s="857">
        <v>44015</v>
      </c>
      <c r="ER1" s="857"/>
      <c r="ES1" s="857"/>
      <c r="ET1" s="854" t="s">
        <v>8061</v>
      </c>
      <c r="EU1" s="856">
        <v>44018</v>
      </c>
      <c r="EV1" s="857"/>
      <c r="EW1" s="858"/>
      <c r="EX1" s="857">
        <v>44019</v>
      </c>
      <c r="EY1" s="857"/>
      <c r="EZ1" s="857"/>
      <c r="FA1" s="856">
        <v>44020</v>
      </c>
      <c r="FB1" s="857"/>
      <c r="FC1" s="857"/>
      <c r="FD1" s="857">
        <v>44021</v>
      </c>
      <c r="FE1" s="857"/>
      <c r="FF1" s="857"/>
      <c r="FG1" s="857">
        <v>44022</v>
      </c>
      <c r="FH1" s="857"/>
      <c r="FI1" s="857"/>
      <c r="FJ1" s="854" t="s">
        <v>8245</v>
      </c>
      <c r="FK1" s="856">
        <v>44025</v>
      </c>
      <c r="FL1" s="857"/>
      <c r="FM1" s="858"/>
      <c r="FN1" s="857">
        <v>44026</v>
      </c>
      <c r="FO1" s="857"/>
      <c r="FP1" s="857"/>
      <c r="FQ1" s="856">
        <v>44027</v>
      </c>
      <c r="FR1" s="857"/>
      <c r="FS1" s="857"/>
      <c r="FT1" s="857">
        <v>44028</v>
      </c>
      <c r="FU1" s="857"/>
      <c r="FV1" s="857"/>
      <c r="FW1" s="857">
        <v>44029</v>
      </c>
      <c r="FX1" s="857"/>
      <c r="FY1" s="857"/>
      <c r="FZ1" s="854" t="s">
        <v>8246</v>
      </c>
    </row>
    <row r="2" spans="1:182" ht="15.5" thickTop="1" thickBot="1" x14ac:dyDescent="0.4">
      <c r="A2" s="862"/>
      <c r="B2" s="681"/>
      <c r="C2" s="681" t="s">
        <v>6097</v>
      </c>
      <c r="D2" s="681"/>
      <c r="E2" s="681" t="s">
        <v>6097</v>
      </c>
      <c r="F2" s="755"/>
      <c r="G2" s="755" t="s">
        <v>6097</v>
      </c>
      <c r="H2" s="755"/>
      <c r="I2" s="755" t="s">
        <v>6097</v>
      </c>
      <c r="J2" s="796"/>
      <c r="K2" s="644" t="s">
        <v>6388</v>
      </c>
      <c r="L2" s="644" t="s">
        <v>6389</v>
      </c>
      <c r="M2" s="644" t="s">
        <v>7127</v>
      </c>
      <c r="N2" s="644" t="s">
        <v>6097</v>
      </c>
      <c r="O2" s="796"/>
      <c r="P2" s="594" t="s">
        <v>6388</v>
      </c>
      <c r="Q2" s="594" t="s">
        <v>6389</v>
      </c>
      <c r="R2" s="594" t="s">
        <v>6097</v>
      </c>
      <c r="S2" s="595" t="s">
        <v>6388</v>
      </c>
      <c r="T2" s="594" t="s">
        <v>6389</v>
      </c>
      <c r="U2" s="597" t="s">
        <v>6097</v>
      </c>
      <c r="V2" s="594" t="s">
        <v>6388</v>
      </c>
      <c r="W2" s="594" t="s">
        <v>6389</v>
      </c>
      <c r="X2" s="594" t="s">
        <v>6097</v>
      </c>
      <c r="Y2" s="855"/>
      <c r="Z2" s="595" t="s">
        <v>6388</v>
      </c>
      <c r="AA2" s="594" t="s">
        <v>6389</v>
      </c>
      <c r="AB2" s="597" t="s">
        <v>6097</v>
      </c>
      <c r="AC2" s="594" t="s">
        <v>6388</v>
      </c>
      <c r="AD2" s="594" t="s">
        <v>6389</v>
      </c>
      <c r="AE2" s="594" t="s">
        <v>6097</v>
      </c>
      <c r="AF2" s="595" t="s">
        <v>6388</v>
      </c>
      <c r="AG2" s="594" t="s">
        <v>6389</v>
      </c>
      <c r="AH2" s="597" t="s">
        <v>6097</v>
      </c>
      <c r="AI2" s="594" t="s">
        <v>6388</v>
      </c>
      <c r="AJ2" s="594" t="s">
        <v>6389</v>
      </c>
      <c r="AK2" s="608" t="s">
        <v>6097</v>
      </c>
      <c r="AL2" s="855"/>
      <c r="AM2" s="595" t="s">
        <v>6388</v>
      </c>
      <c r="AN2" s="594" t="s">
        <v>6389</v>
      </c>
      <c r="AO2" s="597" t="s">
        <v>6097</v>
      </c>
      <c r="AP2" s="594" t="s">
        <v>6388</v>
      </c>
      <c r="AQ2" s="594" t="s">
        <v>6389</v>
      </c>
      <c r="AR2" s="594" t="s">
        <v>6097</v>
      </c>
      <c r="AS2" s="595" t="s">
        <v>6388</v>
      </c>
      <c r="AT2" s="594" t="s">
        <v>6389</v>
      </c>
      <c r="AU2" s="594" t="s">
        <v>6097</v>
      </c>
      <c r="AV2" s="594" t="s">
        <v>6388</v>
      </c>
      <c r="AW2" s="594" t="s">
        <v>6389</v>
      </c>
      <c r="AX2" s="594" t="s">
        <v>6097</v>
      </c>
      <c r="AY2" s="594" t="s">
        <v>6388</v>
      </c>
      <c r="AZ2" s="594" t="s">
        <v>6389</v>
      </c>
      <c r="BA2" s="594" t="s">
        <v>6097</v>
      </c>
      <c r="BB2" s="855"/>
      <c r="BC2" s="623" t="s">
        <v>6388</v>
      </c>
      <c r="BD2" s="622" t="s">
        <v>6389</v>
      </c>
      <c r="BE2" s="624" t="s">
        <v>6097</v>
      </c>
      <c r="BF2" s="622" t="s">
        <v>6388</v>
      </c>
      <c r="BG2" s="622" t="s">
        <v>6389</v>
      </c>
      <c r="BH2" s="622" t="s">
        <v>6097</v>
      </c>
      <c r="BI2" s="623" t="s">
        <v>6388</v>
      </c>
      <c r="BJ2" s="622" t="s">
        <v>6389</v>
      </c>
      <c r="BK2" s="622" t="s">
        <v>6097</v>
      </c>
      <c r="BL2" s="622" t="s">
        <v>6388</v>
      </c>
      <c r="BM2" s="622" t="s">
        <v>6389</v>
      </c>
      <c r="BN2" s="622" t="s">
        <v>6097</v>
      </c>
      <c r="BO2" s="622" t="s">
        <v>6388</v>
      </c>
      <c r="BP2" s="622" t="s">
        <v>6389</v>
      </c>
      <c r="BQ2" s="622" t="s">
        <v>6097</v>
      </c>
      <c r="BR2" s="855"/>
      <c r="BS2" s="638" t="s">
        <v>6388</v>
      </c>
      <c r="BT2" s="637" t="s">
        <v>6389</v>
      </c>
      <c r="BU2" s="639" t="s">
        <v>6097</v>
      </c>
      <c r="BV2" s="637" t="s">
        <v>6388</v>
      </c>
      <c r="BW2" s="637" t="s">
        <v>6389</v>
      </c>
      <c r="BX2" s="637" t="s">
        <v>6097</v>
      </c>
      <c r="BY2" s="638" t="s">
        <v>6388</v>
      </c>
      <c r="BZ2" s="637" t="s">
        <v>6389</v>
      </c>
      <c r="CA2" s="637" t="s">
        <v>6097</v>
      </c>
      <c r="CB2" s="637" t="s">
        <v>6388</v>
      </c>
      <c r="CC2" s="637" t="s">
        <v>6389</v>
      </c>
      <c r="CD2" s="637" t="s">
        <v>6097</v>
      </c>
      <c r="CE2" s="637" t="s">
        <v>6388</v>
      </c>
      <c r="CF2" s="637" t="s">
        <v>6389</v>
      </c>
      <c r="CG2" s="637" t="s">
        <v>6097</v>
      </c>
      <c r="CH2" s="855"/>
      <c r="CI2" s="638" t="s">
        <v>6388</v>
      </c>
      <c r="CJ2" s="637" t="s">
        <v>6389</v>
      </c>
      <c r="CK2" s="639" t="s">
        <v>6097</v>
      </c>
      <c r="CL2" s="637" t="s">
        <v>6388</v>
      </c>
      <c r="CM2" s="637" t="s">
        <v>6389</v>
      </c>
      <c r="CN2" s="637" t="s">
        <v>6097</v>
      </c>
      <c r="CO2" s="638" t="s">
        <v>6388</v>
      </c>
      <c r="CP2" s="637" t="s">
        <v>6389</v>
      </c>
      <c r="CQ2" s="637" t="s">
        <v>6097</v>
      </c>
      <c r="CR2" s="637" t="s">
        <v>6388</v>
      </c>
      <c r="CS2" s="637" t="s">
        <v>6389</v>
      </c>
      <c r="CT2" s="637" t="s">
        <v>6097</v>
      </c>
      <c r="CU2" s="637" t="s">
        <v>6388</v>
      </c>
      <c r="CV2" s="637" t="s">
        <v>6389</v>
      </c>
      <c r="CW2" s="637" t="s">
        <v>6097</v>
      </c>
      <c r="CX2" s="855"/>
      <c r="CY2" s="641" t="s">
        <v>6388</v>
      </c>
      <c r="CZ2" s="642" t="s">
        <v>6389</v>
      </c>
      <c r="DA2" s="643" t="s">
        <v>6097</v>
      </c>
      <c r="DB2" s="642" t="s">
        <v>6388</v>
      </c>
      <c r="DC2" s="642" t="s">
        <v>6389</v>
      </c>
      <c r="DD2" s="642" t="s">
        <v>6097</v>
      </c>
      <c r="DE2" s="641" t="s">
        <v>6388</v>
      </c>
      <c r="DF2" s="642" t="s">
        <v>6389</v>
      </c>
      <c r="DG2" s="642" t="s">
        <v>6097</v>
      </c>
      <c r="DH2" s="642" t="s">
        <v>6388</v>
      </c>
      <c r="DI2" s="642" t="s">
        <v>6389</v>
      </c>
      <c r="DJ2" s="642" t="s">
        <v>6097</v>
      </c>
      <c r="DK2" s="642" t="s">
        <v>6388</v>
      </c>
      <c r="DL2" s="642" t="s">
        <v>6389</v>
      </c>
      <c r="DM2" s="642" t="s">
        <v>6097</v>
      </c>
      <c r="DN2" s="855"/>
      <c r="DO2" s="724" t="s">
        <v>6388</v>
      </c>
      <c r="DP2" s="723" t="s">
        <v>6389</v>
      </c>
      <c r="DQ2" s="725" t="s">
        <v>6097</v>
      </c>
      <c r="DR2" s="723" t="s">
        <v>6388</v>
      </c>
      <c r="DS2" s="723" t="s">
        <v>6389</v>
      </c>
      <c r="DT2" s="723" t="s">
        <v>6097</v>
      </c>
      <c r="DU2" s="724" t="s">
        <v>6388</v>
      </c>
      <c r="DV2" s="723" t="s">
        <v>6389</v>
      </c>
      <c r="DW2" s="723" t="s">
        <v>6097</v>
      </c>
      <c r="DX2" s="723" t="s">
        <v>6388</v>
      </c>
      <c r="DY2" s="723" t="s">
        <v>6389</v>
      </c>
      <c r="DZ2" s="723" t="s">
        <v>6097</v>
      </c>
      <c r="EA2" s="723" t="s">
        <v>6388</v>
      </c>
      <c r="EB2" s="723" t="s">
        <v>6389</v>
      </c>
      <c r="EC2" s="723" t="s">
        <v>6097</v>
      </c>
      <c r="ED2" s="855"/>
      <c r="EE2" s="726" t="s">
        <v>6388</v>
      </c>
      <c r="EF2" s="727" t="s">
        <v>6389</v>
      </c>
      <c r="EG2" s="728" t="s">
        <v>6097</v>
      </c>
      <c r="EH2" s="727" t="s">
        <v>6388</v>
      </c>
      <c r="EI2" s="727" t="s">
        <v>6389</v>
      </c>
      <c r="EJ2" s="727" t="s">
        <v>6097</v>
      </c>
      <c r="EK2" s="726" t="s">
        <v>6388</v>
      </c>
      <c r="EL2" s="727" t="s">
        <v>6389</v>
      </c>
      <c r="EM2" s="727" t="s">
        <v>6097</v>
      </c>
      <c r="EN2" s="727" t="s">
        <v>6388</v>
      </c>
      <c r="EO2" s="727" t="s">
        <v>6389</v>
      </c>
      <c r="EP2" s="727" t="s">
        <v>6097</v>
      </c>
      <c r="EQ2" s="727" t="s">
        <v>6388</v>
      </c>
      <c r="ER2" s="727" t="s">
        <v>6389</v>
      </c>
      <c r="ES2" s="727" t="s">
        <v>6097</v>
      </c>
      <c r="ET2" s="855"/>
      <c r="EU2" s="729" t="s">
        <v>6388</v>
      </c>
      <c r="EV2" s="730" t="s">
        <v>6389</v>
      </c>
      <c r="EW2" s="731" t="s">
        <v>6097</v>
      </c>
      <c r="EX2" s="730" t="s">
        <v>6388</v>
      </c>
      <c r="EY2" s="730" t="s">
        <v>6389</v>
      </c>
      <c r="EZ2" s="730" t="s">
        <v>6097</v>
      </c>
      <c r="FA2" s="729" t="s">
        <v>6388</v>
      </c>
      <c r="FB2" s="730" t="s">
        <v>6389</v>
      </c>
      <c r="FC2" s="730" t="s">
        <v>6097</v>
      </c>
      <c r="FD2" s="730" t="s">
        <v>6388</v>
      </c>
      <c r="FE2" s="730" t="s">
        <v>6389</v>
      </c>
      <c r="FF2" s="730" t="s">
        <v>6097</v>
      </c>
      <c r="FG2" s="730" t="s">
        <v>6388</v>
      </c>
      <c r="FH2" s="730" t="s">
        <v>6389</v>
      </c>
      <c r="FI2" s="730" t="s">
        <v>6097</v>
      </c>
      <c r="FJ2" s="855"/>
      <c r="FK2" s="733" t="s">
        <v>6388</v>
      </c>
      <c r="FL2" s="734" t="s">
        <v>6389</v>
      </c>
      <c r="FM2" s="735" t="s">
        <v>6097</v>
      </c>
      <c r="FN2" s="734" t="s">
        <v>6388</v>
      </c>
      <c r="FO2" s="734" t="s">
        <v>6389</v>
      </c>
      <c r="FP2" s="734" t="s">
        <v>6097</v>
      </c>
      <c r="FQ2" s="733" t="s">
        <v>6388</v>
      </c>
      <c r="FR2" s="734" t="s">
        <v>6389</v>
      </c>
      <c r="FS2" s="734" t="s">
        <v>6097</v>
      </c>
      <c r="FT2" s="734" t="s">
        <v>6388</v>
      </c>
      <c r="FU2" s="734" t="s">
        <v>6389</v>
      </c>
      <c r="FV2" s="734" t="s">
        <v>6097</v>
      </c>
      <c r="FW2" s="734" t="s">
        <v>6388</v>
      </c>
      <c r="FX2" s="734" t="s">
        <v>6389</v>
      </c>
      <c r="FY2" s="734" t="s">
        <v>6097</v>
      </c>
      <c r="FZ2" s="855"/>
    </row>
    <row r="3" spans="1:182" ht="15" thickTop="1" x14ac:dyDescent="0.35">
      <c r="A3" s="675" t="s">
        <v>2056</v>
      </c>
      <c r="B3" s="671">
        <f>COUNTIFS(STATUS!$Q:$Q,ДЕЛА!$A3,STATUS!$H:$H,ДЕЛА!B$1)</f>
        <v>467</v>
      </c>
      <c r="C3" s="672">
        <f>B3/$L3</f>
        <v>0.96487603305785119</v>
      </c>
      <c r="D3" s="671">
        <f>COUNTIFS(STATUS!$Q:$Q,ДЕЛА!$A3,STATUS!$H:$H,ДЕЛА!D$1)</f>
        <v>15</v>
      </c>
      <c r="E3" s="672">
        <f t="shared" ref="E3:E8" si="0">D3/$L3</f>
        <v>3.0991735537190084E-2</v>
      </c>
      <c r="F3" s="671">
        <f>COUNTIFS(STATUS!$Q:$Q,ДЕЛА!$A3,STATUS!$I:$I,ДЕЛА!F$1)</f>
        <v>41</v>
      </c>
      <c r="G3" s="672">
        <f t="shared" ref="G3:G8" si="1">F3/$L3</f>
        <v>8.4710743801652888E-2</v>
      </c>
      <c r="H3" s="671">
        <f>COUNTIFS(STATUS!$Q:$Q,ДЕЛА!$A3,STATUS!$I:$I,ДЕЛА!H$1)</f>
        <v>39</v>
      </c>
      <c r="I3" s="672">
        <f t="shared" ref="I3:I8" si="2">H3/$L3</f>
        <v>8.057851239669421E-2</v>
      </c>
      <c r="J3" s="671">
        <f>COUNTIFS(STATUS!$Q:$Q,ДЕЛА!$A3,STATUS!$S:$S,"На доработку")</f>
        <v>0</v>
      </c>
      <c r="K3" s="671">
        <f>COUNTIFS(STATUS!Q:Q,ДЕЛА!A3,STATUS!$S:$S,"Согласовано")</f>
        <v>470</v>
      </c>
      <c r="L3" s="671">
        <f>COUNTIFS(STATUS!$Q:$Q,ДЕЛА!$A3)</f>
        <v>484</v>
      </c>
      <c r="M3" s="671">
        <f>L3-K3</f>
        <v>14</v>
      </c>
      <c r="N3" s="672">
        <f>K3/L3</f>
        <v>0.97107438016528924</v>
      </c>
      <c r="O3" s="671">
        <f t="shared" ref="O3:O8" si="3">M3</f>
        <v>14</v>
      </c>
      <c r="P3" s="600">
        <f>COUNTIFS(STATUS!$Q:$Q,ДЕЛА!$A3,STATUS!$D:$D,ДЕЛА!P$1,STATUS!$S:$S,"Согласовано")</f>
        <v>2</v>
      </c>
      <c r="Q3" s="404">
        <f>COUNTIFS(STATUS!$Q:$Q,ДЕЛА!$A3,STATUS!$D:$D,ДЕЛА!P$1)</f>
        <v>2</v>
      </c>
      <c r="R3" s="601">
        <f>IFERROR(P3/Q3,1)</f>
        <v>1</v>
      </c>
      <c r="S3" s="406">
        <f>COUNTIFS(STATUS!$Q:$Q,ДЕЛА!$A3,STATUS!$D:$D,ДЕЛА!S$1,STATUS!$S:$S,"Согласовано")</f>
        <v>2</v>
      </c>
      <c r="T3" s="404">
        <f>COUNTIFS(STATUS!$Q:$Q,ДЕЛА!$A3,STATUS!$D:$D,ДЕЛА!S$1)</f>
        <v>2</v>
      </c>
      <c r="U3" s="598">
        <f>IFERROR(S3/T3,1)</f>
        <v>1</v>
      </c>
      <c r="V3" s="600">
        <f>COUNTIFS(STATUS!$Q:$Q,ДЕЛА!$A3,STATUS!$D:$D,ДЕЛА!V$1,STATUS!$S:$S,"Согласовано")</f>
        <v>1</v>
      </c>
      <c r="W3" s="404">
        <f>COUNTIFS(STATUS!$Q:$Q,ДЕЛА!$A3,STATUS!$D:$D,ДЕЛА!V$1)</f>
        <v>1</v>
      </c>
      <c r="X3" s="601">
        <f>IFERROR(V3/W3,1)</f>
        <v>1</v>
      </c>
      <c r="Y3" s="610">
        <f>SUM(Q3,T3,W3)-SUM(P3,S3,V3)</f>
        <v>0</v>
      </c>
      <c r="Z3" s="406">
        <f>COUNTIFS(STATUS!$Q:$Q,ДЕЛА!$A3,STATUS!$D:$D,ДЕЛА!Z$1,STATUS!$S:$S,"Согласовано")</f>
        <v>4</v>
      </c>
      <c r="AA3" s="404">
        <f>COUNTIFS(STATUS!$Q:$Q,ДЕЛА!$A3,STATUS!$D:$D,ДЕЛА!Z$1)</f>
        <v>4</v>
      </c>
      <c r="AB3" s="598">
        <f>IFERROR(Z3/AA3,1)</f>
        <v>1</v>
      </c>
      <c r="AC3" s="600">
        <f>COUNTIFS(STATUS!$Q:$Q,ДЕЛА!$A3,STATUS!$D:$D,ДЕЛА!AC$1,STATUS!$S:$S,"Согласовано")</f>
        <v>6</v>
      </c>
      <c r="AD3" s="404">
        <f>COUNTIFS(STATUS!$Q:$Q,ДЕЛА!$A3,STATUS!$D:$D,ДЕЛА!AC$1)</f>
        <v>6</v>
      </c>
      <c r="AE3" s="598">
        <f>IFERROR(AC3/AD3,1)</f>
        <v>1</v>
      </c>
      <c r="AF3" s="406">
        <f>COUNTIFS(STATUS!$Q:$Q,ДЕЛА!$A3,STATUS!$D:$D,ДЕЛА!AF$1,STATUS!$S:$S,"Согласовано")</f>
        <v>7</v>
      </c>
      <c r="AG3" s="404">
        <f>COUNTIFS(STATUS!$Q:$Q,ДЕЛА!$A3,STATUS!$D:$D,ДЕЛА!AF$1)</f>
        <v>7</v>
      </c>
      <c r="AH3" s="598">
        <f>IFERROR(AF3/AG3,1)</f>
        <v>1</v>
      </c>
      <c r="AI3" s="600">
        <f>COUNTIFS(STATUS!$Q:$Q,ДЕЛА!$A3,STATUS!$D:$D,ДЕЛА!AI$1,STATUS!$S:$S,"Согласовано")</f>
        <v>6</v>
      </c>
      <c r="AJ3" s="404">
        <f>COUNTIFS(STATUS!$Q:$Q,ДЕЛА!$A3,STATUS!$D:$D,ДЕЛА!AI$1)</f>
        <v>6</v>
      </c>
      <c r="AK3" s="598">
        <f>IFERROR(AI3/AJ3,1)</f>
        <v>1</v>
      </c>
      <c r="AL3" s="610">
        <f>SUM(AA3,AD3,AG3,AJ3)-SUM(Z3,AC3,AF3,AI3)</f>
        <v>0</v>
      </c>
      <c r="AM3" s="600">
        <f>COUNTIFS(STATUS!$Q:$Q,ДЕЛА!$A3,STATUS!$D:$D,ДЕЛА!AM$1,STATUS!$S:$S,"Согласовано")</f>
        <v>5</v>
      </c>
      <c r="AN3" s="404">
        <f>COUNTIFS(STATUS!$Q:$Q,ДЕЛА!$A3,STATUS!$D:$D,ДЕЛА!AM$1)</f>
        <v>5</v>
      </c>
      <c r="AO3" s="598">
        <f>IFERROR(AM3/AN3,1)</f>
        <v>1</v>
      </c>
      <c r="AP3" s="600">
        <f>COUNTIFS(STATUS!$Q:$Q,ДЕЛА!$A3,STATUS!$D:$D,ДЕЛА!AP$1,STATUS!$S:$S,"Согласовано")</f>
        <v>5</v>
      </c>
      <c r="AQ3" s="404">
        <f>COUNTIFS(STATUS!$Q:$Q,ДЕЛА!$A3,STATUS!$D:$D,ДЕЛА!AP$1)</f>
        <v>5</v>
      </c>
      <c r="AR3" s="598">
        <f>IFERROR(AP3/AQ3,1)</f>
        <v>1</v>
      </c>
      <c r="AS3" s="600">
        <f>COUNTIFS(STATUS!$Q:$Q,ДЕЛА!$A3,STATUS!$D:$D,ДЕЛА!AS$1,STATUS!$S:$S,"Согласовано")</f>
        <v>5</v>
      </c>
      <c r="AT3" s="404">
        <f>COUNTIFS(STATUS!$Q:$Q,ДЕЛА!$A3,STATUS!$D:$D,ДЕЛА!AS$1)</f>
        <v>5</v>
      </c>
      <c r="AU3" s="598">
        <f>IFERROR(AS3/AT3,1)</f>
        <v>1</v>
      </c>
      <c r="AV3" s="600">
        <f>COUNTIFS(STATUS!$Q:$Q,ДЕЛА!$A3,STATUS!$D:$D,ДЕЛА!AV$1,STATUS!$S:$S,"Согласовано")</f>
        <v>5</v>
      </c>
      <c r="AW3" s="404">
        <f>COUNTIFS(STATUS!$Q:$Q,ДЕЛА!$A3,STATUS!$D:$D,ДЕЛА!AV$1)</f>
        <v>5</v>
      </c>
      <c r="AX3" s="598">
        <f>IFERROR(AV3/AW3,1)</f>
        <v>1</v>
      </c>
      <c r="AY3" s="600">
        <f>COUNTIFS(STATUS!$Q:$Q,ДЕЛА!$A3,STATUS!$D:$D,ДЕЛА!AY$1,STATUS!$S:$S,"Согласовано")</f>
        <v>4</v>
      </c>
      <c r="AZ3" s="404">
        <f>COUNTIFS(STATUS!$Q:$Q,ДЕЛА!$A3,STATUS!$D:$D,ДЕЛА!AY$1)</f>
        <v>4</v>
      </c>
      <c r="BA3" s="598">
        <f>IFERROR(AY3/AZ3,1)</f>
        <v>1</v>
      </c>
      <c r="BB3" s="610">
        <f>SUM(AN3,AQ3,AT3,AW3,AZ3)-SUM(AM3,AP3,AS3,AV3,AY3)</f>
        <v>0</v>
      </c>
      <c r="BC3" s="600">
        <f>COUNTIFS(STATUS!$Q:$Q,ДЕЛА!$A3,STATUS!$D:$D,ДЕЛА!BC$1,STATUS!$S:$S,"Согласовано")</f>
        <v>3</v>
      </c>
      <c r="BD3" s="404">
        <f>COUNTIFS(STATUS!$Q:$Q,ДЕЛА!$A3,STATUS!$D:$D,ДЕЛА!BC$1)</f>
        <v>3</v>
      </c>
      <c r="BE3" s="598">
        <f>IFERROR(BC3/BD3,1)</f>
        <v>1</v>
      </c>
      <c r="BF3" s="600">
        <f>COUNTIFS(STATUS!$Q:$Q,ДЕЛА!$A3,STATUS!$D:$D,ДЕЛА!BF$1,STATUS!$S:$S,"Согласовано")</f>
        <v>3</v>
      </c>
      <c r="BG3" s="404">
        <f>COUNTIFS(STATUS!$Q:$Q,ДЕЛА!$A3,STATUS!$D:$D,ДЕЛА!BF$1)</f>
        <v>3</v>
      </c>
      <c r="BH3" s="598">
        <f>IFERROR(BF3/BG3,1)</f>
        <v>1</v>
      </c>
      <c r="BI3" s="600">
        <f>COUNTIFS(STATUS!$Q:$Q,ДЕЛА!$A3,STATUS!$D:$D,ДЕЛА!BI$1,STATUS!$S:$S,"Согласовано")</f>
        <v>11</v>
      </c>
      <c r="BJ3" s="404">
        <f>COUNTIFS(STATUS!$Q:$Q,ДЕЛА!$A3,STATUS!$D:$D,ДЕЛА!BI$1)</f>
        <v>11</v>
      </c>
      <c r="BK3" s="598">
        <f>IFERROR(BI3/BJ3,1)</f>
        <v>1</v>
      </c>
      <c r="BL3" s="600">
        <f>COUNTIFS(STATUS!$Q:$Q,ДЕЛА!$A3,STATUS!$D:$D,ДЕЛА!BL$1,STATUS!$S:$S,"Согласовано")</f>
        <v>0</v>
      </c>
      <c r="BM3" s="404">
        <f>COUNTIFS(STATUS!$Q:$Q,ДЕЛА!$A3,STATUS!$D:$D,ДЕЛА!BL$1)</f>
        <v>0</v>
      </c>
      <c r="BN3" s="598">
        <f>IFERROR(BL3/BM3,1)</f>
        <v>1</v>
      </c>
      <c r="BO3" s="600">
        <f>COUNTIFS(STATUS!$Q:$Q,ДЕЛА!$A3,STATUS!$D:$D,ДЕЛА!BO$1,STATUS!$S:$S,"Согласовано")</f>
        <v>0</v>
      </c>
      <c r="BP3" s="404">
        <f>COUNTIFS(STATUS!$Q:$Q,ДЕЛА!$A3,STATUS!$D:$D,ДЕЛА!BO$1)</f>
        <v>0</v>
      </c>
      <c r="BQ3" s="598">
        <f>IFERROR(BO3/BP3,1)</f>
        <v>1</v>
      </c>
      <c r="BR3" s="610">
        <f>SUM(BD3,BG3,BJ3,BM3,BP3)-SUM(BC3,BF3,BI3,BL3,BO3)</f>
        <v>0</v>
      </c>
      <c r="BS3" s="600">
        <f>COUNTIFS(STATUS!$Q:$Q,ДЕЛА!$A3,STATUS!$D:$D,ДЕЛА!BS$1,STATUS!$S:$S,"Согласовано")</f>
        <v>17</v>
      </c>
      <c r="BT3" s="404">
        <f>COUNTIFS(STATUS!$Q:$Q,ДЕЛА!$A3,STATUS!$D:$D,ДЕЛА!BS$1)</f>
        <v>17</v>
      </c>
      <c r="BU3" s="598">
        <f>IFERROR(BS3/BT3,1)</f>
        <v>1</v>
      </c>
      <c r="BV3" s="600">
        <f>COUNTIFS(STATUS!$Q:$Q,ДЕЛА!$A3,STATUS!$D:$D,ДЕЛА!BV$1,STATUS!$S:$S,"Согласовано")</f>
        <v>2</v>
      </c>
      <c r="BW3" s="404">
        <f>COUNTIFS(STATUS!$Q:$Q,ДЕЛА!$A3,STATUS!$D:$D,ДЕЛА!BV$1)</f>
        <v>2</v>
      </c>
      <c r="BX3" s="598">
        <f>IFERROR(BV3/BW3,1)</f>
        <v>1</v>
      </c>
      <c r="BY3" s="600">
        <f>COUNTIFS(STATUS!$Q:$Q,ДЕЛА!$A3,STATUS!$D:$D,ДЕЛА!BY$1,STATUS!$S:$S,"Согласовано")</f>
        <v>1</v>
      </c>
      <c r="BZ3" s="404">
        <f>COUNTIFS(STATUS!$Q:$Q,ДЕЛА!$A3,STATUS!$D:$D,ДЕЛА!BY$1)</f>
        <v>1</v>
      </c>
      <c r="CA3" s="598">
        <f>IFERROR(BY3/BZ3,1)</f>
        <v>1</v>
      </c>
      <c r="CB3" s="600">
        <f>COUNTIFS(STATUS!$Q:$Q,ДЕЛА!$A3,STATUS!$D:$D,ДЕЛА!CB$1,STATUS!$S:$S,"Согласовано")</f>
        <v>3</v>
      </c>
      <c r="CC3" s="404">
        <f>COUNTIFS(STATUS!$Q:$Q,ДЕЛА!$A3,STATUS!$D:$D,ДЕЛА!CB$1)</f>
        <v>3</v>
      </c>
      <c r="CD3" s="598">
        <f>IFERROR(CB3/CC3,1)</f>
        <v>1</v>
      </c>
      <c r="CE3" s="600">
        <f>COUNTIFS(STATUS!$Q:$Q,ДЕЛА!$A3,STATUS!$D:$D,ДЕЛА!CE$1,STATUS!$S:$S,"Согласовано")</f>
        <v>3</v>
      </c>
      <c r="CF3" s="404">
        <f>COUNTIFS(STATUS!$Q:$Q,ДЕЛА!$A3,STATUS!$D:$D,ДЕЛА!CE$1)</f>
        <v>3</v>
      </c>
      <c r="CG3" s="598">
        <f>IFERROR(CE3/CF3,1)</f>
        <v>1</v>
      </c>
      <c r="CH3" s="610">
        <f>SUM(BT3,BW3,BZ3,CC3,CF3)-SUM(BS3,BV3,BY3,CB3,CE3)</f>
        <v>0</v>
      </c>
      <c r="CI3" s="600">
        <f>COUNTIFS(STATUS!$Q:$Q,ДЕЛА!$A3,STATUS!$D:$D,ДЕЛА!CI$1,STATUS!$S:$S,"Согласовано")</f>
        <v>3</v>
      </c>
      <c r="CJ3" s="404">
        <f>COUNTIFS(STATUS!$Q:$Q,ДЕЛА!$A3,STATUS!$D:$D,ДЕЛА!CI$1)</f>
        <v>3</v>
      </c>
      <c r="CK3" s="598">
        <f>IFERROR(CI3/CJ3,1)</f>
        <v>1</v>
      </c>
      <c r="CL3" s="600">
        <f>COUNTIFS(STATUS!$Q:$Q,ДЕЛА!$A3,STATUS!$D:$D,ДЕЛА!CL$1,STATUS!$S:$S,"Согласовано")</f>
        <v>5</v>
      </c>
      <c r="CM3" s="404">
        <f>COUNTIFS(STATUS!$Q:$Q,ДЕЛА!$A3,STATUS!$D:$D,ДЕЛА!CL$1)</f>
        <v>5</v>
      </c>
      <c r="CN3" s="598">
        <f>IFERROR(CL3/CM3,1)</f>
        <v>1</v>
      </c>
      <c r="CO3" s="600">
        <f>COUNTIFS(STATUS!$Q:$Q,ДЕЛА!$A3,STATUS!$D:$D,ДЕЛА!CO$1,STATUS!$S:$S,"Согласовано")</f>
        <v>3</v>
      </c>
      <c r="CP3" s="404">
        <f>COUNTIFS(STATUS!$Q:$Q,ДЕЛА!$A3,STATUS!$D:$D,ДЕЛА!CO$1)</f>
        <v>3</v>
      </c>
      <c r="CQ3" s="598">
        <f>IFERROR(CO3/CP3,1)</f>
        <v>1</v>
      </c>
      <c r="CR3" s="600">
        <f>COUNTIFS(STATUS!$Q:$Q,ДЕЛА!$A3,STATUS!$D:$D,ДЕЛА!CR$1,STATUS!$S:$S,"Согласовано")</f>
        <v>4</v>
      </c>
      <c r="CS3" s="404">
        <f>COUNTIFS(STATUS!$Q:$Q,ДЕЛА!$A3,STATUS!$D:$D,ДЕЛА!CR$1)</f>
        <v>4</v>
      </c>
      <c r="CT3" s="598">
        <f>IFERROR(CR3/CS3,1)</f>
        <v>1</v>
      </c>
      <c r="CU3" s="600">
        <f>COUNTIFS(STATUS!$Q:$Q,ДЕЛА!$A3,STATUS!$D:$D,ДЕЛА!CU$1,STATUS!$S:$S,"Согласовано")</f>
        <v>0</v>
      </c>
      <c r="CV3" s="404">
        <f>COUNTIFS(STATUS!$Q:$Q,ДЕЛА!$A3,STATUS!$D:$D,ДЕЛА!CU$1)</f>
        <v>0</v>
      </c>
      <c r="CW3" s="598">
        <f>IFERROR(CU3/CV3,1)</f>
        <v>1</v>
      </c>
      <c r="CX3" s="610">
        <f>SUM(CJ3,CM3,CP3,CS3,CV3)-SUM(CI3,CL3,CO3,CR3,CU3)</f>
        <v>0</v>
      </c>
      <c r="CY3" s="600">
        <f>COUNTIFS(STATUS!$Q:$Q,ДЕЛА!$A3,STATUS!$D:$D,ДЕЛА!CY$1,STATUS!$S:$S,"Согласовано")</f>
        <v>2</v>
      </c>
      <c r="CZ3" s="404">
        <f>COUNTIFS(STATUS!$Q:$Q,ДЕЛА!$A3,STATUS!$D:$D,ДЕЛА!CY$1)</f>
        <v>2</v>
      </c>
      <c r="DA3" s="598">
        <f>IFERROR(CY3/CZ3,1)</f>
        <v>1</v>
      </c>
      <c r="DB3" s="600">
        <f>COUNTIFS(STATUS!$Q:$Q,ДЕЛА!$A3,STATUS!$D:$D,ДЕЛА!DB$1,STATUS!$S:$S,"Согласовано")</f>
        <v>42</v>
      </c>
      <c r="DC3" s="404">
        <f>COUNTIFS(STATUS!$Q:$Q,ДЕЛА!$A3,STATUS!$D:$D,ДЕЛА!DB$1)</f>
        <v>42</v>
      </c>
      <c r="DD3" s="598">
        <f>IFERROR(DB3/DC3,1)</f>
        <v>1</v>
      </c>
      <c r="DE3" s="600">
        <f>COUNTIFS(STATUS!$Q:$Q,ДЕЛА!$A3,STATUS!$D:$D,ДЕЛА!DE$1,STATUS!$S:$S,"Согласовано")</f>
        <v>3</v>
      </c>
      <c r="DF3" s="404">
        <f>COUNTIFS(STATUS!$Q:$Q,ДЕЛА!$A3,STATUS!$D:$D,ДЕЛА!DE$1)</f>
        <v>3</v>
      </c>
      <c r="DG3" s="598">
        <f>IFERROR(DE3/DF3,1)</f>
        <v>1</v>
      </c>
      <c r="DH3" s="600">
        <f>COUNTIFS(STATUS!$Q:$Q,ДЕЛА!$A3,STATUS!$D:$D,ДЕЛА!DH$1,STATUS!$S:$S,"Согласовано")</f>
        <v>2</v>
      </c>
      <c r="DI3" s="404">
        <f>COUNTIFS(STATUS!$Q:$Q,ДЕЛА!$A3,STATUS!$D:$D,ДЕЛА!DH$1)</f>
        <v>2</v>
      </c>
      <c r="DJ3" s="598">
        <f>IFERROR(DH3/DI3,1)</f>
        <v>1</v>
      </c>
      <c r="DK3" s="600">
        <f>COUNTIFS(STATUS!$Q:$Q,ДЕЛА!$A3,STATUS!$D:$D,ДЕЛА!DK$1,STATUS!$S:$S,"Согласовано")</f>
        <v>4</v>
      </c>
      <c r="DL3" s="404">
        <f>COUNTIFS(STATUS!$Q:$Q,ДЕЛА!$A3,STATUS!$D:$D,ДЕЛА!DK$1)</f>
        <v>4</v>
      </c>
      <c r="DM3" s="598">
        <f>IFERROR(DK3/DL3,1)</f>
        <v>1</v>
      </c>
      <c r="DN3" s="610">
        <f>SUM(CZ3,DC3,DF3,DI3,DL3)-SUM(CY3,DB3,DE3,DH3,DK3)</f>
        <v>0</v>
      </c>
      <c r="DO3" s="600">
        <f>COUNTIFS(STATUS!$Q:$Q,ДЕЛА!$A3,STATUS!$D:$D,ДЕЛА!DO$1,STATUS!$S:$S,"Согласовано")</f>
        <v>3</v>
      </c>
      <c r="DP3" s="404">
        <f>COUNTIFS(STATUS!$Q:$Q,ДЕЛА!$A3,STATUS!$D:$D,ДЕЛА!DO$1)</f>
        <v>3</v>
      </c>
      <c r="DQ3" s="598">
        <f>IFERROR(DO3/DP3,1)</f>
        <v>1</v>
      </c>
      <c r="DR3" s="600">
        <f>COUNTIFS(STATUS!$Q:$Q,ДЕЛА!$A3,STATUS!$D:$D,ДЕЛА!DR$1,STATUS!$S:$S,"Согласовано")</f>
        <v>7</v>
      </c>
      <c r="DS3" s="404">
        <f>COUNTIFS(STATUS!$Q:$Q,ДЕЛА!$A3,STATUS!$D:$D,ДЕЛА!DR$1)</f>
        <v>7</v>
      </c>
      <c r="DT3" s="598">
        <f>IFERROR(DR3/DS3,1)</f>
        <v>1</v>
      </c>
      <c r="DU3" s="600">
        <f>COUNTIFS(STATUS!$Q:$Q,ДЕЛА!$A3,STATUS!$D:$D,ДЕЛА!DU$1,STATUS!$S:$S,"Согласовано")</f>
        <v>0</v>
      </c>
      <c r="DV3" s="404">
        <f>COUNTIFS(STATUS!$Q:$Q,ДЕЛА!$A3,STATUS!$D:$D,ДЕЛА!DU$1)</f>
        <v>0</v>
      </c>
      <c r="DW3" s="598">
        <f>IFERROR(DU3/DV3,1)</f>
        <v>1</v>
      </c>
      <c r="DX3" s="600">
        <f>COUNTIFS(STATUS!$Q:$Q,ДЕЛА!$A3,STATUS!$D:$D,ДЕЛА!DX$1,STATUS!$S:$S,"Согласовано")</f>
        <v>7</v>
      </c>
      <c r="DY3" s="404">
        <f>COUNTIFS(STATUS!$Q:$Q,ДЕЛА!$A3,STATUS!$D:$D,ДЕЛА!DX$1)</f>
        <v>7</v>
      </c>
      <c r="DZ3" s="598">
        <f>IFERROR(DX3/DY3,1)</f>
        <v>1</v>
      </c>
      <c r="EA3" s="600">
        <f>COUNTIFS(STATUS!$Q:$Q,ДЕЛА!$A3,STATUS!$D:$D,ДЕЛА!EA$1,STATUS!$S:$S,"Согласовано")</f>
        <v>2</v>
      </c>
      <c r="EB3" s="404">
        <f>COUNTIFS(STATUS!$Q:$Q,ДЕЛА!$A3,STATUS!$D:$D,ДЕЛА!EA$1)</f>
        <v>2</v>
      </c>
      <c r="EC3" s="598">
        <f>IFERROR(EA3/EB3,1)</f>
        <v>1</v>
      </c>
      <c r="ED3" s="610">
        <f>SUM(DP3,DS3,DV3,DY3,EB3)-SUM(DO3,DR3,DU3,DX3,EA3)</f>
        <v>0</v>
      </c>
      <c r="EE3" s="600">
        <f>COUNTIFS(STATUS!$Q:$Q,ДЕЛА!$A3,STATUS!$D:$D,ДЕЛА!EE$1,STATUS!$S:$S,"Согласовано")</f>
        <v>4</v>
      </c>
      <c r="EF3" s="404">
        <f>COUNTIFS(STATUS!$Q:$Q,ДЕЛА!$A3,STATUS!$D:$D,ДЕЛА!EE$1)</f>
        <v>5</v>
      </c>
      <c r="EG3" s="598">
        <f>IFERROR(EE3/EF3,1)</f>
        <v>0.8</v>
      </c>
      <c r="EH3" s="600">
        <f>COUNTIFS(STATUS!$Q:$Q,ДЕЛА!$A3,STATUS!$D:$D,ДЕЛА!EH$1,STATUS!$S:$S,"Согласовано")</f>
        <v>0</v>
      </c>
      <c r="EI3" s="404">
        <f>COUNTIFS(STATUS!$Q:$Q,ДЕЛА!$A3,STATUS!$D:$D,ДЕЛА!EH$1)</f>
        <v>0</v>
      </c>
      <c r="EJ3" s="598">
        <f>IFERROR(EH3/EI3,1)</f>
        <v>1</v>
      </c>
      <c r="EK3" s="600">
        <f>COUNTIFS(STATUS!$Q:$Q,ДЕЛА!$A3,STATUS!$D:$D,ДЕЛА!EK$1,STATUS!$S:$S,"Согласовано")</f>
        <v>0</v>
      </c>
      <c r="EL3" s="404">
        <f>COUNTIFS(STATUS!$Q:$Q,ДЕЛА!$A3,STATUS!$D:$D,ДЕЛА!EK$1)</f>
        <v>0</v>
      </c>
      <c r="EM3" s="598">
        <f>IFERROR(EK3/EL3,1)</f>
        <v>1</v>
      </c>
      <c r="EN3" s="600">
        <f>COUNTIFS(STATUS!$Q:$Q,ДЕЛА!$A3,STATUS!$D:$D,ДЕЛА!EN$1,STATUS!$S:$S,"Согласовано")</f>
        <v>0</v>
      </c>
      <c r="EO3" s="404">
        <f>COUNTIFS(STATUS!$Q:$Q,ДЕЛА!$A3,STATUS!$D:$D,ДЕЛА!EN$1)</f>
        <v>0</v>
      </c>
      <c r="EP3" s="598">
        <f>IFERROR(EN3/EO3,1)</f>
        <v>1</v>
      </c>
      <c r="EQ3" s="600">
        <f>COUNTIFS(STATUS!$Q:$Q,ДЕЛА!$A3,STATUS!$D:$D,ДЕЛА!EQ$1,STATUS!$S:$S,"Согласовано")</f>
        <v>0</v>
      </c>
      <c r="ER3" s="404">
        <f>COUNTIFS(STATUS!$Q:$Q,ДЕЛА!$A3,STATUS!$D:$D,ДЕЛА!EQ$1)</f>
        <v>0</v>
      </c>
      <c r="ES3" s="598">
        <f>IFERROR(EQ3/ER3,1)</f>
        <v>1</v>
      </c>
      <c r="ET3" s="610">
        <f>SUM(EF3,EI3,EL3,EO3,ER3)-SUM(EE3,EH3,EK3,EN3,EQ3)</f>
        <v>1</v>
      </c>
      <c r="EU3" s="600">
        <f>COUNTIFS(STATUS!$Q:$Q,ДЕЛА!$A3,STATUS!$D:$D,ДЕЛА!EU$1,STATUS!$S:$S,"Согласовано")</f>
        <v>0</v>
      </c>
      <c r="EV3" s="404">
        <f>COUNTIFS(STATUS!$Q:$Q,ДЕЛА!$A3,STATUS!$D:$D,ДЕЛА!EU$1)</f>
        <v>0</v>
      </c>
      <c r="EW3" s="598">
        <f>IFERROR(EU3/EV3,1)</f>
        <v>1</v>
      </c>
      <c r="EX3" s="600">
        <f>COUNTIFS(STATUS!$Q:$Q,ДЕЛА!$A3,STATUS!$D:$D,ДЕЛА!EX$1,STATUS!$S:$S,"Согласовано")</f>
        <v>0</v>
      </c>
      <c r="EY3" s="404">
        <f>COUNTIFS(STATUS!$Q:$Q,ДЕЛА!$A3,STATUS!$D:$D,ДЕЛА!EX$1)</f>
        <v>0</v>
      </c>
      <c r="EZ3" s="598">
        <f>IFERROR(EX3/EY3,1)</f>
        <v>1</v>
      </c>
      <c r="FA3" s="600">
        <f>COUNTIFS(STATUS!$Q:$Q,ДЕЛА!$A3,STATUS!$D:$D,ДЕЛА!FA$1,STATUS!$S:$S,"Согласовано")</f>
        <v>0</v>
      </c>
      <c r="FB3" s="404">
        <f>COUNTIFS(STATUS!$Q:$Q,ДЕЛА!$A3,STATUS!$D:$D,ДЕЛА!FA$1)</f>
        <v>2</v>
      </c>
      <c r="FC3" s="598">
        <f>IFERROR(FA3/FB3,1)</f>
        <v>0</v>
      </c>
      <c r="FD3" s="600">
        <f>COUNTIFS(STATUS!$Q:$Q,ДЕЛА!$A3,STATUS!$D:$D,ДЕЛА!FD$1,STATUS!$S:$S,"Согласовано")</f>
        <v>0</v>
      </c>
      <c r="FE3" s="404">
        <f>COUNTIFS(STATUS!$Q:$Q,ДЕЛА!$A3,STATUS!$D:$D,ДЕЛА!FD$1)</f>
        <v>4</v>
      </c>
      <c r="FF3" s="598">
        <f>IFERROR(FD3/FE3,1)</f>
        <v>0</v>
      </c>
      <c r="FG3" s="600">
        <f>COUNTIFS(STATUS!$Q:$Q,ДЕЛА!$A3,STATUS!$D:$D,ДЕЛА!FG$1,STATUS!$S:$S,"Согласовано")</f>
        <v>0</v>
      </c>
      <c r="FH3" s="404">
        <f>COUNTIFS(STATUS!$Q:$Q,ДЕЛА!$A3,STATUS!$D:$D,ДЕЛА!FG$1)</f>
        <v>1</v>
      </c>
      <c r="FI3" s="598">
        <f>IFERROR(FG3/FH3,1)</f>
        <v>0</v>
      </c>
      <c r="FJ3" s="610">
        <f>SUM(EV3,EY3,FB3,FE3,FH3)-SUM(EU3,EX3,FA3,FD3,FG3)</f>
        <v>7</v>
      </c>
      <c r="FK3" s="600">
        <f>COUNTIFS(STATUS!$Q:$Q,ДЕЛА!$A3,STATUS!$D:$D,ДЕЛА!FK$1,STATUS!$S:$S,"Согласовано")</f>
        <v>0</v>
      </c>
      <c r="FL3" s="404">
        <f>COUNTIFS(STATUS!$Q:$Q,ДЕЛА!$A3,STATUS!$D:$D,ДЕЛА!FK$1)</f>
        <v>3</v>
      </c>
      <c r="FM3" s="598">
        <f>IFERROR(FK3/FL3,1)</f>
        <v>0</v>
      </c>
      <c r="FN3" s="600">
        <f>COUNTIFS(STATUS!$Q:$Q,ДЕЛА!$A3,STATUS!$D:$D,ДЕЛА!FN$1,STATUS!$S:$S,"Согласовано")</f>
        <v>0</v>
      </c>
      <c r="FO3" s="404">
        <f>COUNTIFS(STATUS!$Q:$Q,ДЕЛА!$A3,STATUS!$D:$D,ДЕЛА!FN$1)</f>
        <v>0</v>
      </c>
      <c r="FP3" s="598">
        <f>IFERROR(FN3/FO3,1)</f>
        <v>1</v>
      </c>
      <c r="FQ3" s="600">
        <f>COUNTIFS(STATUS!$Q:$Q,ДЕЛА!$A3,STATUS!$D:$D,ДЕЛА!FQ$1,STATUS!$S:$S,"Согласовано")</f>
        <v>0</v>
      </c>
      <c r="FR3" s="404">
        <f>COUNTIFS(STATUS!$Q:$Q,ДЕЛА!$A3,STATUS!$D:$D,ДЕЛА!FQ$1)</f>
        <v>0</v>
      </c>
      <c r="FS3" s="598">
        <f>IFERROR(FQ3/FR3,1)</f>
        <v>1</v>
      </c>
      <c r="FT3" s="600">
        <f>COUNTIFS(STATUS!$Q:$Q,ДЕЛА!$A3,STATUS!$D:$D,ДЕЛА!FT$1,STATUS!$S:$S,"Согласовано")</f>
        <v>0</v>
      </c>
      <c r="FU3" s="404">
        <f>COUNTIFS(STATUS!$Q:$Q,ДЕЛА!$A3,STATUS!$D:$D,ДЕЛА!FT$1)</f>
        <v>0</v>
      </c>
      <c r="FV3" s="598">
        <f>IFERROR(FT3/FU3,1)</f>
        <v>1</v>
      </c>
      <c r="FW3" s="600">
        <f>COUNTIFS(STATUS!$Q:$Q,ДЕЛА!$A3,STATUS!$D:$D,ДЕЛА!FW$1,STATUS!$S:$S,"Согласовано")</f>
        <v>0</v>
      </c>
      <c r="FX3" s="404">
        <f>COUNTIFS(STATUS!$Q:$Q,ДЕЛА!$A3,STATUS!$D:$D,ДЕЛА!FW$1)</f>
        <v>0</v>
      </c>
      <c r="FY3" s="598">
        <f>IFERROR(FW3/FX3,1)</f>
        <v>1</v>
      </c>
      <c r="FZ3" s="610">
        <f>SUM(FL3,FO3,FR3,FU3,FX3)-SUM(FK3,FN3,FQ3,FT3,FW3)</f>
        <v>3</v>
      </c>
    </row>
    <row r="4" spans="1:182" x14ac:dyDescent="0.35">
      <c r="A4" s="676" t="s">
        <v>2097</v>
      </c>
      <c r="B4" s="671">
        <f>COUNTIFS(STATUS!$Q:$Q,ДЕЛА!$A4,STATUS!$H:$H,ДЕЛА!B$1)</f>
        <v>505</v>
      </c>
      <c r="C4" s="672">
        <f t="shared" ref="C4:C8" si="4">B4/$L4</f>
        <v>0.97490347490347495</v>
      </c>
      <c r="D4" s="671">
        <f>COUNTIFS(STATUS!$Q:$Q,ДЕЛА!$A4,STATUS!$H:$H,ДЕЛА!D$1)</f>
        <v>13</v>
      </c>
      <c r="E4" s="672">
        <f t="shared" si="0"/>
        <v>2.5096525096525095E-2</v>
      </c>
      <c r="F4" s="671">
        <f>COUNTIFS(STATUS!$Q:$Q,ДЕЛА!$A4,STATUS!$I:$I,ДЕЛА!F$1)</f>
        <v>69</v>
      </c>
      <c r="G4" s="672">
        <f t="shared" si="1"/>
        <v>0.13320463320463322</v>
      </c>
      <c r="H4" s="671">
        <f>COUNTIFS(STATUS!$Q:$Q,ДЕЛА!$A4,STATUS!$I:$I,ДЕЛА!H$1)</f>
        <v>40</v>
      </c>
      <c r="I4" s="672">
        <f t="shared" si="2"/>
        <v>7.7220077220077218E-2</v>
      </c>
      <c r="J4" s="671">
        <f>COUNTIFS(STATUS!$Q:$Q,ДЕЛА!$A4,STATUS!$S:$S,"На доработку")</f>
        <v>1</v>
      </c>
      <c r="K4" s="671">
        <f>COUNTIFS(STATUS!Q:Q,ДЕЛА!A4,STATUS!$S:$S,"Согласовано")</f>
        <v>467</v>
      </c>
      <c r="L4" s="671">
        <f>COUNTIFS(STATUS!$Q:$Q,ДЕЛА!$A4)</f>
        <v>518</v>
      </c>
      <c r="M4" s="671">
        <f t="shared" ref="M4:M7" si="5">L4-K4</f>
        <v>51</v>
      </c>
      <c r="N4" s="672">
        <f t="shared" ref="N4:N7" si="6">K4/L4</f>
        <v>0.90154440154440152</v>
      </c>
      <c r="O4" s="671">
        <f t="shared" si="3"/>
        <v>51</v>
      </c>
      <c r="P4" s="602">
        <f>COUNTIFS(STATUS!$Q:$Q,ДЕЛА!$A4,STATUS!$D:$D,ДЕЛА!P$1,STATUS!$S:$S,"Согласовано")</f>
        <v>1</v>
      </c>
      <c r="Q4" s="309">
        <f>COUNTIFS(STATUS!$Q:$Q,ДЕЛА!$A4,STATUS!$D:$D,ДЕЛА!P$1)</f>
        <v>1</v>
      </c>
      <c r="R4" s="603">
        <f t="shared" ref="R4:R8" si="7">IFERROR(P4/Q4,1)</f>
        <v>1</v>
      </c>
      <c r="S4" s="407">
        <f>COUNTIFS(STATUS!$Q:$Q,ДЕЛА!$A4,STATUS!$D:$D,ДЕЛА!S$1,STATUS!$S:$S,"Согласовано")</f>
        <v>2</v>
      </c>
      <c r="T4" s="309">
        <f>COUNTIFS(STATUS!$Q:$Q,ДЕЛА!$A4,STATUS!$D:$D,ДЕЛА!S$1)</f>
        <v>2</v>
      </c>
      <c r="U4" s="599">
        <f t="shared" ref="U4:U8" si="8">IFERROR(S4/T4,1)</f>
        <v>1</v>
      </c>
      <c r="V4" s="602">
        <f>COUNTIFS(STATUS!$Q:$Q,ДЕЛА!$A4,STATUS!$D:$D,ДЕЛА!V$1,STATUS!$S:$S,"Согласовано")</f>
        <v>4</v>
      </c>
      <c r="W4" s="309">
        <f>COUNTIFS(STATUS!$Q:$Q,ДЕЛА!$A4,STATUS!$D:$D,ДЕЛА!V$1)</f>
        <v>4</v>
      </c>
      <c r="X4" s="603">
        <f t="shared" ref="X4:X8" si="9">IFERROR(V4/W4,1)</f>
        <v>1</v>
      </c>
      <c r="Y4" s="610">
        <f>SUM(Q4,T4,W4)-SUM(P4,S4,V4)</f>
        <v>0</v>
      </c>
      <c r="Z4" s="407">
        <f>COUNTIFS(STATUS!$Q:$Q,ДЕЛА!$A4,STATUS!$D:$D,ДЕЛА!Z$1,STATUS!$S:$S,"Согласовано")</f>
        <v>6</v>
      </c>
      <c r="AA4" s="309">
        <f>COUNTIFS(STATUS!$Q:$Q,ДЕЛА!$A4,STATUS!$D:$D,ДЕЛА!Z$1)</f>
        <v>6</v>
      </c>
      <c r="AB4" s="599">
        <f t="shared" ref="AB4:AB8" si="10">IFERROR(Z4/AA4,1)</f>
        <v>1</v>
      </c>
      <c r="AC4" s="602">
        <f>COUNTIFS(STATUS!$Q:$Q,ДЕЛА!$A4,STATUS!$D:$D,ДЕЛА!AC$1,STATUS!$S:$S,"Согласовано")</f>
        <v>5</v>
      </c>
      <c r="AD4" s="309">
        <f>COUNTIFS(STATUS!$Q:$Q,ДЕЛА!$A4,STATUS!$D:$D,ДЕЛА!AC$1)</f>
        <v>5</v>
      </c>
      <c r="AE4" s="599">
        <f t="shared" ref="AE4:AE8" si="11">IFERROR(AC4/AD4,1)</f>
        <v>1</v>
      </c>
      <c r="AF4" s="407">
        <f>COUNTIFS(STATUS!$Q:$Q,ДЕЛА!$A4,STATUS!$D:$D,ДЕЛА!AF$1,STATUS!$S:$S,"Согласовано")</f>
        <v>4</v>
      </c>
      <c r="AG4" s="309">
        <f>COUNTIFS(STATUS!$Q:$Q,ДЕЛА!$A4,STATUS!$D:$D,ДЕЛА!AF$1)</f>
        <v>4</v>
      </c>
      <c r="AH4" s="599">
        <f t="shared" ref="AH4:AH8" si="12">IFERROR(AF4/AG4,1)</f>
        <v>1</v>
      </c>
      <c r="AI4" s="602">
        <f>COUNTIFS(STATUS!$Q:$Q,ДЕЛА!$A4,STATUS!$D:$D,ДЕЛА!AI$1,STATUS!$S:$S,"Согласовано")</f>
        <v>4</v>
      </c>
      <c r="AJ4" s="309">
        <f>COUNTIFS(STATUS!$Q:$Q,ДЕЛА!$A4,STATUS!$D:$D,ДЕЛА!AI$1)</f>
        <v>4</v>
      </c>
      <c r="AK4" s="599">
        <f t="shared" ref="AK4:AK8" si="13">IFERROR(AI4/AJ4,1)</f>
        <v>1</v>
      </c>
      <c r="AL4" s="610">
        <f>SUM(AA4,AD4,AG4,AJ4)-SUM(Z4,AC4,AF4,AI4)</f>
        <v>0</v>
      </c>
      <c r="AM4" s="602">
        <f>COUNTIFS(STATUS!$Q:$Q,ДЕЛА!$A4,STATUS!$D:$D,ДЕЛА!AM$1,STATUS!$S:$S,"Согласовано")</f>
        <v>3</v>
      </c>
      <c r="AN4" s="309">
        <f>COUNTIFS(STATUS!$Q:$Q,ДЕЛА!$A4,STATUS!$D:$D,ДЕЛА!AM$1)</f>
        <v>3</v>
      </c>
      <c r="AO4" s="599">
        <f t="shared" ref="AO4:AO8" si="14">IFERROR(AM4/AN4,1)</f>
        <v>1</v>
      </c>
      <c r="AP4" s="602">
        <f>COUNTIFS(STATUS!$Q:$Q,ДЕЛА!$A4,STATUS!$D:$D,ДЕЛА!AP$1,STATUS!$S:$S,"Согласовано")</f>
        <v>5</v>
      </c>
      <c r="AQ4" s="309">
        <f>COUNTIFS(STATUS!$Q:$Q,ДЕЛА!$A4,STATUS!$D:$D,ДЕЛА!AP$1)</f>
        <v>5</v>
      </c>
      <c r="AR4" s="599">
        <f t="shared" ref="AR4:AR8" si="15">IFERROR(AP4/AQ4,1)</f>
        <v>1</v>
      </c>
      <c r="AS4" s="602">
        <f>COUNTIFS(STATUS!$Q:$Q,ДЕЛА!$A4,STATUS!$D:$D,ДЕЛА!AS$1,STATUS!$S:$S,"Согласовано")</f>
        <v>6</v>
      </c>
      <c r="AT4" s="309">
        <f>COUNTIFS(STATUS!$Q:$Q,ДЕЛА!$A4,STATUS!$D:$D,ДЕЛА!AS$1)</f>
        <v>6</v>
      </c>
      <c r="AU4" s="599">
        <f t="shared" ref="AU4:AU8" si="16">IFERROR(AS4/AT4,1)</f>
        <v>1</v>
      </c>
      <c r="AV4" s="602">
        <f>COUNTIFS(STATUS!$Q:$Q,ДЕЛА!$A4,STATUS!$D:$D,ДЕЛА!AV$1,STATUS!$S:$S,"Согласовано")</f>
        <v>5</v>
      </c>
      <c r="AW4" s="309">
        <f>COUNTIFS(STATUS!$Q:$Q,ДЕЛА!$A4,STATUS!$D:$D,ДЕЛА!AV$1)</f>
        <v>5</v>
      </c>
      <c r="AX4" s="599">
        <f t="shared" ref="AX4:AX8" si="17">IFERROR(AV4/AW4,1)</f>
        <v>1</v>
      </c>
      <c r="AY4" s="602">
        <f>COUNTIFS(STATUS!$Q:$Q,ДЕЛА!$A4,STATUS!$D:$D,ДЕЛА!AY$1,STATUS!$S:$S,"Согласовано")</f>
        <v>5</v>
      </c>
      <c r="AZ4" s="309">
        <f>COUNTIFS(STATUS!$Q:$Q,ДЕЛА!$A4,STATUS!$D:$D,ДЕЛА!AY$1)</f>
        <v>5</v>
      </c>
      <c r="BA4" s="599">
        <f t="shared" ref="BA4:BA8" si="18">IFERROR(AY4/AZ4,1)</f>
        <v>1</v>
      </c>
      <c r="BB4" s="610">
        <f t="shared" ref="BB4:BB7" si="19">SUM(AN4,AQ4,AT4,AW4,AZ4)-SUM(AM4,AP4,AS4,AV4,AY4)</f>
        <v>0</v>
      </c>
      <c r="BC4" s="602">
        <f>COUNTIFS(STATUS!$Q:$Q,ДЕЛА!$A4,STATUS!$D:$D,ДЕЛА!BC$1,STATUS!$S:$S,"Согласовано")</f>
        <v>6</v>
      </c>
      <c r="BD4" s="309">
        <f>COUNTIFS(STATUS!$Q:$Q,ДЕЛА!$A4,STATUS!$D:$D,ДЕЛА!BC$1)</f>
        <v>6</v>
      </c>
      <c r="BE4" s="599">
        <f t="shared" ref="BE4:BE8" si="20">IFERROR(BC4/BD4,1)</f>
        <v>1</v>
      </c>
      <c r="BF4" s="602">
        <f>COUNTIFS(STATUS!$Q:$Q,ДЕЛА!$A4,STATUS!$D:$D,ДЕЛА!BF$1,STATUS!$S:$S,"Согласовано")</f>
        <v>2</v>
      </c>
      <c r="BG4" s="309">
        <f>COUNTIFS(STATUS!$Q:$Q,ДЕЛА!$A4,STATUS!$D:$D,ДЕЛА!BF$1)</f>
        <v>2</v>
      </c>
      <c r="BH4" s="599">
        <f t="shared" ref="BH4:BH8" si="21">IFERROR(BF4/BG4,1)</f>
        <v>1</v>
      </c>
      <c r="BI4" s="602">
        <f>COUNTIFS(STATUS!$Q:$Q,ДЕЛА!$A4,STATUS!$D:$D,ДЕЛА!BI$1,STATUS!$S:$S,"Согласовано")</f>
        <v>17</v>
      </c>
      <c r="BJ4" s="309">
        <f>COUNTIFS(STATUS!$Q:$Q,ДЕЛА!$A4,STATUS!$D:$D,ДЕЛА!BI$1)</f>
        <v>17</v>
      </c>
      <c r="BK4" s="599">
        <f t="shared" ref="BK4:BK8" si="22">IFERROR(BI4/BJ4,1)</f>
        <v>1</v>
      </c>
      <c r="BL4" s="602">
        <f>COUNTIFS(STATUS!$Q:$Q,ДЕЛА!$A4,STATUS!$D:$D,ДЕЛА!BL$1,STATUS!$S:$S,"Согласовано")</f>
        <v>0</v>
      </c>
      <c r="BM4" s="309">
        <f>COUNTIFS(STATUS!$Q:$Q,ДЕЛА!$A4,STATUS!$D:$D,ДЕЛА!BL$1)</f>
        <v>0</v>
      </c>
      <c r="BN4" s="599">
        <f t="shared" ref="BN4:BN8" si="23">IFERROR(BL4/BM4,1)</f>
        <v>1</v>
      </c>
      <c r="BO4" s="602">
        <f>COUNTIFS(STATUS!$Q:$Q,ДЕЛА!$A4,STATUS!$D:$D,ДЕЛА!BO$1,STATUS!$S:$S,"Согласовано")</f>
        <v>0</v>
      </c>
      <c r="BP4" s="309">
        <f>COUNTIFS(STATUS!$Q:$Q,ДЕЛА!$A4,STATUS!$D:$D,ДЕЛА!BO$1)</f>
        <v>0</v>
      </c>
      <c r="BQ4" s="599">
        <f t="shared" ref="BQ4:BQ8" si="24">IFERROR(BO4/BP4,1)</f>
        <v>1</v>
      </c>
      <c r="BR4" s="610">
        <f t="shared" ref="BR4:BR7" si="25">SUM(BD4,BG4,BJ4,BM4,BP4)-SUM(BC4,BF4,BI4,BL4,BO4)</f>
        <v>0</v>
      </c>
      <c r="BS4" s="602">
        <f>COUNTIFS(STATUS!$Q:$Q,ДЕЛА!$A4,STATUS!$D:$D,ДЕЛА!BS$1,STATUS!$S:$S,"Согласовано")</f>
        <v>15</v>
      </c>
      <c r="BT4" s="309">
        <f>COUNTIFS(STATUS!$Q:$Q,ДЕЛА!$A4,STATUS!$D:$D,ДЕЛА!BS$1)</f>
        <v>15</v>
      </c>
      <c r="BU4" s="599">
        <f t="shared" ref="BU4:BU8" si="26">IFERROR(BS4/BT4,1)</f>
        <v>1</v>
      </c>
      <c r="BV4" s="602">
        <f>COUNTIFS(STATUS!$Q:$Q,ДЕЛА!$A4,STATUS!$D:$D,ДЕЛА!BV$1,STATUS!$S:$S,"Согласовано")</f>
        <v>5</v>
      </c>
      <c r="BW4" s="309">
        <f>COUNTIFS(STATUS!$Q:$Q,ДЕЛА!$A4,STATUS!$D:$D,ДЕЛА!BV$1)</f>
        <v>5</v>
      </c>
      <c r="BX4" s="599">
        <f t="shared" ref="BX4:BX8" si="27">IFERROR(BV4/BW4,1)</f>
        <v>1</v>
      </c>
      <c r="BY4" s="602">
        <f>COUNTIFS(STATUS!$Q:$Q,ДЕЛА!$A4,STATUS!$D:$D,ДЕЛА!BY$1,STATUS!$S:$S,"Согласовано")</f>
        <v>5</v>
      </c>
      <c r="BZ4" s="309">
        <f>COUNTIFS(STATUS!$Q:$Q,ДЕЛА!$A4,STATUS!$D:$D,ДЕЛА!BY$1)</f>
        <v>5</v>
      </c>
      <c r="CA4" s="599">
        <f t="shared" ref="CA4:CA8" si="28">IFERROR(BY4/BZ4,1)</f>
        <v>1</v>
      </c>
      <c r="CB4" s="602">
        <f>COUNTIFS(STATUS!$Q:$Q,ДЕЛА!$A4,STATUS!$D:$D,ДЕЛА!CB$1,STATUS!$S:$S,"Согласовано")</f>
        <v>3</v>
      </c>
      <c r="CC4" s="309">
        <f>COUNTIFS(STATUS!$Q:$Q,ДЕЛА!$A4,STATUS!$D:$D,ДЕЛА!CB$1)</f>
        <v>3</v>
      </c>
      <c r="CD4" s="599">
        <f t="shared" ref="CD4:CD8" si="29">IFERROR(CB4/CC4,1)</f>
        <v>1</v>
      </c>
      <c r="CE4" s="602">
        <f>COUNTIFS(STATUS!$Q:$Q,ДЕЛА!$A4,STATUS!$D:$D,ДЕЛА!CE$1,STATUS!$S:$S,"Согласовано")</f>
        <v>3</v>
      </c>
      <c r="CF4" s="309">
        <f>COUNTIFS(STATUS!$Q:$Q,ДЕЛА!$A4,STATUS!$D:$D,ДЕЛА!CE$1)</f>
        <v>3</v>
      </c>
      <c r="CG4" s="599">
        <f t="shared" ref="CG4:CG8" si="30">IFERROR(CE4/CF4,1)</f>
        <v>1</v>
      </c>
      <c r="CH4" s="610">
        <f t="shared" ref="CH4:CH7" si="31">SUM(BT4,BW4,BZ4,CC4,CF4)-SUM(BS4,BV4,BY4,CB4,CE4)</f>
        <v>0</v>
      </c>
      <c r="CI4" s="602">
        <f>COUNTIFS(STATUS!$Q:$Q,ДЕЛА!$A4,STATUS!$D:$D,ДЕЛА!CI$1,STATUS!$S:$S,"Согласовано")</f>
        <v>1</v>
      </c>
      <c r="CJ4" s="309">
        <f>COUNTIFS(STATUS!$Q:$Q,ДЕЛА!$A4,STATUS!$D:$D,ДЕЛА!CI$1)</f>
        <v>1</v>
      </c>
      <c r="CK4" s="599">
        <f t="shared" ref="CK4:CK8" si="32">IFERROR(CI4/CJ4,1)</f>
        <v>1</v>
      </c>
      <c r="CL4" s="602">
        <f>COUNTIFS(STATUS!$Q:$Q,ДЕЛА!$A4,STATUS!$D:$D,ДЕЛА!CL$1,STATUS!$S:$S,"Согласовано")</f>
        <v>5</v>
      </c>
      <c r="CM4" s="309">
        <f>COUNTIFS(STATUS!$Q:$Q,ДЕЛА!$A4,STATUS!$D:$D,ДЕЛА!CL$1)</f>
        <v>5</v>
      </c>
      <c r="CN4" s="599">
        <f t="shared" ref="CN4:CN8" si="33">IFERROR(CL4/CM4,1)</f>
        <v>1</v>
      </c>
      <c r="CO4" s="602">
        <f>COUNTIFS(STATUS!$Q:$Q,ДЕЛА!$A4,STATUS!$D:$D,ДЕЛА!CO$1,STATUS!$S:$S,"Согласовано")</f>
        <v>5</v>
      </c>
      <c r="CP4" s="309">
        <f>COUNTIFS(STATUS!$Q:$Q,ДЕЛА!$A4,STATUS!$D:$D,ДЕЛА!CO$1)</f>
        <v>5</v>
      </c>
      <c r="CQ4" s="599">
        <f t="shared" ref="CQ4:CQ8" si="34">IFERROR(CO4/CP4,1)</f>
        <v>1</v>
      </c>
      <c r="CR4" s="602">
        <f>COUNTIFS(STATUS!$Q:$Q,ДЕЛА!$A4,STATUS!$D:$D,ДЕЛА!CR$1,STATUS!$S:$S,"Согласовано")</f>
        <v>4</v>
      </c>
      <c r="CS4" s="309">
        <f>COUNTIFS(STATUS!$Q:$Q,ДЕЛА!$A4,STATUS!$D:$D,ДЕЛА!CR$1)</f>
        <v>4</v>
      </c>
      <c r="CT4" s="599">
        <f t="shared" ref="CT4:CT8" si="35">IFERROR(CR4/CS4,1)</f>
        <v>1</v>
      </c>
      <c r="CU4" s="602">
        <f>COUNTIFS(STATUS!$Q:$Q,ДЕЛА!$A4,STATUS!$D:$D,ДЕЛА!CU$1,STATUS!$S:$S,"Согласовано")</f>
        <v>0</v>
      </c>
      <c r="CV4" s="309">
        <f>COUNTIFS(STATUS!$Q:$Q,ДЕЛА!$A4,STATUS!$D:$D,ДЕЛА!CU$1)</f>
        <v>0</v>
      </c>
      <c r="CW4" s="599">
        <f t="shared" ref="CW4:CW8" si="36">IFERROR(CU4/CV4,1)</f>
        <v>1</v>
      </c>
      <c r="CX4" s="610">
        <f t="shared" ref="CX4:CX7" si="37">SUM(CJ4,CM4,CP4,CS4,CV4)-SUM(CI4,CL4,CO4,CR4,CU4)</f>
        <v>0</v>
      </c>
      <c r="CY4" s="602">
        <f>COUNTIFS(STATUS!$Q:$Q,ДЕЛА!$A4,STATUS!$D:$D,ДЕЛА!CY$1,STATUS!$S:$S,"Согласовано")</f>
        <v>3</v>
      </c>
      <c r="CZ4" s="309">
        <f>COUNTIFS(STATUS!$Q:$Q,ДЕЛА!$A4,STATUS!$D:$D,ДЕЛА!CY$1)</f>
        <v>3</v>
      </c>
      <c r="DA4" s="599">
        <f t="shared" ref="DA4:DA8" si="38">IFERROR(CY4/CZ4,1)</f>
        <v>1</v>
      </c>
      <c r="DB4" s="602">
        <f>COUNTIFS(STATUS!$Q:$Q,ДЕЛА!$A4,STATUS!$D:$D,ДЕЛА!DB$1,STATUS!$S:$S,"Согласовано")</f>
        <v>37</v>
      </c>
      <c r="DC4" s="309">
        <f>COUNTIFS(STATUS!$Q:$Q,ДЕЛА!$A4,STATUS!$D:$D,ДЕЛА!DB$1)</f>
        <v>37</v>
      </c>
      <c r="DD4" s="599">
        <f t="shared" ref="DD4:DD8" si="39">IFERROR(DB4/DC4,1)</f>
        <v>1</v>
      </c>
      <c r="DE4" s="602">
        <f>COUNTIFS(STATUS!$Q:$Q,ДЕЛА!$A4,STATUS!$D:$D,ДЕЛА!DE$1,STATUS!$S:$S,"Согласовано")</f>
        <v>2</v>
      </c>
      <c r="DF4" s="309">
        <f>COUNTIFS(STATUS!$Q:$Q,ДЕЛА!$A4,STATUS!$D:$D,ДЕЛА!DE$1)</f>
        <v>2</v>
      </c>
      <c r="DG4" s="599">
        <f t="shared" ref="DG4:DG8" si="40">IFERROR(DE4/DF4,1)</f>
        <v>1</v>
      </c>
      <c r="DH4" s="602">
        <f>COUNTIFS(STATUS!$Q:$Q,ДЕЛА!$A4,STATUS!$D:$D,ДЕЛА!DH$1,STATUS!$S:$S,"Согласовано")</f>
        <v>3</v>
      </c>
      <c r="DI4" s="309">
        <f>COUNTIFS(STATUS!$Q:$Q,ДЕЛА!$A4,STATUS!$D:$D,ДЕЛА!DH$1)</f>
        <v>3</v>
      </c>
      <c r="DJ4" s="599">
        <f t="shared" ref="DJ4:DJ8" si="41">IFERROR(DH4/DI4,1)</f>
        <v>1</v>
      </c>
      <c r="DK4" s="602">
        <f>COUNTIFS(STATUS!$Q:$Q,ДЕЛА!$A4,STATUS!$D:$D,ДЕЛА!DK$1,STATUS!$S:$S,"Согласовано")</f>
        <v>1</v>
      </c>
      <c r="DL4" s="309">
        <f>COUNTIFS(STATUS!$Q:$Q,ДЕЛА!$A4,STATUS!$D:$D,ДЕЛА!DK$1)</f>
        <v>1</v>
      </c>
      <c r="DM4" s="599">
        <f t="shared" ref="DM4:DM8" si="42">IFERROR(DK4/DL4,1)</f>
        <v>1</v>
      </c>
      <c r="DN4" s="610">
        <f t="shared" ref="DN4:DN7" si="43">SUM(CZ4,DC4,DF4,DI4,DL4)-SUM(CY4,DB4,DE4,DH4,DK4)</f>
        <v>0</v>
      </c>
      <c r="DO4" s="602">
        <f>COUNTIFS(STATUS!$Q:$Q,ДЕЛА!$A4,STATUS!$D:$D,ДЕЛА!DO$1,STATUS!$S:$S,"Согласовано")</f>
        <v>2</v>
      </c>
      <c r="DP4" s="309">
        <f>COUNTIFS(STATUS!$Q:$Q,ДЕЛА!$A4,STATUS!$D:$D,ДЕЛА!DO$1)</f>
        <v>2</v>
      </c>
      <c r="DQ4" s="599">
        <f t="shared" ref="DQ4:DQ8" si="44">IFERROR(DO4/DP4,1)</f>
        <v>1</v>
      </c>
      <c r="DR4" s="602">
        <f>COUNTIFS(STATUS!$Q:$Q,ДЕЛА!$A4,STATUS!$D:$D,ДЕЛА!DR$1,STATUS!$S:$S,"Согласовано")</f>
        <v>3</v>
      </c>
      <c r="DS4" s="309">
        <f>COUNTIFS(STATUS!$Q:$Q,ДЕЛА!$A4,STATUS!$D:$D,ДЕЛА!DR$1)</f>
        <v>3</v>
      </c>
      <c r="DT4" s="599">
        <f t="shared" ref="DT4:DT8" si="45">IFERROR(DR4/DS4,1)</f>
        <v>1</v>
      </c>
      <c r="DU4" s="602">
        <f>COUNTIFS(STATUS!$Q:$Q,ДЕЛА!$A4,STATUS!$D:$D,ДЕЛА!DU$1,STATUS!$S:$S,"Согласовано")</f>
        <v>0</v>
      </c>
      <c r="DV4" s="309">
        <f>COUNTIFS(STATUS!$Q:$Q,ДЕЛА!$A4,STATUS!$D:$D,ДЕЛА!DU$1)</f>
        <v>0</v>
      </c>
      <c r="DW4" s="599">
        <f t="shared" ref="DW4:DW8" si="46">IFERROR(DU4/DV4,1)</f>
        <v>1</v>
      </c>
      <c r="DX4" s="602">
        <f>COUNTIFS(STATUS!$Q:$Q,ДЕЛА!$A4,STATUS!$D:$D,ДЕЛА!DX$1,STATUS!$S:$S,"Согласовано")</f>
        <v>5</v>
      </c>
      <c r="DY4" s="309">
        <f>COUNTIFS(STATUS!$Q:$Q,ДЕЛА!$A4,STATUS!$D:$D,ДЕЛА!DX$1)</f>
        <v>6</v>
      </c>
      <c r="DZ4" s="599">
        <f t="shared" ref="DZ4:DZ8" si="47">IFERROR(DX4/DY4,1)</f>
        <v>0.83333333333333337</v>
      </c>
      <c r="EA4" s="602">
        <f>COUNTIFS(STATUS!$Q:$Q,ДЕЛА!$A4,STATUS!$D:$D,ДЕЛА!EA$1,STATUS!$S:$S,"Согласовано")</f>
        <v>4</v>
      </c>
      <c r="EB4" s="309">
        <f>COUNTIFS(STATUS!$Q:$Q,ДЕЛА!$A4,STATUS!$D:$D,ДЕЛА!EA$1)</f>
        <v>4</v>
      </c>
      <c r="EC4" s="599">
        <f t="shared" ref="EC4:EC8" si="48">IFERROR(EA4/EB4,1)</f>
        <v>1</v>
      </c>
      <c r="ED4" s="610">
        <f t="shared" ref="ED4:ED7" si="49">SUM(DP4,DS4,DV4,DY4,EB4)-SUM(DO4,DR4,DU4,DX4,EA4)</f>
        <v>1</v>
      </c>
      <c r="EE4" s="602">
        <f>COUNTIFS(STATUS!$Q:$Q,ДЕЛА!$A4,STATUS!$D:$D,ДЕЛА!EE$1,STATUS!$S:$S,"Согласовано")</f>
        <v>2</v>
      </c>
      <c r="EF4" s="309">
        <f>COUNTIFS(STATUS!$Q:$Q,ДЕЛА!$A4,STATUS!$D:$D,ДЕЛА!EE$1)</f>
        <v>2</v>
      </c>
      <c r="EG4" s="599">
        <f t="shared" ref="EG4:EG8" si="50">IFERROR(EE4/EF4,1)</f>
        <v>1</v>
      </c>
      <c r="EH4" s="602">
        <f>COUNTIFS(STATUS!$Q:$Q,ДЕЛА!$A4,STATUS!$D:$D,ДЕЛА!EH$1,STATUS!$S:$S,"Согласовано")</f>
        <v>1</v>
      </c>
      <c r="EI4" s="309">
        <f>COUNTIFS(STATUS!$Q:$Q,ДЕЛА!$A4,STATUS!$D:$D,ДЕЛА!EH$1)</f>
        <v>5</v>
      </c>
      <c r="EJ4" s="599">
        <f t="shared" ref="EJ4:EJ8" si="51">IFERROR(EH4/EI4,1)</f>
        <v>0.2</v>
      </c>
      <c r="EK4" s="602">
        <f>COUNTIFS(STATUS!$Q:$Q,ДЕЛА!$A4,STATUS!$D:$D,ДЕЛА!EK$1,STATUS!$S:$S,"Согласовано")</f>
        <v>0</v>
      </c>
      <c r="EL4" s="309">
        <f>COUNTIFS(STATUS!$Q:$Q,ДЕЛА!$A4,STATUS!$D:$D,ДЕЛА!EK$1)</f>
        <v>0</v>
      </c>
      <c r="EM4" s="599">
        <f t="shared" ref="EM4:EM8" si="52">IFERROR(EK4/EL4,1)</f>
        <v>1</v>
      </c>
      <c r="EN4" s="602">
        <f>COUNTIFS(STATUS!$Q:$Q,ДЕЛА!$A4,STATUS!$D:$D,ДЕЛА!EN$1,STATUS!$S:$S,"Согласовано")</f>
        <v>0</v>
      </c>
      <c r="EO4" s="309">
        <f>COUNTIFS(STATUS!$Q:$Q,ДЕЛА!$A4,STATUS!$D:$D,ДЕЛА!EN$1)</f>
        <v>14</v>
      </c>
      <c r="EP4" s="599">
        <f t="shared" ref="EP4:EP8" si="53">IFERROR(EN4/EO4,1)</f>
        <v>0</v>
      </c>
      <c r="EQ4" s="602">
        <f>COUNTIFS(STATUS!$Q:$Q,ДЕЛА!$A4,STATUS!$D:$D,ДЕЛА!EQ$1,STATUS!$S:$S,"Согласовано")</f>
        <v>0</v>
      </c>
      <c r="ER4" s="309">
        <f>COUNTIFS(STATUS!$Q:$Q,ДЕЛА!$A4,STATUS!$D:$D,ДЕЛА!EQ$1)</f>
        <v>7</v>
      </c>
      <c r="ES4" s="599">
        <f t="shared" ref="ES4:ES8" si="54">IFERROR(EQ4/ER4,1)</f>
        <v>0</v>
      </c>
      <c r="ET4" s="610">
        <f t="shared" ref="ET4:ET7" si="55">SUM(EF4,EI4,EL4,EO4,ER4)-SUM(EE4,EH4,EK4,EN4,EQ4)</f>
        <v>25</v>
      </c>
      <c r="EU4" s="602">
        <f>COUNTIFS(STATUS!$Q:$Q,ДЕЛА!$A4,STATUS!$D:$D,ДЕЛА!EU$1,STATUS!$S:$S,"Согласовано")</f>
        <v>0</v>
      </c>
      <c r="EV4" s="309">
        <f>COUNTIFS(STATUS!$Q:$Q,ДЕЛА!$A4,STATUS!$D:$D,ДЕЛА!EU$1)</f>
        <v>5</v>
      </c>
      <c r="EW4" s="599">
        <f t="shared" ref="EW4:EW8" si="56">IFERROR(EU4/EV4,1)</f>
        <v>0</v>
      </c>
      <c r="EX4" s="602">
        <f>COUNTIFS(STATUS!$Q:$Q,ДЕЛА!$A4,STATUS!$D:$D,ДЕЛА!EX$1,STATUS!$S:$S,"Согласовано")</f>
        <v>0</v>
      </c>
      <c r="EY4" s="309">
        <f>COUNTIFS(STATUS!$Q:$Q,ДЕЛА!$A4,STATUS!$D:$D,ДЕЛА!EX$1)</f>
        <v>3</v>
      </c>
      <c r="EZ4" s="599">
        <f t="shared" ref="EZ4:EZ8" si="57">IFERROR(EX4/EY4,1)</f>
        <v>0</v>
      </c>
      <c r="FA4" s="602">
        <f>COUNTIFS(STATUS!$Q:$Q,ДЕЛА!$A4,STATUS!$D:$D,ДЕЛА!FA$1,STATUS!$S:$S,"Согласовано")</f>
        <v>0</v>
      </c>
      <c r="FB4" s="309">
        <f>COUNTIFS(STATUS!$Q:$Q,ДЕЛА!$A4,STATUS!$D:$D,ДЕЛА!FA$1)</f>
        <v>3</v>
      </c>
      <c r="FC4" s="599">
        <f t="shared" ref="FC4:FC8" si="58">IFERROR(FA4/FB4,1)</f>
        <v>0</v>
      </c>
      <c r="FD4" s="602">
        <f>COUNTIFS(STATUS!$Q:$Q,ДЕЛА!$A4,STATUS!$D:$D,ДЕЛА!FD$1,STATUS!$S:$S,"Согласовано")</f>
        <v>0</v>
      </c>
      <c r="FE4" s="309">
        <f>COUNTIFS(STATUS!$Q:$Q,ДЕЛА!$A4,STATUS!$D:$D,ДЕЛА!FD$1)</f>
        <v>7</v>
      </c>
      <c r="FF4" s="599">
        <f t="shared" ref="FF4:FF8" si="59">IFERROR(FD4/FE4,1)</f>
        <v>0</v>
      </c>
      <c r="FG4" s="602">
        <f>COUNTIFS(STATUS!$Q:$Q,ДЕЛА!$A4,STATUS!$D:$D,ДЕЛА!FG$1,STATUS!$S:$S,"Согласовано")</f>
        <v>0</v>
      </c>
      <c r="FH4" s="309">
        <f>COUNTIFS(STATUS!$Q:$Q,ДЕЛА!$A4,STATUS!$D:$D,ДЕЛА!FG$1)</f>
        <v>3</v>
      </c>
      <c r="FI4" s="599">
        <f t="shared" ref="FI4:FI8" si="60">IFERROR(FG4/FH4,1)</f>
        <v>0</v>
      </c>
      <c r="FJ4" s="610">
        <f t="shared" ref="FJ4:FJ7" si="61">SUM(EV4,EY4,FB4,FE4,FH4)-SUM(EU4,EX4,FA4,FD4,FG4)</f>
        <v>21</v>
      </c>
      <c r="FK4" s="602">
        <f>COUNTIFS(STATUS!$Q:$Q,ДЕЛА!$A4,STATUS!$D:$D,ДЕЛА!FK$1,STATUS!$S:$S,"Согласовано")</f>
        <v>0</v>
      </c>
      <c r="FL4" s="309">
        <f>COUNTIFS(STATUS!$Q:$Q,ДЕЛА!$A4,STATUS!$D:$D,ДЕЛА!FK$1)</f>
        <v>1</v>
      </c>
      <c r="FM4" s="599">
        <f t="shared" ref="FM4:FM8" si="62">IFERROR(FK4/FL4,1)</f>
        <v>0</v>
      </c>
      <c r="FN4" s="602">
        <f>COUNTIFS(STATUS!$Q:$Q,ДЕЛА!$A4,STATUS!$D:$D,ДЕЛА!FN$1,STATUS!$S:$S,"Согласовано")</f>
        <v>0</v>
      </c>
      <c r="FO4" s="309">
        <f>COUNTIFS(STATUS!$Q:$Q,ДЕЛА!$A4,STATUS!$D:$D,ДЕЛА!FN$1)</f>
        <v>3</v>
      </c>
      <c r="FP4" s="599">
        <f t="shared" ref="FP4:FP8" si="63">IFERROR(FN4/FO4,1)</f>
        <v>0</v>
      </c>
      <c r="FQ4" s="602">
        <f>COUNTIFS(STATUS!$Q:$Q,ДЕЛА!$A4,STATUS!$D:$D,ДЕЛА!FQ$1,STATUS!$S:$S,"Согласовано")</f>
        <v>0</v>
      </c>
      <c r="FR4" s="309">
        <f>COUNTIFS(STATUS!$Q:$Q,ДЕЛА!$A4,STATUS!$D:$D,ДЕЛА!FQ$1)</f>
        <v>0</v>
      </c>
      <c r="FS4" s="599">
        <f t="shared" ref="FS4:FS8" si="64">IFERROR(FQ4/FR4,1)</f>
        <v>1</v>
      </c>
      <c r="FT4" s="602">
        <f>COUNTIFS(STATUS!$Q:$Q,ДЕЛА!$A4,STATUS!$D:$D,ДЕЛА!FT$1,STATUS!$S:$S,"Согласовано")</f>
        <v>0</v>
      </c>
      <c r="FU4" s="309">
        <f>COUNTIFS(STATUS!$Q:$Q,ДЕЛА!$A4,STATUS!$D:$D,ДЕЛА!FT$1)</f>
        <v>0</v>
      </c>
      <c r="FV4" s="599">
        <f t="shared" ref="FV4:FV8" si="65">IFERROR(FT4/FU4,1)</f>
        <v>1</v>
      </c>
      <c r="FW4" s="602">
        <f>COUNTIFS(STATUS!$Q:$Q,ДЕЛА!$A4,STATUS!$D:$D,ДЕЛА!FW$1,STATUS!$S:$S,"Согласовано")</f>
        <v>0</v>
      </c>
      <c r="FX4" s="309">
        <f>COUNTIFS(STATUS!$Q:$Q,ДЕЛА!$A4,STATUS!$D:$D,ДЕЛА!FW$1)</f>
        <v>0</v>
      </c>
      <c r="FY4" s="599">
        <f t="shared" ref="FY4:FY8" si="66">IFERROR(FW4/FX4,1)</f>
        <v>1</v>
      </c>
      <c r="FZ4" s="610">
        <f t="shared" ref="FZ4:FZ7" si="67">SUM(FL4,FO4,FR4,FU4,FX4)-SUM(FK4,FN4,FQ4,FT4,FW4)</f>
        <v>4</v>
      </c>
    </row>
    <row r="5" spans="1:182" x14ac:dyDescent="0.35">
      <c r="A5" s="676" t="s">
        <v>2130</v>
      </c>
      <c r="B5" s="671">
        <f>COUNTIFS(STATUS!$Q:$Q,ДЕЛА!$A5,STATUS!$H:$H,ДЕЛА!B$1)</f>
        <v>491</v>
      </c>
      <c r="C5" s="672">
        <f t="shared" si="4"/>
        <v>0.97227722772277225</v>
      </c>
      <c r="D5" s="671">
        <f>COUNTIFS(STATUS!$Q:$Q,ДЕЛА!$A5,STATUS!$H:$H,ДЕЛА!D$1)</f>
        <v>14</v>
      </c>
      <c r="E5" s="672">
        <f t="shared" si="0"/>
        <v>2.7722772277227723E-2</v>
      </c>
      <c r="F5" s="671">
        <f>COUNTIFS(STATUS!$Q:$Q,ДЕЛА!$A5,STATUS!$I:$I,ДЕЛА!F$1)</f>
        <v>52</v>
      </c>
      <c r="G5" s="672">
        <f t="shared" si="1"/>
        <v>0.10297029702970296</v>
      </c>
      <c r="H5" s="671">
        <f>COUNTIFS(STATUS!$Q:$Q,ДЕЛА!$A5,STATUS!$I:$I,ДЕЛА!H$1)</f>
        <v>39</v>
      </c>
      <c r="I5" s="672">
        <f t="shared" si="2"/>
        <v>7.7227722772277227E-2</v>
      </c>
      <c r="J5" s="671">
        <f>COUNTIFS(STATUS!$Q:$Q,ДЕЛА!$A5,STATUS!$S:$S,"На доработку")</f>
        <v>0</v>
      </c>
      <c r="K5" s="671">
        <f>COUNTIFS(STATUS!Q:Q,ДЕЛА!A5,STATUS!$S:$S,"Согласовано")</f>
        <v>461</v>
      </c>
      <c r="L5" s="671">
        <f>COUNTIFS(STATUS!$Q:$Q,ДЕЛА!$A5)</f>
        <v>505</v>
      </c>
      <c r="M5" s="671">
        <f t="shared" si="5"/>
        <v>44</v>
      </c>
      <c r="N5" s="672">
        <f t="shared" si="6"/>
        <v>0.9128712871287129</v>
      </c>
      <c r="O5" s="671">
        <f t="shared" si="3"/>
        <v>44</v>
      </c>
      <c r="P5" s="602">
        <f>COUNTIFS(STATUS!$Q:$Q,ДЕЛА!$A5,STATUS!$D:$D,ДЕЛА!P$1,STATUS!$S:$S,"Согласовано")</f>
        <v>2</v>
      </c>
      <c r="Q5" s="309">
        <f>COUNTIFS(STATUS!$Q:$Q,ДЕЛА!$A5,STATUS!$D:$D,ДЕЛА!P$1)</f>
        <v>2</v>
      </c>
      <c r="R5" s="603">
        <f t="shared" si="7"/>
        <v>1</v>
      </c>
      <c r="S5" s="407">
        <f>COUNTIFS(STATUS!$Q:$Q,ДЕЛА!$A5,STATUS!$D:$D,ДЕЛА!S$1,STATUS!$S:$S,"Согласовано")</f>
        <v>1</v>
      </c>
      <c r="T5" s="309">
        <f>COUNTIFS(STATUS!$Q:$Q,ДЕЛА!$A5,STATUS!$D:$D,ДЕЛА!S$1)</f>
        <v>1</v>
      </c>
      <c r="U5" s="599">
        <f t="shared" si="8"/>
        <v>1</v>
      </c>
      <c r="V5" s="602">
        <f>COUNTIFS(STATUS!$Q:$Q,ДЕЛА!$A5,STATUS!$D:$D,ДЕЛА!V$1,STATUS!$S:$S,"Согласовано")</f>
        <v>3</v>
      </c>
      <c r="W5" s="309">
        <f>COUNTIFS(STATUS!$Q:$Q,ДЕЛА!$A5,STATUS!$D:$D,ДЕЛА!V$1)</f>
        <v>3</v>
      </c>
      <c r="X5" s="603">
        <f t="shared" si="9"/>
        <v>1</v>
      </c>
      <c r="Y5" s="610">
        <f t="shared" ref="Y5:Y7" si="68">SUM(Q5,T5,W5)-SUM(P5,S5,V5)</f>
        <v>0</v>
      </c>
      <c r="Z5" s="407">
        <f>COUNTIFS(STATUS!$Q:$Q,ДЕЛА!$A5,STATUS!$D:$D,ДЕЛА!Z$1,STATUS!$S:$S,"Согласовано")</f>
        <v>4</v>
      </c>
      <c r="AA5" s="309">
        <f>COUNTIFS(STATUS!$Q:$Q,ДЕЛА!$A5,STATUS!$D:$D,ДЕЛА!Z$1)</f>
        <v>4</v>
      </c>
      <c r="AB5" s="599">
        <f t="shared" si="10"/>
        <v>1</v>
      </c>
      <c r="AC5" s="602">
        <f>COUNTIFS(STATUS!$Q:$Q,ДЕЛА!$A5,STATUS!$D:$D,ДЕЛА!AC$1,STATUS!$S:$S,"Согласовано")</f>
        <v>6</v>
      </c>
      <c r="AD5" s="309">
        <f>COUNTIFS(STATUS!$Q:$Q,ДЕЛА!$A5,STATUS!$D:$D,ДЕЛА!AC$1)</f>
        <v>6</v>
      </c>
      <c r="AE5" s="599">
        <f t="shared" si="11"/>
        <v>1</v>
      </c>
      <c r="AF5" s="407">
        <f>COUNTIFS(STATUS!$Q:$Q,ДЕЛА!$A5,STATUS!$D:$D,ДЕЛА!AF$1,STATUS!$S:$S,"Согласовано")</f>
        <v>6</v>
      </c>
      <c r="AG5" s="309">
        <f>COUNTIFS(STATUS!$Q:$Q,ДЕЛА!$A5,STATUS!$D:$D,ДЕЛА!AF$1)</f>
        <v>6</v>
      </c>
      <c r="AH5" s="599">
        <f t="shared" si="12"/>
        <v>1</v>
      </c>
      <c r="AI5" s="602">
        <f>COUNTIFS(STATUS!$Q:$Q,ДЕЛА!$A5,STATUS!$D:$D,ДЕЛА!AI$1,STATUS!$S:$S,"Согласовано")</f>
        <v>6</v>
      </c>
      <c r="AJ5" s="309">
        <f>COUNTIFS(STATUS!$Q:$Q,ДЕЛА!$A5,STATUS!$D:$D,ДЕЛА!AI$1)</f>
        <v>6</v>
      </c>
      <c r="AK5" s="599">
        <f t="shared" si="13"/>
        <v>1</v>
      </c>
      <c r="AL5" s="610">
        <f>SUM(AA5,AD5,AG5,AJ5)-SUM(Z5,AC5,AF5,AI5)</f>
        <v>0</v>
      </c>
      <c r="AM5" s="602">
        <f>COUNTIFS(STATUS!$Q:$Q,ДЕЛА!$A5,STATUS!$D:$D,ДЕЛА!AM$1,STATUS!$S:$S,"Согласовано")</f>
        <v>6</v>
      </c>
      <c r="AN5" s="309">
        <f>COUNTIFS(STATUS!$Q:$Q,ДЕЛА!$A5,STATUS!$D:$D,ДЕЛА!AM$1)</f>
        <v>6</v>
      </c>
      <c r="AO5" s="599">
        <f t="shared" si="14"/>
        <v>1</v>
      </c>
      <c r="AP5" s="602">
        <f>COUNTIFS(STATUS!$Q:$Q,ДЕЛА!$A5,STATUS!$D:$D,ДЕЛА!AP$1,STATUS!$S:$S,"Согласовано")</f>
        <v>5</v>
      </c>
      <c r="AQ5" s="309">
        <f>COUNTIFS(STATUS!$Q:$Q,ДЕЛА!$A5,STATUS!$D:$D,ДЕЛА!AP$1)</f>
        <v>5</v>
      </c>
      <c r="AR5" s="599">
        <f t="shared" si="15"/>
        <v>1</v>
      </c>
      <c r="AS5" s="602">
        <f>COUNTIFS(STATUS!$Q:$Q,ДЕЛА!$A5,STATUS!$D:$D,ДЕЛА!AS$1,STATUS!$S:$S,"Согласовано")</f>
        <v>3</v>
      </c>
      <c r="AT5" s="309">
        <f>COUNTIFS(STATUS!$Q:$Q,ДЕЛА!$A5,STATUS!$D:$D,ДЕЛА!AS$1)</f>
        <v>3</v>
      </c>
      <c r="AU5" s="599">
        <f t="shared" si="16"/>
        <v>1</v>
      </c>
      <c r="AV5" s="602">
        <f>COUNTIFS(STATUS!$Q:$Q,ДЕЛА!$A5,STATUS!$D:$D,ДЕЛА!AV$1,STATUS!$S:$S,"Согласовано")</f>
        <v>4</v>
      </c>
      <c r="AW5" s="309">
        <f>COUNTIFS(STATUS!$Q:$Q,ДЕЛА!$A5,STATUS!$D:$D,ДЕЛА!AV$1)</f>
        <v>4</v>
      </c>
      <c r="AX5" s="599">
        <f t="shared" si="17"/>
        <v>1</v>
      </c>
      <c r="AY5" s="602">
        <f>COUNTIFS(STATUS!$Q:$Q,ДЕЛА!$A5,STATUS!$D:$D,ДЕЛА!AY$1,STATUS!$S:$S,"Согласовано")</f>
        <v>4</v>
      </c>
      <c r="AZ5" s="309">
        <f>COUNTIFS(STATUS!$Q:$Q,ДЕЛА!$A5,STATUS!$D:$D,ДЕЛА!AY$1)</f>
        <v>4</v>
      </c>
      <c r="BA5" s="599">
        <f t="shared" si="18"/>
        <v>1</v>
      </c>
      <c r="BB5" s="610">
        <f t="shared" si="19"/>
        <v>0</v>
      </c>
      <c r="BC5" s="602">
        <f>COUNTIFS(STATUS!$Q:$Q,ДЕЛА!$A5,STATUS!$D:$D,ДЕЛА!BC$1,STATUS!$S:$S,"Согласовано")</f>
        <v>1</v>
      </c>
      <c r="BD5" s="309">
        <f>COUNTIFS(STATUS!$Q:$Q,ДЕЛА!$A5,STATUS!$D:$D,ДЕЛА!BC$1)</f>
        <v>1</v>
      </c>
      <c r="BE5" s="599">
        <f t="shared" si="20"/>
        <v>1</v>
      </c>
      <c r="BF5" s="602">
        <f>COUNTIFS(STATUS!$Q:$Q,ДЕЛА!$A5,STATUS!$D:$D,ДЕЛА!BF$1,STATUS!$S:$S,"Согласовано")</f>
        <v>5</v>
      </c>
      <c r="BG5" s="309">
        <f>COUNTIFS(STATUS!$Q:$Q,ДЕЛА!$A5,STATUS!$D:$D,ДЕЛА!BF$1)</f>
        <v>5</v>
      </c>
      <c r="BH5" s="599">
        <f t="shared" si="21"/>
        <v>1</v>
      </c>
      <c r="BI5" s="602">
        <f>COUNTIFS(STATUS!$Q:$Q,ДЕЛА!$A5,STATUS!$D:$D,ДЕЛА!BI$1,STATUS!$S:$S,"Согласовано")</f>
        <v>4</v>
      </c>
      <c r="BJ5" s="309">
        <f>COUNTIFS(STATUS!$Q:$Q,ДЕЛА!$A5,STATUS!$D:$D,ДЕЛА!BI$1)</f>
        <v>4</v>
      </c>
      <c r="BK5" s="599">
        <f t="shared" si="22"/>
        <v>1</v>
      </c>
      <c r="BL5" s="602">
        <f>COUNTIFS(STATUS!$Q:$Q,ДЕЛА!$A5,STATUS!$D:$D,ДЕЛА!BL$1,STATUS!$S:$S,"Согласовано")</f>
        <v>3</v>
      </c>
      <c r="BM5" s="309">
        <f>COUNTIFS(STATUS!$Q:$Q,ДЕЛА!$A5,STATUS!$D:$D,ДЕЛА!BL$1)</f>
        <v>3</v>
      </c>
      <c r="BN5" s="599">
        <f t="shared" si="23"/>
        <v>1</v>
      </c>
      <c r="BO5" s="602">
        <f>COUNTIFS(STATUS!$Q:$Q,ДЕЛА!$A5,STATUS!$D:$D,ДЕЛА!BO$1,STATUS!$S:$S,"Согласовано")</f>
        <v>0</v>
      </c>
      <c r="BP5" s="309">
        <f>COUNTIFS(STATUS!$Q:$Q,ДЕЛА!$A5,STATUS!$D:$D,ДЕЛА!BO$1)</f>
        <v>0</v>
      </c>
      <c r="BQ5" s="599">
        <f t="shared" si="24"/>
        <v>1</v>
      </c>
      <c r="BR5" s="610">
        <f t="shared" si="25"/>
        <v>0</v>
      </c>
      <c r="BS5" s="602">
        <f>COUNTIFS(STATUS!$Q:$Q,ДЕЛА!$A5,STATUS!$D:$D,ДЕЛА!BS$1,STATUS!$S:$S,"Согласовано")</f>
        <v>16</v>
      </c>
      <c r="BT5" s="309">
        <f>COUNTIFS(STATUS!$Q:$Q,ДЕЛА!$A5,STATUS!$D:$D,ДЕЛА!BS$1)</f>
        <v>16</v>
      </c>
      <c r="BU5" s="599">
        <f t="shared" si="26"/>
        <v>1</v>
      </c>
      <c r="BV5" s="602">
        <f>COUNTIFS(STATUS!$Q:$Q,ДЕЛА!$A5,STATUS!$D:$D,ДЕЛА!BV$1,STATUS!$S:$S,"Согласовано")</f>
        <v>4</v>
      </c>
      <c r="BW5" s="309">
        <f>COUNTIFS(STATUS!$Q:$Q,ДЕЛА!$A5,STATUS!$D:$D,ДЕЛА!BV$1)</f>
        <v>4</v>
      </c>
      <c r="BX5" s="599">
        <f t="shared" si="27"/>
        <v>1</v>
      </c>
      <c r="BY5" s="602">
        <f>COUNTIFS(STATUS!$Q:$Q,ДЕЛА!$A5,STATUS!$D:$D,ДЕЛА!BY$1,STATUS!$S:$S,"Согласовано")</f>
        <v>1</v>
      </c>
      <c r="BZ5" s="309">
        <f>COUNTIFS(STATUS!$Q:$Q,ДЕЛА!$A5,STATUS!$D:$D,ДЕЛА!BY$1)</f>
        <v>1</v>
      </c>
      <c r="CA5" s="599">
        <f t="shared" si="28"/>
        <v>1</v>
      </c>
      <c r="CB5" s="602">
        <f>COUNTIFS(STATUS!$Q:$Q,ДЕЛА!$A5,STATUS!$D:$D,ДЕЛА!CB$1,STATUS!$S:$S,"Согласовано")</f>
        <v>3</v>
      </c>
      <c r="CC5" s="309">
        <f>COUNTIFS(STATUS!$Q:$Q,ДЕЛА!$A5,STATUS!$D:$D,ДЕЛА!CB$1)</f>
        <v>3</v>
      </c>
      <c r="CD5" s="599">
        <f t="shared" si="29"/>
        <v>1</v>
      </c>
      <c r="CE5" s="602">
        <f>COUNTIFS(STATUS!$Q:$Q,ДЕЛА!$A5,STATUS!$D:$D,ДЕЛА!CE$1,STATUS!$S:$S,"Согласовано")</f>
        <v>2</v>
      </c>
      <c r="CF5" s="309">
        <f>COUNTIFS(STATUS!$Q:$Q,ДЕЛА!$A5,STATUS!$D:$D,ДЕЛА!CE$1)</f>
        <v>2</v>
      </c>
      <c r="CG5" s="599">
        <f t="shared" si="30"/>
        <v>1</v>
      </c>
      <c r="CH5" s="610">
        <f t="shared" si="31"/>
        <v>0</v>
      </c>
      <c r="CI5" s="602">
        <f>COUNTIFS(STATUS!$Q:$Q,ДЕЛА!$A5,STATUS!$D:$D,ДЕЛА!CI$1,STATUS!$S:$S,"Согласовано")</f>
        <v>5</v>
      </c>
      <c r="CJ5" s="309">
        <f>COUNTIFS(STATUS!$Q:$Q,ДЕЛА!$A5,STATUS!$D:$D,ДЕЛА!CI$1)</f>
        <v>5</v>
      </c>
      <c r="CK5" s="599">
        <f t="shared" si="32"/>
        <v>1</v>
      </c>
      <c r="CL5" s="602">
        <f>COUNTIFS(STATUS!$Q:$Q,ДЕЛА!$A5,STATUS!$D:$D,ДЕЛА!CL$1,STATUS!$S:$S,"Согласовано")</f>
        <v>3</v>
      </c>
      <c r="CM5" s="309">
        <f>COUNTIFS(STATUS!$Q:$Q,ДЕЛА!$A5,STATUS!$D:$D,ДЕЛА!CL$1)</f>
        <v>3</v>
      </c>
      <c r="CN5" s="599">
        <f t="shared" si="33"/>
        <v>1</v>
      </c>
      <c r="CO5" s="602">
        <f>COUNTIFS(STATUS!$Q:$Q,ДЕЛА!$A5,STATUS!$D:$D,ДЕЛА!CO$1,STATUS!$S:$S,"Согласовано")</f>
        <v>3</v>
      </c>
      <c r="CP5" s="309">
        <f>COUNTIFS(STATUS!$Q:$Q,ДЕЛА!$A5,STATUS!$D:$D,ДЕЛА!CO$1)</f>
        <v>3</v>
      </c>
      <c r="CQ5" s="599">
        <f t="shared" si="34"/>
        <v>1</v>
      </c>
      <c r="CR5" s="602">
        <f>COUNTIFS(STATUS!$Q:$Q,ДЕЛА!$A5,STATUS!$D:$D,ДЕЛА!CR$1,STATUS!$S:$S,"Согласовано")</f>
        <v>2</v>
      </c>
      <c r="CS5" s="309">
        <f>COUNTIFS(STATUS!$Q:$Q,ДЕЛА!$A5,STATUS!$D:$D,ДЕЛА!CR$1)</f>
        <v>2</v>
      </c>
      <c r="CT5" s="599">
        <f t="shared" si="35"/>
        <v>1</v>
      </c>
      <c r="CU5" s="602">
        <f>COUNTIFS(STATUS!$Q:$Q,ДЕЛА!$A5,STATUS!$D:$D,ДЕЛА!CU$1,STATUS!$S:$S,"Согласовано")</f>
        <v>0</v>
      </c>
      <c r="CV5" s="309">
        <f>COUNTIFS(STATUS!$Q:$Q,ДЕЛА!$A5,STATUS!$D:$D,ДЕЛА!CU$1)</f>
        <v>0</v>
      </c>
      <c r="CW5" s="599">
        <f t="shared" si="36"/>
        <v>1</v>
      </c>
      <c r="CX5" s="610">
        <f t="shared" si="37"/>
        <v>0</v>
      </c>
      <c r="CY5" s="602">
        <f>COUNTIFS(STATUS!$Q:$Q,ДЕЛА!$A5,STATUS!$D:$D,ДЕЛА!CY$1,STATUS!$S:$S,"Согласовано")</f>
        <v>3</v>
      </c>
      <c r="CZ5" s="309">
        <f>COUNTIFS(STATUS!$Q:$Q,ДЕЛА!$A5,STATUS!$D:$D,ДЕЛА!CY$1)</f>
        <v>3</v>
      </c>
      <c r="DA5" s="599">
        <f t="shared" si="38"/>
        <v>1</v>
      </c>
      <c r="DB5" s="602">
        <f>COUNTIFS(STATUS!$Q:$Q,ДЕЛА!$A5,STATUS!$D:$D,ДЕЛА!DB$1,STATUS!$S:$S,"Согласовано")</f>
        <v>41</v>
      </c>
      <c r="DC5" s="309">
        <f>COUNTIFS(STATUS!$Q:$Q,ДЕЛА!$A5,STATUS!$D:$D,ДЕЛА!DB$1)</f>
        <v>41</v>
      </c>
      <c r="DD5" s="599">
        <f t="shared" si="39"/>
        <v>1</v>
      </c>
      <c r="DE5" s="602">
        <f>COUNTIFS(STATUS!$Q:$Q,ДЕЛА!$A5,STATUS!$D:$D,ДЕЛА!DE$1,STATUS!$S:$S,"Согласовано")</f>
        <v>1</v>
      </c>
      <c r="DF5" s="309">
        <f>COUNTIFS(STATUS!$Q:$Q,ДЕЛА!$A5,STATUS!$D:$D,ДЕЛА!DE$1)</f>
        <v>1</v>
      </c>
      <c r="DG5" s="599">
        <f t="shared" si="40"/>
        <v>1</v>
      </c>
      <c r="DH5" s="602">
        <f>COUNTIFS(STATUS!$Q:$Q,ДЕЛА!$A5,STATUS!$D:$D,ДЕЛА!DH$1,STATUS!$S:$S,"Согласовано")</f>
        <v>2</v>
      </c>
      <c r="DI5" s="309">
        <f>COUNTIFS(STATUS!$Q:$Q,ДЕЛА!$A5,STATUS!$D:$D,ДЕЛА!DH$1)</f>
        <v>2</v>
      </c>
      <c r="DJ5" s="599">
        <f t="shared" si="41"/>
        <v>1</v>
      </c>
      <c r="DK5" s="602">
        <f>COUNTIFS(STATUS!$Q:$Q,ДЕЛА!$A5,STATUS!$D:$D,ДЕЛА!DK$1,STATUS!$S:$S,"Согласовано")</f>
        <v>4</v>
      </c>
      <c r="DL5" s="309">
        <f>COUNTIFS(STATUS!$Q:$Q,ДЕЛА!$A5,STATUS!$D:$D,ДЕЛА!DK$1)</f>
        <v>4</v>
      </c>
      <c r="DM5" s="599">
        <f t="shared" si="42"/>
        <v>1</v>
      </c>
      <c r="DN5" s="610">
        <f t="shared" si="43"/>
        <v>0</v>
      </c>
      <c r="DO5" s="602">
        <f>COUNTIFS(STATUS!$Q:$Q,ДЕЛА!$A5,STATUS!$D:$D,ДЕЛА!DO$1,STATUS!$S:$S,"Согласовано")</f>
        <v>2</v>
      </c>
      <c r="DP5" s="309">
        <f>COUNTIFS(STATUS!$Q:$Q,ДЕЛА!$A5,STATUS!$D:$D,ДЕЛА!DO$1)</f>
        <v>2</v>
      </c>
      <c r="DQ5" s="599">
        <f t="shared" si="44"/>
        <v>1</v>
      </c>
      <c r="DR5" s="602">
        <f>COUNTIFS(STATUS!$Q:$Q,ДЕЛА!$A5,STATUS!$D:$D,ДЕЛА!DR$1,STATUS!$S:$S,"Согласовано")</f>
        <v>4</v>
      </c>
      <c r="DS5" s="309">
        <f>COUNTIFS(STATUS!$Q:$Q,ДЕЛА!$A5,STATUS!$D:$D,ДЕЛА!DR$1)</f>
        <v>4</v>
      </c>
      <c r="DT5" s="599">
        <f t="shared" si="45"/>
        <v>1</v>
      </c>
      <c r="DU5" s="602">
        <f>COUNTIFS(STATUS!$Q:$Q,ДЕЛА!$A5,STATUS!$D:$D,ДЕЛА!DU$1,STATUS!$S:$S,"Согласовано")</f>
        <v>0</v>
      </c>
      <c r="DV5" s="309">
        <f>COUNTIFS(STATUS!$Q:$Q,ДЕЛА!$A5,STATUS!$D:$D,ДЕЛА!DU$1)</f>
        <v>0</v>
      </c>
      <c r="DW5" s="599">
        <f t="shared" si="46"/>
        <v>1</v>
      </c>
      <c r="DX5" s="602">
        <f>COUNTIFS(STATUS!$Q:$Q,ДЕЛА!$A5,STATUS!$D:$D,ДЕЛА!DX$1,STATUS!$S:$S,"Согласовано")</f>
        <v>7</v>
      </c>
      <c r="DY5" s="309">
        <f>COUNTIFS(STATUS!$Q:$Q,ДЕЛА!$A5,STATUS!$D:$D,ДЕЛА!DX$1)</f>
        <v>7</v>
      </c>
      <c r="DZ5" s="599">
        <f t="shared" si="47"/>
        <v>1</v>
      </c>
      <c r="EA5" s="602">
        <f>COUNTIFS(STATUS!$Q:$Q,ДЕЛА!$A5,STATUS!$D:$D,ДЕЛА!EA$1,STATUS!$S:$S,"Согласовано")</f>
        <v>4</v>
      </c>
      <c r="EB5" s="309">
        <f>COUNTIFS(STATUS!$Q:$Q,ДЕЛА!$A5,STATUS!$D:$D,ДЕЛА!EA$1)</f>
        <v>4</v>
      </c>
      <c r="EC5" s="599">
        <f t="shared" si="48"/>
        <v>1</v>
      </c>
      <c r="ED5" s="610">
        <f t="shared" si="49"/>
        <v>0</v>
      </c>
      <c r="EE5" s="602">
        <f>COUNTIFS(STATUS!$Q:$Q,ДЕЛА!$A5,STATUS!$D:$D,ДЕЛА!EE$1,STATUS!$S:$S,"Согласовано")</f>
        <v>3</v>
      </c>
      <c r="EF5" s="309">
        <f>COUNTIFS(STATUS!$Q:$Q,ДЕЛА!$A5,STATUS!$D:$D,ДЕЛА!EE$1)</f>
        <v>3</v>
      </c>
      <c r="EG5" s="599">
        <f t="shared" si="50"/>
        <v>1</v>
      </c>
      <c r="EH5" s="602">
        <f>COUNTIFS(STATUS!$Q:$Q,ДЕЛА!$A5,STATUS!$D:$D,ДЕЛА!EH$1,STATUS!$S:$S,"Согласовано")</f>
        <v>2</v>
      </c>
      <c r="EI5" s="309">
        <f>COUNTIFS(STATUS!$Q:$Q,ДЕЛА!$A5,STATUS!$D:$D,ДЕЛА!EH$1)</f>
        <v>5</v>
      </c>
      <c r="EJ5" s="599">
        <f t="shared" si="51"/>
        <v>0.4</v>
      </c>
      <c r="EK5" s="602">
        <f>COUNTIFS(STATUS!$Q:$Q,ДЕЛА!$A5,STATUS!$D:$D,ДЕЛА!EK$1,STATUS!$S:$S,"Согласовано")</f>
        <v>0</v>
      </c>
      <c r="EL5" s="309">
        <f>COUNTIFS(STATUS!$Q:$Q,ДЕЛА!$A5,STATUS!$D:$D,ДЕЛА!EK$1)</f>
        <v>0</v>
      </c>
      <c r="EM5" s="599">
        <f t="shared" si="52"/>
        <v>1</v>
      </c>
      <c r="EN5" s="602">
        <f>COUNTIFS(STATUS!$Q:$Q,ДЕЛА!$A5,STATUS!$D:$D,ДЕЛА!EN$1,STATUS!$S:$S,"Согласовано")</f>
        <v>0</v>
      </c>
      <c r="EO5" s="309">
        <f>COUNTIFS(STATUS!$Q:$Q,ДЕЛА!$A5,STATUS!$D:$D,ДЕЛА!EN$1)</f>
        <v>11</v>
      </c>
      <c r="EP5" s="599">
        <f t="shared" si="53"/>
        <v>0</v>
      </c>
      <c r="EQ5" s="602">
        <f>COUNTIFS(STATUS!$Q:$Q,ДЕЛА!$A5,STATUS!$D:$D,ДЕЛА!EQ$1,STATUS!$S:$S,"Согласовано")</f>
        <v>0</v>
      </c>
      <c r="ER5" s="309">
        <f>COUNTIFS(STATUS!$Q:$Q,ДЕЛА!$A5,STATUS!$D:$D,ДЕЛА!EQ$1)</f>
        <v>8</v>
      </c>
      <c r="ES5" s="599">
        <f t="shared" si="54"/>
        <v>0</v>
      </c>
      <c r="ET5" s="610">
        <f t="shared" si="55"/>
        <v>22</v>
      </c>
      <c r="EU5" s="602">
        <f>COUNTIFS(STATUS!$Q:$Q,ДЕЛА!$A5,STATUS!$D:$D,ДЕЛА!EU$1,STATUS!$S:$S,"Согласовано")</f>
        <v>0</v>
      </c>
      <c r="EV5" s="309">
        <f>COUNTIFS(STATUS!$Q:$Q,ДЕЛА!$A5,STATUS!$D:$D,ДЕЛА!EU$1)</f>
        <v>6</v>
      </c>
      <c r="EW5" s="599">
        <f t="shared" si="56"/>
        <v>0</v>
      </c>
      <c r="EX5" s="602">
        <f>COUNTIFS(STATUS!$Q:$Q,ДЕЛА!$A5,STATUS!$D:$D,ДЕЛА!EX$1,STATUS!$S:$S,"Согласовано")</f>
        <v>0</v>
      </c>
      <c r="EY5" s="309">
        <f>COUNTIFS(STATUS!$Q:$Q,ДЕЛА!$A5,STATUS!$D:$D,ДЕЛА!EX$1)</f>
        <v>2</v>
      </c>
      <c r="EZ5" s="599">
        <f t="shared" si="57"/>
        <v>0</v>
      </c>
      <c r="FA5" s="602">
        <f>COUNTIFS(STATUS!$Q:$Q,ДЕЛА!$A5,STATUS!$D:$D,ДЕЛА!FA$1,STATUS!$S:$S,"Согласовано")</f>
        <v>0</v>
      </c>
      <c r="FB5" s="309">
        <f>COUNTIFS(STATUS!$Q:$Q,ДЕЛА!$A5,STATUS!$D:$D,ДЕЛА!FA$1)</f>
        <v>3</v>
      </c>
      <c r="FC5" s="599">
        <f t="shared" si="58"/>
        <v>0</v>
      </c>
      <c r="FD5" s="602">
        <f>COUNTIFS(STATUS!$Q:$Q,ДЕЛА!$A5,STATUS!$D:$D,ДЕЛА!FD$1,STATUS!$S:$S,"Согласовано")</f>
        <v>0</v>
      </c>
      <c r="FE5" s="309">
        <f>COUNTIFS(STATUS!$Q:$Q,ДЕЛА!$A5,STATUS!$D:$D,ДЕЛА!FD$1)</f>
        <v>6</v>
      </c>
      <c r="FF5" s="599">
        <f t="shared" si="59"/>
        <v>0</v>
      </c>
      <c r="FG5" s="602">
        <f>COUNTIFS(STATUS!$Q:$Q,ДЕЛА!$A5,STATUS!$D:$D,ДЕЛА!FG$1,STATUS!$S:$S,"Согласовано")</f>
        <v>0</v>
      </c>
      <c r="FH5" s="309">
        <f>COUNTIFS(STATUS!$Q:$Q,ДЕЛА!$A5,STATUS!$D:$D,ДЕЛА!FG$1)</f>
        <v>2</v>
      </c>
      <c r="FI5" s="599">
        <f t="shared" si="60"/>
        <v>0</v>
      </c>
      <c r="FJ5" s="610">
        <f t="shared" si="61"/>
        <v>19</v>
      </c>
      <c r="FK5" s="602">
        <f>COUNTIFS(STATUS!$Q:$Q,ДЕЛА!$A5,STATUS!$D:$D,ДЕЛА!FK$1,STATUS!$S:$S,"Согласовано")</f>
        <v>0</v>
      </c>
      <c r="FL5" s="309">
        <f>COUNTIFS(STATUS!$Q:$Q,ДЕЛА!$A5,STATUS!$D:$D,ДЕЛА!FK$1)</f>
        <v>1</v>
      </c>
      <c r="FM5" s="599">
        <f t="shared" si="62"/>
        <v>0</v>
      </c>
      <c r="FN5" s="602">
        <f>COUNTIFS(STATUS!$Q:$Q,ДЕЛА!$A5,STATUS!$D:$D,ДЕЛА!FN$1,STATUS!$S:$S,"Согласовано")</f>
        <v>0</v>
      </c>
      <c r="FO5" s="309">
        <f>COUNTIFS(STATUS!$Q:$Q,ДЕЛА!$A5,STATUS!$D:$D,ДЕЛА!FN$1)</f>
        <v>1</v>
      </c>
      <c r="FP5" s="599">
        <f t="shared" si="63"/>
        <v>0</v>
      </c>
      <c r="FQ5" s="602">
        <f>COUNTIFS(STATUS!$Q:$Q,ДЕЛА!$A5,STATUS!$D:$D,ДЕЛА!FQ$1,STATUS!$S:$S,"Согласовано")</f>
        <v>0</v>
      </c>
      <c r="FR5" s="309">
        <f>COUNTIFS(STATUS!$Q:$Q,ДЕЛА!$A5,STATUS!$D:$D,ДЕЛА!FQ$1)</f>
        <v>0</v>
      </c>
      <c r="FS5" s="599">
        <f t="shared" si="64"/>
        <v>1</v>
      </c>
      <c r="FT5" s="602">
        <f>COUNTIFS(STATUS!$Q:$Q,ДЕЛА!$A5,STATUS!$D:$D,ДЕЛА!FT$1,STATUS!$S:$S,"Согласовано")</f>
        <v>0</v>
      </c>
      <c r="FU5" s="309">
        <f>COUNTIFS(STATUS!$Q:$Q,ДЕЛА!$A5,STATUS!$D:$D,ДЕЛА!FT$1)</f>
        <v>0</v>
      </c>
      <c r="FV5" s="599">
        <f t="shared" si="65"/>
        <v>1</v>
      </c>
      <c r="FW5" s="602">
        <f>COUNTIFS(STATUS!$Q:$Q,ДЕЛА!$A5,STATUS!$D:$D,ДЕЛА!FW$1,STATUS!$S:$S,"Согласовано")</f>
        <v>0</v>
      </c>
      <c r="FX5" s="309">
        <f>COUNTIFS(STATUS!$Q:$Q,ДЕЛА!$A5,STATUS!$D:$D,ДЕЛА!FW$1)</f>
        <v>0</v>
      </c>
      <c r="FY5" s="599">
        <f t="shared" si="66"/>
        <v>1</v>
      </c>
      <c r="FZ5" s="610">
        <f t="shared" si="67"/>
        <v>2</v>
      </c>
    </row>
    <row r="6" spans="1:182" x14ac:dyDescent="0.35">
      <c r="A6" s="676" t="s">
        <v>2163</v>
      </c>
      <c r="B6" s="671">
        <f>COUNTIFS(STATUS!$Q:$Q,ДЕЛА!$A6,STATUS!$H:$H,ДЕЛА!B$1)</f>
        <v>518</v>
      </c>
      <c r="C6" s="672">
        <f t="shared" si="4"/>
        <v>0.955719557195572</v>
      </c>
      <c r="D6" s="671">
        <f>COUNTIFS(STATUS!$Q:$Q,ДЕЛА!$A6,STATUS!$H:$H,ДЕЛА!D$1)</f>
        <v>21</v>
      </c>
      <c r="E6" s="672">
        <f t="shared" si="0"/>
        <v>3.8745387453874541E-2</v>
      </c>
      <c r="F6" s="671">
        <f>COUNTIFS(STATUS!$Q:$Q,ДЕЛА!$A6,STATUS!$I:$I,ДЕЛА!F$1)</f>
        <v>49</v>
      </c>
      <c r="G6" s="672">
        <f t="shared" si="1"/>
        <v>9.0405904059040587E-2</v>
      </c>
      <c r="H6" s="671">
        <f>COUNTIFS(STATUS!$Q:$Q,ДЕЛА!$A6,STATUS!$I:$I,ДЕЛА!H$1)</f>
        <v>41</v>
      </c>
      <c r="I6" s="672">
        <f t="shared" si="2"/>
        <v>7.5645756457564578E-2</v>
      </c>
      <c r="J6" s="671">
        <f>COUNTIFS(STATUS!$Q:$Q,ДЕЛА!$A6,STATUS!$S:$S,"На доработку")</f>
        <v>0</v>
      </c>
      <c r="K6" s="671">
        <f>COUNTIFS(STATUS!Q:Q,ДЕЛА!A6,STATUS!$S:$S,"Согласовано")</f>
        <v>509</v>
      </c>
      <c r="L6" s="671">
        <f>COUNTIFS(STATUS!$Q:$Q,ДЕЛА!$A6)</f>
        <v>542</v>
      </c>
      <c r="M6" s="671">
        <f t="shared" si="5"/>
        <v>33</v>
      </c>
      <c r="N6" s="672">
        <f t="shared" si="6"/>
        <v>0.93911439114391149</v>
      </c>
      <c r="O6" s="671">
        <f t="shared" si="3"/>
        <v>33</v>
      </c>
      <c r="P6" s="602">
        <f>COUNTIFS(STATUS!$Q:$Q,ДЕЛА!$A6,STATUS!$D:$D,ДЕЛА!P$1,STATUS!$S:$S,"Согласовано")</f>
        <v>0</v>
      </c>
      <c r="Q6" s="309">
        <f>COUNTIFS(STATUS!$Q:$Q,ДЕЛА!$A6,STATUS!$D:$D,ДЕЛА!P$1)</f>
        <v>0</v>
      </c>
      <c r="R6" s="603">
        <f t="shared" si="7"/>
        <v>1</v>
      </c>
      <c r="S6" s="407">
        <f>COUNTIFS(STATUS!$Q:$Q,ДЕЛА!$A6,STATUS!$D:$D,ДЕЛА!S$1,STATUS!$S:$S,"Согласовано")</f>
        <v>0</v>
      </c>
      <c r="T6" s="309">
        <f>COUNTIFS(STATUS!$Q:$Q,ДЕЛА!$A6,STATUS!$D:$D,ДЕЛА!S$1)</f>
        <v>0</v>
      </c>
      <c r="U6" s="599">
        <f t="shared" si="8"/>
        <v>1</v>
      </c>
      <c r="V6" s="602">
        <f>COUNTIFS(STATUS!$Q:$Q,ДЕЛА!$A6,STATUS!$D:$D,ДЕЛА!V$1,STATUS!$S:$S,"Согласовано")</f>
        <v>0</v>
      </c>
      <c r="W6" s="309">
        <f>COUNTIFS(STATUS!$Q:$Q,ДЕЛА!$A6,STATUS!$D:$D,ДЕЛА!V$1)</f>
        <v>0</v>
      </c>
      <c r="X6" s="603">
        <f t="shared" si="9"/>
        <v>1</v>
      </c>
      <c r="Y6" s="610">
        <f t="shared" si="68"/>
        <v>0</v>
      </c>
      <c r="Z6" s="407">
        <f>COUNTIFS(STATUS!$Q:$Q,ДЕЛА!$A6,STATUS!$D:$D,ДЕЛА!Z$1,STATUS!$S:$S,"Согласовано")</f>
        <v>5</v>
      </c>
      <c r="AA6" s="309">
        <f>COUNTIFS(STATUS!$Q:$Q,ДЕЛА!$A6,STATUS!$D:$D,ДЕЛА!Z$1)</f>
        <v>5</v>
      </c>
      <c r="AB6" s="599">
        <f t="shared" si="10"/>
        <v>1</v>
      </c>
      <c r="AC6" s="602">
        <f>COUNTIFS(STATUS!$Q:$Q,ДЕЛА!$A6,STATUS!$D:$D,ДЕЛА!AC$1,STATUS!$S:$S,"Согласовано")</f>
        <v>7</v>
      </c>
      <c r="AD6" s="309">
        <f>COUNTIFS(STATUS!$Q:$Q,ДЕЛА!$A6,STATUS!$D:$D,ДЕЛА!AC$1)</f>
        <v>7</v>
      </c>
      <c r="AE6" s="599">
        <f t="shared" si="11"/>
        <v>1</v>
      </c>
      <c r="AF6" s="407">
        <f>COUNTIFS(STATUS!$Q:$Q,ДЕЛА!$A6,STATUS!$D:$D,ДЕЛА!AF$1,STATUS!$S:$S,"Согласовано")</f>
        <v>7</v>
      </c>
      <c r="AG6" s="309">
        <f>COUNTIFS(STATUS!$Q:$Q,ДЕЛА!$A6,STATUS!$D:$D,ДЕЛА!AF$1)</f>
        <v>7</v>
      </c>
      <c r="AH6" s="599">
        <f t="shared" si="12"/>
        <v>1</v>
      </c>
      <c r="AI6" s="602">
        <f>COUNTIFS(STATUS!$Q:$Q,ДЕЛА!$A6,STATUS!$D:$D,ДЕЛА!AI$1,STATUS!$S:$S,"Согласовано")</f>
        <v>5</v>
      </c>
      <c r="AJ6" s="309">
        <f>COUNTIFS(STATUS!$Q:$Q,ДЕЛА!$A6,STATUS!$D:$D,ДЕЛА!AI$1)</f>
        <v>5</v>
      </c>
      <c r="AK6" s="599">
        <f t="shared" si="13"/>
        <v>1</v>
      </c>
      <c r="AL6" s="610">
        <f>SUM(AA6,AD6,AG6,AJ6)-SUM(Z6,AC6,AF6,AI6)</f>
        <v>0</v>
      </c>
      <c r="AM6" s="602">
        <f>COUNTIFS(STATUS!$Q:$Q,ДЕЛА!$A6,STATUS!$D:$D,ДЕЛА!AM$1,STATUS!$S:$S,"Согласовано")</f>
        <v>6</v>
      </c>
      <c r="AN6" s="309">
        <f>COUNTIFS(STATUS!$Q:$Q,ДЕЛА!$A6,STATUS!$D:$D,ДЕЛА!AM$1)</f>
        <v>6</v>
      </c>
      <c r="AO6" s="599">
        <f t="shared" si="14"/>
        <v>1</v>
      </c>
      <c r="AP6" s="602">
        <f>COUNTIFS(STATUS!$Q:$Q,ДЕЛА!$A6,STATUS!$D:$D,ДЕЛА!AP$1,STATUS!$S:$S,"Согласовано")</f>
        <v>7</v>
      </c>
      <c r="AQ6" s="309">
        <f>COUNTIFS(STATUS!$Q:$Q,ДЕЛА!$A6,STATUS!$D:$D,ДЕЛА!AP$1)</f>
        <v>7</v>
      </c>
      <c r="AR6" s="599">
        <f t="shared" si="15"/>
        <v>1</v>
      </c>
      <c r="AS6" s="602">
        <f>COUNTIFS(STATUS!$Q:$Q,ДЕЛА!$A6,STATUS!$D:$D,ДЕЛА!AS$1,STATUS!$S:$S,"Согласовано")</f>
        <v>5</v>
      </c>
      <c r="AT6" s="309">
        <f>COUNTIFS(STATUS!$Q:$Q,ДЕЛА!$A6,STATUS!$D:$D,ДЕЛА!AS$1)</f>
        <v>5</v>
      </c>
      <c r="AU6" s="599">
        <f t="shared" si="16"/>
        <v>1</v>
      </c>
      <c r="AV6" s="602">
        <f>COUNTIFS(STATUS!$Q:$Q,ДЕЛА!$A6,STATUS!$D:$D,ДЕЛА!AV$1,STATUS!$S:$S,"Согласовано")</f>
        <v>6</v>
      </c>
      <c r="AW6" s="309">
        <f>COUNTIFS(STATUS!$Q:$Q,ДЕЛА!$A6,STATUS!$D:$D,ДЕЛА!AV$1)</f>
        <v>6</v>
      </c>
      <c r="AX6" s="599">
        <f t="shared" si="17"/>
        <v>1</v>
      </c>
      <c r="AY6" s="602">
        <f>COUNTIFS(STATUS!$Q:$Q,ДЕЛА!$A6,STATUS!$D:$D,ДЕЛА!AY$1,STATUS!$S:$S,"Согласовано")</f>
        <v>4</v>
      </c>
      <c r="AZ6" s="309">
        <f>COUNTIFS(STATUS!$Q:$Q,ДЕЛА!$A6,STATUS!$D:$D,ДЕЛА!AY$1)</f>
        <v>4</v>
      </c>
      <c r="BA6" s="599">
        <f t="shared" si="18"/>
        <v>1</v>
      </c>
      <c r="BB6" s="610">
        <f t="shared" si="19"/>
        <v>0</v>
      </c>
      <c r="BC6" s="602">
        <f>COUNTIFS(STATUS!$Q:$Q,ДЕЛА!$A6,STATUS!$D:$D,ДЕЛА!BC$1,STATUS!$S:$S,"Согласовано")</f>
        <v>3</v>
      </c>
      <c r="BD6" s="309">
        <f>COUNTIFS(STATUS!$Q:$Q,ДЕЛА!$A6,STATUS!$D:$D,ДЕЛА!BC$1)</f>
        <v>3</v>
      </c>
      <c r="BE6" s="599">
        <f t="shared" si="20"/>
        <v>1</v>
      </c>
      <c r="BF6" s="602">
        <f>COUNTIFS(STATUS!$Q:$Q,ДЕЛА!$A6,STATUS!$D:$D,ДЕЛА!BF$1,STATUS!$S:$S,"Согласовано")</f>
        <v>3</v>
      </c>
      <c r="BG6" s="309">
        <f>COUNTIFS(STATUS!$Q:$Q,ДЕЛА!$A6,STATUS!$D:$D,ДЕЛА!BF$1)</f>
        <v>3</v>
      </c>
      <c r="BH6" s="599">
        <f t="shared" si="21"/>
        <v>1</v>
      </c>
      <c r="BI6" s="602">
        <f>COUNTIFS(STATUS!$Q:$Q,ДЕЛА!$A6,STATUS!$D:$D,ДЕЛА!BI$1,STATUS!$S:$S,"Согласовано")</f>
        <v>12</v>
      </c>
      <c r="BJ6" s="309">
        <f>COUNTIFS(STATUS!$Q:$Q,ДЕЛА!$A6,STATUS!$D:$D,ДЕЛА!BI$1)</f>
        <v>12</v>
      </c>
      <c r="BK6" s="599">
        <f t="shared" si="22"/>
        <v>1</v>
      </c>
      <c r="BL6" s="602">
        <f>COUNTIFS(STATUS!$Q:$Q,ДЕЛА!$A6,STATUS!$D:$D,ДЕЛА!BL$1,STATUS!$S:$S,"Согласовано")</f>
        <v>1</v>
      </c>
      <c r="BM6" s="309">
        <f>COUNTIFS(STATUS!$Q:$Q,ДЕЛА!$A6,STATUS!$D:$D,ДЕЛА!BL$1)</f>
        <v>1</v>
      </c>
      <c r="BN6" s="599">
        <f t="shared" si="23"/>
        <v>1</v>
      </c>
      <c r="BO6" s="602">
        <f>COUNTIFS(STATUS!$Q:$Q,ДЕЛА!$A6,STATUS!$D:$D,ДЕЛА!BO$1,STATUS!$S:$S,"Согласовано")</f>
        <v>1</v>
      </c>
      <c r="BP6" s="309">
        <f>COUNTIFS(STATUS!$Q:$Q,ДЕЛА!$A6,STATUS!$D:$D,ДЕЛА!BO$1)</f>
        <v>1</v>
      </c>
      <c r="BQ6" s="599">
        <f t="shared" si="24"/>
        <v>1</v>
      </c>
      <c r="BR6" s="610">
        <f t="shared" si="25"/>
        <v>0</v>
      </c>
      <c r="BS6" s="602">
        <f>COUNTIFS(STATUS!$Q:$Q,ДЕЛА!$A6,STATUS!$D:$D,ДЕЛА!BS$1,STATUS!$S:$S,"Согласовано")</f>
        <v>21</v>
      </c>
      <c r="BT6" s="309">
        <f>COUNTIFS(STATUS!$Q:$Q,ДЕЛА!$A6,STATUS!$D:$D,ДЕЛА!BS$1)</f>
        <v>21</v>
      </c>
      <c r="BU6" s="599">
        <f t="shared" si="26"/>
        <v>1</v>
      </c>
      <c r="BV6" s="602">
        <f>COUNTIFS(STATUS!$Q:$Q,ДЕЛА!$A6,STATUS!$D:$D,ДЕЛА!BV$1,STATUS!$S:$S,"Согласовано")</f>
        <v>1</v>
      </c>
      <c r="BW6" s="309">
        <f>COUNTIFS(STATUS!$Q:$Q,ДЕЛА!$A6,STATUS!$D:$D,ДЕЛА!BV$1)</f>
        <v>1</v>
      </c>
      <c r="BX6" s="599">
        <f t="shared" si="27"/>
        <v>1</v>
      </c>
      <c r="BY6" s="602">
        <f>COUNTIFS(STATUS!$Q:$Q,ДЕЛА!$A6,STATUS!$D:$D,ДЕЛА!BY$1,STATUS!$S:$S,"Согласовано")</f>
        <v>2</v>
      </c>
      <c r="BZ6" s="309">
        <f>COUNTIFS(STATUS!$Q:$Q,ДЕЛА!$A6,STATUS!$D:$D,ДЕЛА!BY$1)</f>
        <v>2</v>
      </c>
      <c r="CA6" s="599">
        <f t="shared" si="28"/>
        <v>1</v>
      </c>
      <c r="CB6" s="602">
        <f>COUNTIFS(STATUS!$Q:$Q,ДЕЛА!$A6,STATUS!$D:$D,ДЕЛА!CB$1,STATUS!$S:$S,"Согласовано")</f>
        <v>4</v>
      </c>
      <c r="CC6" s="309">
        <f>COUNTIFS(STATUS!$Q:$Q,ДЕЛА!$A6,STATUS!$D:$D,ДЕЛА!CB$1)</f>
        <v>4</v>
      </c>
      <c r="CD6" s="599">
        <f t="shared" si="29"/>
        <v>1</v>
      </c>
      <c r="CE6" s="602">
        <f>COUNTIFS(STATUS!$Q:$Q,ДЕЛА!$A6,STATUS!$D:$D,ДЕЛА!CE$1,STATUS!$S:$S,"Согласовано")</f>
        <v>3</v>
      </c>
      <c r="CF6" s="309">
        <f>COUNTIFS(STATUS!$Q:$Q,ДЕЛА!$A6,STATUS!$D:$D,ДЕЛА!CE$1)</f>
        <v>3</v>
      </c>
      <c r="CG6" s="599">
        <f t="shared" si="30"/>
        <v>1</v>
      </c>
      <c r="CH6" s="610">
        <f t="shared" si="31"/>
        <v>0</v>
      </c>
      <c r="CI6" s="602">
        <f>COUNTIFS(STATUS!$Q:$Q,ДЕЛА!$A6,STATUS!$D:$D,ДЕЛА!CI$1,STATUS!$S:$S,"Согласовано")</f>
        <v>7</v>
      </c>
      <c r="CJ6" s="309">
        <f>COUNTIFS(STATUS!$Q:$Q,ДЕЛА!$A6,STATUS!$D:$D,ДЕЛА!CI$1)</f>
        <v>7</v>
      </c>
      <c r="CK6" s="599">
        <f t="shared" si="32"/>
        <v>1</v>
      </c>
      <c r="CL6" s="602">
        <f>COUNTIFS(STATUS!$Q:$Q,ДЕЛА!$A6,STATUS!$D:$D,ДЕЛА!CL$1,STATUS!$S:$S,"Согласовано")</f>
        <v>3</v>
      </c>
      <c r="CM6" s="309">
        <f>COUNTIFS(STATUS!$Q:$Q,ДЕЛА!$A6,STATUS!$D:$D,ДЕЛА!CL$1)</f>
        <v>3</v>
      </c>
      <c r="CN6" s="599">
        <f t="shared" si="33"/>
        <v>1</v>
      </c>
      <c r="CO6" s="602">
        <f>COUNTIFS(STATUS!$Q:$Q,ДЕЛА!$A6,STATUS!$D:$D,ДЕЛА!CO$1,STATUS!$S:$S,"Согласовано")</f>
        <v>3</v>
      </c>
      <c r="CP6" s="309">
        <f>COUNTIFS(STATUS!$Q:$Q,ДЕЛА!$A6,STATUS!$D:$D,ДЕЛА!CO$1)</f>
        <v>3</v>
      </c>
      <c r="CQ6" s="599">
        <f t="shared" si="34"/>
        <v>1</v>
      </c>
      <c r="CR6" s="602">
        <f>COUNTIFS(STATUS!$Q:$Q,ДЕЛА!$A6,STATUS!$D:$D,ДЕЛА!CR$1,STATUS!$S:$S,"Согласовано")</f>
        <v>2</v>
      </c>
      <c r="CS6" s="309">
        <f>COUNTIFS(STATUS!$Q:$Q,ДЕЛА!$A6,STATUS!$D:$D,ДЕЛА!CR$1)</f>
        <v>2</v>
      </c>
      <c r="CT6" s="599">
        <f t="shared" si="35"/>
        <v>1</v>
      </c>
      <c r="CU6" s="602">
        <f>COUNTIFS(STATUS!$Q:$Q,ДЕЛА!$A6,STATUS!$D:$D,ДЕЛА!CU$1,STATUS!$S:$S,"Согласовано")</f>
        <v>0</v>
      </c>
      <c r="CV6" s="309">
        <f>COUNTIFS(STATUS!$Q:$Q,ДЕЛА!$A6,STATUS!$D:$D,ДЕЛА!CU$1)</f>
        <v>0</v>
      </c>
      <c r="CW6" s="599">
        <f t="shared" si="36"/>
        <v>1</v>
      </c>
      <c r="CX6" s="610">
        <f t="shared" si="37"/>
        <v>0</v>
      </c>
      <c r="CY6" s="602">
        <f>COUNTIFS(STATUS!$Q:$Q,ДЕЛА!$A6,STATUS!$D:$D,ДЕЛА!CY$1,STATUS!$S:$S,"Согласовано")</f>
        <v>3</v>
      </c>
      <c r="CZ6" s="309">
        <f>COUNTIFS(STATUS!$Q:$Q,ДЕЛА!$A6,STATUS!$D:$D,ДЕЛА!CY$1)</f>
        <v>3</v>
      </c>
      <c r="DA6" s="599">
        <f t="shared" si="38"/>
        <v>1</v>
      </c>
      <c r="DB6" s="602">
        <f>COUNTIFS(STATUS!$Q:$Q,ДЕЛА!$A6,STATUS!$D:$D,ДЕЛА!DB$1,STATUS!$S:$S,"Согласовано")</f>
        <v>41</v>
      </c>
      <c r="DC6" s="309">
        <f>COUNTIFS(STATUS!$Q:$Q,ДЕЛА!$A6,STATUS!$D:$D,ДЕЛА!DB$1)</f>
        <v>41</v>
      </c>
      <c r="DD6" s="599">
        <f t="shared" si="39"/>
        <v>1</v>
      </c>
      <c r="DE6" s="602">
        <f>COUNTIFS(STATUS!$Q:$Q,ДЕЛА!$A6,STATUS!$D:$D,ДЕЛА!DE$1,STATUS!$S:$S,"Согласовано")</f>
        <v>3</v>
      </c>
      <c r="DF6" s="309">
        <f>COUNTIFS(STATUS!$Q:$Q,ДЕЛА!$A6,STATUS!$D:$D,ДЕЛА!DE$1)</f>
        <v>3</v>
      </c>
      <c r="DG6" s="599">
        <f t="shared" si="40"/>
        <v>1</v>
      </c>
      <c r="DH6" s="602">
        <f>COUNTIFS(STATUS!$Q:$Q,ДЕЛА!$A6,STATUS!$D:$D,ДЕЛА!DH$1,STATUS!$S:$S,"Согласовано")</f>
        <v>1</v>
      </c>
      <c r="DI6" s="309">
        <f>COUNTIFS(STATUS!$Q:$Q,ДЕЛА!$A6,STATUS!$D:$D,ДЕЛА!DH$1)</f>
        <v>1</v>
      </c>
      <c r="DJ6" s="599">
        <f t="shared" si="41"/>
        <v>1</v>
      </c>
      <c r="DK6" s="602">
        <f>COUNTIFS(STATUS!$Q:$Q,ДЕЛА!$A6,STATUS!$D:$D,ДЕЛА!DK$1,STATUS!$S:$S,"Согласовано")</f>
        <v>4</v>
      </c>
      <c r="DL6" s="309">
        <f>COUNTIFS(STATUS!$Q:$Q,ДЕЛА!$A6,STATUS!$D:$D,ДЕЛА!DK$1)</f>
        <v>4</v>
      </c>
      <c r="DM6" s="599">
        <f t="shared" si="42"/>
        <v>1</v>
      </c>
      <c r="DN6" s="610">
        <f t="shared" si="43"/>
        <v>0</v>
      </c>
      <c r="DO6" s="602">
        <f>COUNTIFS(STATUS!$Q:$Q,ДЕЛА!$A6,STATUS!$D:$D,ДЕЛА!DO$1,STATUS!$S:$S,"Согласовано")</f>
        <v>3</v>
      </c>
      <c r="DP6" s="309">
        <f>COUNTIFS(STATUS!$Q:$Q,ДЕЛА!$A6,STATUS!$D:$D,ДЕЛА!DO$1)</f>
        <v>3</v>
      </c>
      <c r="DQ6" s="599">
        <f t="shared" si="44"/>
        <v>1</v>
      </c>
      <c r="DR6" s="602">
        <f>COUNTIFS(STATUS!$Q:$Q,ДЕЛА!$A6,STATUS!$D:$D,ДЕЛА!DR$1,STATUS!$S:$S,"Согласовано")</f>
        <v>10</v>
      </c>
      <c r="DS6" s="309">
        <f>COUNTIFS(STATUS!$Q:$Q,ДЕЛА!$A6,STATUS!$D:$D,ДЕЛА!DR$1)</f>
        <v>10</v>
      </c>
      <c r="DT6" s="599">
        <f t="shared" si="45"/>
        <v>1</v>
      </c>
      <c r="DU6" s="602">
        <f>COUNTIFS(STATUS!$Q:$Q,ДЕЛА!$A6,STATUS!$D:$D,ДЕЛА!DU$1,STATUS!$S:$S,"Согласовано")</f>
        <v>0</v>
      </c>
      <c r="DV6" s="309">
        <f>COUNTIFS(STATUS!$Q:$Q,ДЕЛА!$A6,STATUS!$D:$D,ДЕЛА!DU$1)</f>
        <v>0</v>
      </c>
      <c r="DW6" s="599">
        <f t="shared" si="46"/>
        <v>1</v>
      </c>
      <c r="DX6" s="602">
        <f>COUNTIFS(STATUS!$Q:$Q,ДЕЛА!$A6,STATUS!$D:$D,ДЕЛА!DX$1,STATUS!$S:$S,"Согласовано")</f>
        <v>7</v>
      </c>
      <c r="DY6" s="309">
        <f>COUNTIFS(STATUS!$Q:$Q,ДЕЛА!$A6,STATUS!$D:$D,ДЕЛА!DX$1)</f>
        <v>7</v>
      </c>
      <c r="DZ6" s="599">
        <f t="shared" si="47"/>
        <v>1</v>
      </c>
      <c r="EA6" s="602">
        <f>COUNTIFS(STATUS!$Q:$Q,ДЕЛА!$A6,STATUS!$D:$D,ДЕЛА!EA$1,STATUS!$S:$S,"Согласовано")</f>
        <v>4</v>
      </c>
      <c r="EB6" s="309">
        <f>COUNTIFS(STATUS!$Q:$Q,ДЕЛА!$A6,STATUS!$D:$D,ДЕЛА!EA$1)</f>
        <v>4</v>
      </c>
      <c r="EC6" s="599">
        <f t="shared" si="48"/>
        <v>1</v>
      </c>
      <c r="ED6" s="610">
        <f t="shared" si="49"/>
        <v>0</v>
      </c>
      <c r="EE6" s="602">
        <f>COUNTIFS(STATUS!$Q:$Q,ДЕЛА!$A6,STATUS!$D:$D,ДЕЛА!EE$1,STATUS!$S:$S,"Согласовано")</f>
        <v>1</v>
      </c>
      <c r="EF6" s="309">
        <f>COUNTIFS(STATUS!$Q:$Q,ДЕЛА!$A6,STATUS!$D:$D,ДЕЛА!EE$1)</f>
        <v>2</v>
      </c>
      <c r="EG6" s="599">
        <f t="shared" si="50"/>
        <v>0.5</v>
      </c>
      <c r="EH6" s="602">
        <f>COUNTIFS(STATUS!$Q:$Q,ДЕЛА!$A6,STATUS!$D:$D,ДЕЛА!EH$1,STATUS!$S:$S,"Согласовано")</f>
        <v>3</v>
      </c>
      <c r="EI6" s="309">
        <f>COUNTIFS(STATUS!$Q:$Q,ДЕЛА!$A6,STATUS!$D:$D,ДЕЛА!EH$1)</f>
        <v>5</v>
      </c>
      <c r="EJ6" s="599">
        <f t="shared" si="51"/>
        <v>0.6</v>
      </c>
      <c r="EK6" s="602">
        <f>COUNTIFS(STATUS!$Q:$Q,ДЕЛА!$A6,STATUS!$D:$D,ДЕЛА!EK$1,STATUS!$S:$S,"Согласовано")</f>
        <v>0</v>
      </c>
      <c r="EL6" s="309">
        <f>COUNTIFS(STATUS!$Q:$Q,ДЕЛА!$A6,STATUS!$D:$D,ДЕЛА!EK$1)</f>
        <v>0</v>
      </c>
      <c r="EM6" s="599">
        <f t="shared" si="52"/>
        <v>1</v>
      </c>
      <c r="EN6" s="602">
        <f>COUNTIFS(STATUS!$Q:$Q,ДЕЛА!$A6,STATUS!$D:$D,ДЕЛА!EN$1,STATUS!$S:$S,"Согласовано")</f>
        <v>3</v>
      </c>
      <c r="EO6" s="309">
        <f>COUNTIFS(STATUS!$Q:$Q,ДЕЛА!$A6,STATUS!$D:$D,ДЕЛА!EN$1)</f>
        <v>10</v>
      </c>
      <c r="EP6" s="599">
        <f t="shared" si="53"/>
        <v>0.3</v>
      </c>
      <c r="EQ6" s="602">
        <f>COUNTIFS(STATUS!$Q:$Q,ДЕЛА!$A6,STATUS!$D:$D,ДЕЛА!EQ$1,STATUS!$S:$S,"Согласовано")</f>
        <v>0</v>
      </c>
      <c r="ER6" s="309">
        <f>COUNTIFS(STATUS!$Q:$Q,ДЕЛА!$A6,STATUS!$D:$D,ДЕЛА!EQ$1)</f>
        <v>6</v>
      </c>
      <c r="ES6" s="599">
        <f t="shared" si="54"/>
        <v>0</v>
      </c>
      <c r="ET6" s="610">
        <f t="shared" si="55"/>
        <v>16</v>
      </c>
      <c r="EU6" s="602">
        <f>COUNTIFS(STATUS!$Q:$Q,ДЕЛА!$A6,STATUS!$D:$D,ДЕЛА!EU$1,STATUS!$S:$S,"Согласовано")</f>
        <v>0</v>
      </c>
      <c r="EV6" s="309">
        <f>COUNTIFS(STATUS!$Q:$Q,ДЕЛА!$A6,STATUS!$D:$D,ДЕЛА!EU$1)</f>
        <v>7</v>
      </c>
      <c r="EW6" s="599">
        <f t="shared" si="56"/>
        <v>0</v>
      </c>
      <c r="EX6" s="602">
        <f>COUNTIFS(STATUS!$Q:$Q,ДЕЛА!$A6,STATUS!$D:$D,ДЕЛА!EX$1,STATUS!$S:$S,"Согласовано")</f>
        <v>0</v>
      </c>
      <c r="EY6" s="309">
        <f>COUNTIFS(STATUS!$Q:$Q,ДЕЛА!$A6,STATUS!$D:$D,ДЕЛА!EX$1)</f>
        <v>1</v>
      </c>
      <c r="EZ6" s="599">
        <f t="shared" si="57"/>
        <v>0</v>
      </c>
      <c r="FA6" s="602">
        <f>COUNTIFS(STATUS!$Q:$Q,ДЕЛА!$A6,STATUS!$D:$D,ДЕЛА!FA$1,STATUS!$S:$S,"Согласовано")</f>
        <v>0</v>
      </c>
      <c r="FB6" s="309">
        <f>COUNTIFS(STATUS!$Q:$Q,ДЕЛА!$A6,STATUS!$D:$D,ДЕЛА!FA$1)</f>
        <v>2</v>
      </c>
      <c r="FC6" s="599">
        <f t="shared" si="58"/>
        <v>0</v>
      </c>
      <c r="FD6" s="602">
        <f>COUNTIFS(STATUS!$Q:$Q,ДЕЛА!$A6,STATUS!$D:$D,ДЕЛА!FD$1,STATUS!$S:$S,"Согласовано")</f>
        <v>0</v>
      </c>
      <c r="FE6" s="309">
        <f>COUNTIFS(STATUS!$Q:$Q,ДЕЛА!$A6,STATUS!$D:$D,ДЕЛА!FD$1)</f>
        <v>0</v>
      </c>
      <c r="FF6" s="599">
        <f t="shared" si="59"/>
        <v>1</v>
      </c>
      <c r="FG6" s="602">
        <f>COUNTIFS(STATUS!$Q:$Q,ДЕЛА!$A6,STATUS!$D:$D,ДЕЛА!FG$1,STATUS!$S:$S,"Согласовано")</f>
        <v>0</v>
      </c>
      <c r="FH6" s="309">
        <f>COUNTIFS(STATUS!$Q:$Q,ДЕЛА!$A6,STATUS!$D:$D,ДЕЛА!FG$1)</f>
        <v>2</v>
      </c>
      <c r="FI6" s="599">
        <f t="shared" si="60"/>
        <v>0</v>
      </c>
      <c r="FJ6" s="610">
        <f t="shared" si="61"/>
        <v>12</v>
      </c>
      <c r="FK6" s="602">
        <f>COUNTIFS(STATUS!$Q:$Q,ДЕЛА!$A6,STATUS!$D:$D,ДЕЛА!FK$1,STATUS!$S:$S,"Согласовано")</f>
        <v>0</v>
      </c>
      <c r="FL6" s="309">
        <f>COUNTIFS(STATUS!$Q:$Q,ДЕЛА!$A6,STATUS!$D:$D,ДЕЛА!FK$1)</f>
        <v>1</v>
      </c>
      <c r="FM6" s="599">
        <f t="shared" si="62"/>
        <v>0</v>
      </c>
      <c r="FN6" s="602">
        <f>COUNTIFS(STATUS!$Q:$Q,ДЕЛА!$A6,STATUS!$D:$D,ДЕЛА!FN$1,STATUS!$S:$S,"Согласовано")</f>
        <v>0</v>
      </c>
      <c r="FO6" s="309">
        <f>COUNTIFS(STATUS!$Q:$Q,ДЕЛА!$A6,STATUS!$D:$D,ДЕЛА!FN$1)</f>
        <v>2</v>
      </c>
      <c r="FP6" s="599">
        <f t="shared" si="63"/>
        <v>0</v>
      </c>
      <c r="FQ6" s="602">
        <f>COUNTIFS(STATUS!$Q:$Q,ДЕЛА!$A6,STATUS!$D:$D,ДЕЛА!FQ$1,STATUS!$S:$S,"Согласовано")</f>
        <v>0</v>
      </c>
      <c r="FR6" s="309">
        <f>COUNTIFS(STATUS!$Q:$Q,ДЕЛА!$A6,STATUS!$D:$D,ДЕЛА!FQ$1)</f>
        <v>0</v>
      </c>
      <c r="FS6" s="599">
        <f t="shared" si="64"/>
        <v>1</v>
      </c>
      <c r="FT6" s="602">
        <f>COUNTIFS(STATUS!$Q:$Q,ДЕЛА!$A6,STATUS!$D:$D,ДЕЛА!FT$1,STATUS!$S:$S,"Согласовано")</f>
        <v>0</v>
      </c>
      <c r="FU6" s="309">
        <f>COUNTIFS(STATUS!$Q:$Q,ДЕЛА!$A6,STATUS!$D:$D,ДЕЛА!FT$1)</f>
        <v>0</v>
      </c>
      <c r="FV6" s="599">
        <f t="shared" si="65"/>
        <v>1</v>
      </c>
      <c r="FW6" s="602">
        <f>COUNTIFS(STATUS!$Q:$Q,ДЕЛА!$A6,STATUS!$D:$D,ДЕЛА!FW$1,STATUS!$S:$S,"Согласовано")</f>
        <v>0</v>
      </c>
      <c r="FX6" s="309">
        <f>COUNTIFS(STATUS!$Q:$Q,ДЕЛА!$A6,STATUS!$D:$D,ДЕЛА!FW$1)</f>
        <v>0</v>
      </c>
      <c r="FY6" s="599">
        <f t="shared" si="66"/>
        <v>1</v>
      </c>
      <c r="FZ6" s="610">
        <f t="shared" si="67"/>
        <v>3</v>
      </c>
    </row>
    <row r="7" spans="1:182" ht="15" thickBot="1" x14ac:dyDescent="0.4">
      <c r="A7" s="677" t="s">
        <v>2447</v>
      </c>
      <c r="B7" s="671">
        <f>COUNTIFS(STATUS!$Q:$Q,ДЕЛА!$A7,STATUS!$H:$H,ДЕЛА!B$1)</f>
        <v>396</v>
      </c>
      <c r="C7" s="711">
        <f t="shared" si="4"/>
        <v>0.9682151589242054</v>
      </c>
      <c r="D7" s="710">
        <f>COUNTIFS(STATUS!$Q:$Q,ДЕЛА!$A7,STATUS!$H:$H,ДЕЛА!D$1)</f>
        <v>13</v>
      </c>
      <c r="E7" s="711">
        <f t="shared" si="0"/>
        <v>3.1784841075794622E-2</v>
      </c>
      <c r="F7" s="671">
        <f>COUNTIFS(STATUS!$Q:$Q,ДЕЛА!$A7,STATUS!$I:$I,ДЕЛА!F$1)</f>
        <v>49</v>
      </c>
      <c r="G7" s="711">
        <f t="shared" si="1"/>
        <v>0.11980440097799511</v>
      </c>
      <c r="H7" s="671">
        <f>COUNTIFS(STATUS!$Q:$Q,ДЕЛА!$A7,STATUS!$I:$I,ДЕЛА!H$1)</f>
        <v>32</v>
      </c>
      <c r="I7" s="711">
        <f t="shared" si="2"/>
        <v>7.823960880195599E-2</v>
      </c>
      <c r="J7" s="671">
        <f>COUNTIFS(STATUS!$Q:$Q,ДЕЛА!$A7,STATUS!$S:$S,"На доработку")</f>
        <v>0</v>
      </c>
      <c r="K7" s="671">
        <f>COUNTIFS(STATUS!Q:Q,ДЕЛА!A7,STATUS!$S:$S,"Согласовано")</f>
        <v>373</v>
      </c>
      <c r="L7" s="671">
        <f>COUNTIFS(STATUS!$Q:$Q,ДЕЛА!$A7)</f>
        <v>409</v>
      </c>
      <c r="M7" s="671">
        <f t="shared" si="5"/>
        <v>36</v>
      </c>
      <c r="N7" s="672">
        <f t="shared" si="6"/>
        <v>0.91198044009779955</v>
      </c>
      <c r="O7" s="671">
        <f t="shared" si="3"/>
        <v>36</v>
      </c>
      <c r="P7" s="604">
        <f>COUNTIFS(STATUS!$Q:$Q,ДЕЛА!$A7,STATUS!$D:$D,ДЕЛА!P$1,STATUS!$S:$S,"Согласовано")</f>
        <v>1</v>
      </c>
      <c r="Q7" s="593">
        <f>COUNTIFS(STATUS!$Q:$Q,ДЕЛА!$A7,STATUS!$D:$D,ДЕЛА!P$1)</f>
        <v>1</v>
      </c>
      <c r="R7" s="605">
        <f t="shared" si="7"/>
        <v>1</v>
      </c>
      <c r="S7" s="596">
        <f>COUNTIFS(STATUS!$Q:$Q,ДЕЛА!$A7,STATUS!$D:$D,ДЕЛА!S$1,STATUS!$S:$S,"Согласовано")</f>
        <v>2</v>
      </c>
      <c r="T7" s="593">
        <f>COUNTIFS(STATUS!$Q:$Q,ДЕЛА!$A7,STATUS!$D:$D,ДЕЛА!S$1)</f>
        <v>2</v>
      </c>
      <c r="U7" s="447">
        <f t="shared" si="8"/>
        <v>1</v>
      </c>
      <c r="V7" s="604">
        <f>COUNTIFS(STATUS!$Q:$Q,ДЕЛА!$A7,STATUS!$D:$D,ДЕЛА!V$1,STATUS!$S:$S,"Согласовано")</f>
        <v>1</v>
      </c>
      <c r="W7" s="593">
        <f>COUNTIFS(STATUS!$Q:$Q,ДЕЛА!$A7,STATUS!$D:$D,ДЕЛА!V$1)</f>
        <v>1</v>
      </c>
      <c r="X7" s="605">
        <f t="shared" si="9"/>
        <v>1</v>
      </c>
      <c r="Y7" s="610">
        <f t="shared" si="68"/>
        <v>0</v>
      </c>
      <c r="Z7" s="596">
        <f>COUNTIFS(STATUS!$Q:$Q,ДЕЛА!$A7,STATUS!$D:$D,ДЕЛА!Z$1,STATUS!$S:$S,"Согласовано")</f>
        <v>5</v>
      </c>
      <c r="AA7" s="593">
        <f>COUNTIFS(STATUS!$Q:$Q,ДЕЛА!$A7,STATUS!$D:$D,ДЕЛА!Z$1)</f>
        <v>5</v>
      </c>
      <c r="AB7" s="447">
        <f t="shared" si="10"/>
        <v>1</v>
      </c>
      <c r="AC7" s="604">
        <f>COUNTIFS(STATUS!$Q:$Q,ДЕЛА!$A7,STATUS!$D:$D,ДЕЛА!AC$1,STATUS!$S:$S,"Согласовано")</f>
        <v>8</v>
      </c>
      <c r="AD7" s="593">
        <f>COUNTIFS(STATUS!$Q:$Q,ДЕЛА!$A7,STATUS!$D:$D,ДЕЛА!AC$1)</f>
        <v>8</v>
      </c>
      <c r="AE7" s="447">
        <f t="shared" si="11"/>
        <v>1</v>
      </c>
      <c r="AF7" s="596">
        <f>COUNTIFS(STATUS!$Q:$Q,ДЕЛА!$A7,STATUS!$D:$D,ДЕЛА!AF$1,STATUS!$S:$S,"Согласовано")</f>
        <v>7</v>
      </c>
      <c r="AG7" s="593">
        <f>COUNTIFS(STATUS!$Q:$Q,ДЕЛА!$A7,STATUS!$D:$D,ДЕЛА!AF$1)</f>
        <v>7</v>
      </c>
      <c r="AH7" s="447">
        <f t="shared" si="12"/>
        <v>1</v>
      </c>
      <c r="AI7" s="604">
        <f>COUNTIFS(STATUS!$Q:$Q,ДЕЛА!$A7,STATUS!$D:$D,ДЕЛА!AI$1,STATUS!$S:$S,"Согласовано")</f>
        <v>7</v>
      </c>
      <c r="AJ7" s="593">
        <f>COUNTIFS(STATUS!$Q:$Q,ДЕЛА!$A7,STATUS!$D:$D,ДЕЛА!AI$1)</f>
        <v>7</v>
      </c>
      <c r="AK7" s="447">
        <f t="shared" si="13"/>
        <v>1</v>
      </c>
      <c r="AL7" s="611">
        <f>SUM(AA7,AD7,AG7,AJ7)-SUM(Z7,AC7,AF7,AI7)</f>
        <v>0</v>
      </c>
      <c r="AM7" s="604">
        <f>COUNTIFS(STATUS!$Q:$Q,ДЕЛА!$A7,STATUS!$D:$D,ДЕЛА!AM$1,STATUS!$S:$S,"Согласовано")</f>
        <v>5</v>
      </c>
      <c r="AN7" s="593">
        <f>COUNTIFS(STATUS!$Q:$Q,ДЕЛА!$A7,STATUS!$D:$D,ДЕЛА!AM$1)</f>
        <v>5</v>
      </c>
      <c r="AO7" s="447">
        <f t="shared" si="14"/>
        <v>1</v>
      </c>
      <c r="AP7" s="604">
        <f>COUNTIFS(STATUS!$Q:$Q,ДЕЛА!$A7,STATUS!$D:$D,ДЕЛА!AP$1,STATUS!$S:$S,"Согласовано")</f>
        <v>4</v>
      </c>
      <c r="AQ7" s="593">
        <f>COUNTIFS(STATUS!$Q:$Q,ДЕЛА!$A7,STATUS!$D:$D,ДЕЛА!AP$1)</f>
        <v>4</v>
      </c>
      <c r="AR7" s="447">
        <f t="shared" si="15"/>
        <v>1</v>
      </c>
      <c r="AS7" s="604">
        <f>COUNTIFS(STATUS!$Q:$Q,ДЕЛА!$A7,STATUS!$D:$D,ДЕЛА!AS$1,STATUS!$S:$S,"Согласовано")</f>
        <v>4</v>
      </c>
      <c r="AT7" s="593">
        <f>COUNTIFS(STATUS!$Q:$Q,ДЕЛА!$A7,STATUS!$D:$D,ДЕЛА!AS$1)</f>
        <v>4</v>
      </c>
      <c r="AU7" s="447">
        <f t="shared" si="16"/>
        <v>1</v>
      </c>
      <c r="AV7" s="604">
        <f>COUNTIFS(STATUS!$Q:$Q,ДЕЛА!$A7,STATUS!$D:$D,ДЕЛА!AV$1,STATUS!$S:$S,"Согласовано")</f>
        <v>2</v>
      </c>
      <c r="AW7" s="593">
        <f>COUNTIFS(STATUS!$Q:$Q,ДЕЛА!$A7,STATUS!$D:$D,ДЕЛА!AV$1)</f>
        <v>2</v>
      </c>
      <c r="AX7" s="447">
        <f t="shared" si="17"/>
        <v>1</v>
      </c>
      <c r="AY7" s="604">
        <f>COUNTIFS(STATUS!$Q:$Q,ДЕЛА!$A7,STATUS!$D:$D,ДЕЛА!AY$1,STATUS!$S:$S,"Согласовано")</f>
        <v>3</v>
      </c>
      <c r="AZ7" s="593">
        <f>COUNTIFS(STATUS!$Q:$Q,ДЕЛА!$A7,STATUS!$D:$D,ДЕЛА!AY$1)</f>
        <v>3</v>
      </c>
      <c r="BA7" s="447">
        <f t="shared" si="18"/>
        <v>1</v>
      </c>
      <c r="BB7" s="610">
        <f t="shared" si="19"/>
        <v>0</v>
      </c>
      <c r="BC7" s="604">
        <f>COUNTIFS(STATUS!$Q:$Q,ДЕЛА!$A7,STATUS!$D:$D,ДЕЛА!BC$1,STATUS!$S:$S,"Согласовано")</f>
        <v>6</v>
      </c>
      <c r="BD7" s="593">
        <f>COUNTIFS(STATUS!$Q:$Q,ДЕЛА!$A7,STATUS!$D:$D,ДЕЛА!BC$1)</f>
        <v>6</v>
      </c>
      <c r="BE7" s="447">
        <f t="shared" si="20"/>
        <v>1</v>
      </c>
      <c r="BF7" s="604">
        <f>COUNTIFS(STATUS!$Q:$Q,ДЕЛА!$A7,STATUS!$D:$D,ДЕЛА!BF$1,STATUS!$S:$S,"Согласовано")</f>
        <v>2</v>
      </c>
      <c r="BG7" s="593">
        <f>COUNTIFS(STATUS!$Q:$Q,ДЕЛА!$A7,STATUS!$D:$D,ДЕЛА!BF$1)</f>
        <v>2</v>
      </c>
      <c r="BH7" s="447">
        <f t="shared" si="21"/>
        <v>1</v>
      </c>
      <c r="BI7" s="604">
        <f>COUNTIFS(STATUS!$Q:$Q,ДЕЛА!$A7,STATUS!$D:$D,ДЕЛА!BI$1,STATUS!$S:$S,"Согласовано")</f>
        <v>0</v>
      </c>
      <c r="BJ7" s="593">
        <f>COUNTIFS(STATUS!$Q:$Q,ДЕЛА!$A7,STATUS!$D:$D,ДЕЛА!BI$1)</f>
        <v>0</v>
      </c>
      <c r="BK7" s="447">
        <f t="shared" si="22"/>
        <v>1</v>
      </c>
      <c r="BL7" s="604">
        <f>COUNTIFS(STATUS!$Q:$Q,ДЕЛА!$A7,STATUS!$D:$D,ДЕЛА!BL$1,STATUS!$S:$S,"Согласовано")</f>
        <v>0</v>
      </c>
      <c r="BM7" s="593">
        <f>COUNTIFS(STATUS!$Q:$Q,ДЕЛА!$A7,STATUS!$D:$D,ДЕЛА!BL$1)</f>
        <v>0</v>
      </c>
      <c r="BN7" s="447">
        <f t="shared" si="23"/>
        <v>1</v>
      </c>
      <c r="BO7" s="604">
        <f>COUNTIFS(STATUS!$Q:$Q,ДЕЛА!$A7,STATUS!$D:$D,ДЕЛА!BO$1,STATUS!$S:$S,"Согласовано")</f>
        <v>0</v>
      </c>
      <c r="BP7" s="593">
        <f>COUNTIFS(STATUS!$Q:$Q,ДЕЛА!$A7,STATUS!$D:$D,ДЕЛА!BO$1)</f>
        <v>0</v>
      </c>
      <c r="BQ7" s="447">
        <f t="shared" si="24"/>
        <v>1</v>
      </c>
      <c r="BR7" s="610">
        <f t="shared" si="25"/>
        <v>0</v>
      </c>
      <c r="BS7" s="604">
        <f>COUNTIFS(STATUS!$Q:$Q,ДЕЛА!$A7,STATUS!$D:$D,ДЕЛА!BS$1,STATUS!$S:$S,"Согласовано")</f>
        <v>15</v>
      </c>
      <c r="BT7" s="593">
        <f>COUNTIFS(STATUS!$Q:$Q,ДЕЛА!$A7,STATUS!$D:$D,ДЕЛА!BS$1)</f>
        <v>15</v>
      </c>
      <c r="BU7" s="447">
        <f t="shared" si="26"/>
        <v>1</v>
      </c>
      <c r="BV7" s="604">
        <f>COUNTIFS(STATUS!$Q:$Q,ДЕЛА!$A7,STATUS!$D:$D,ДЕЛА!BV$1,STATUS!$S:$S,"Согласовано")</f>
        <v>3</v>
      </c>
      <c r="BW7" s="593">
        <f>COUNTIFS(STATUS!$Q:$Q,ДЕЛА!$A7,STATUS!$D:$D,ДЕЛА!BV$1)</f>
        <v>3</v>
      </c>
      <c r="BX7" s="447">
        <f t="shared" si="27"/>
        <v>1</v>
      </c>
      <c r="BY7" s="604">
        <f>COUNTIFS(STATUS!$Q:$Q,ДЕЛА!$A7,STATUS!$D:$D,ДЕЛА!BY$1,STATUS!$S:$S,"Согласовано")</f>
        <v>2</v>
      </c>
      <c r="BZ7" s="593">
        <f>COUNTIFS(STATUS!$Q:$Q,ДЕЛА!$A7,STATUS!$D:$D,ДЕЛА!BY$1)</f>
        <v>2</v>
      </c>
      <c r="CA7" s="447">
        <f t="shared" si="28"/>
        <v>1</v>
      </c>
      <c r="CB7" s="604">
        <f>COUNTIFS(STATUS!$Q:$Q,ДЕЛА!$A7,STATUS!$D:$D,ДЕЛА!CB$1,STATUS!$S:$S,"Согласовано")</f>
        <v>5</v>
      </c>
      <c r="CC7" s="593">
        <f>COUNTIFS(STATUS!$Q:$Q,ДЕЛА!$A7,STATUS!$D:$D,ДЕЛА!CB$1)</f>
        <v>5</v>
      </c>
      <c r="CD7" s="447">
        <f t="shared" si="29"/>
        <v>1</v>
      </c>
      <c r="CE7" s="604">
        <f>COUNTIFS(STATUS!$Q:$Q,ДЕЛА!$A7,STATUS!$D:$D,ДЕЛА!CE$1,STATUS!$S:$S,"Согласовано")</f>
        <v>3</v>
      </c>
      <c r="CF7" s="593">
        <f>COUNTIFS(STATUS!$Q:$Q,ДЕЛА!$A7,STATUS!$D:$D,ДЕЛА!CE$1)</f>
        <v>3</v>
      </c>
      <c r="CG7" s="447">
        <f t="shared" si="30"/>
        <v>1</v>
      </c>
      <c r="CH7" s="610">
        <f t="shared" si="31"/>
        <v>0</v>
      </c>
      <c r="CI7" s="604">
        <f>COUNTIFS(STATUS!$Q:$Q,ДЕЛА!$A7,STATUS!$D:$D,ДЕЛА!CI$1,STATUS!$S:$S,"Согласовано")</f>
        <v>5</v>
      </c>
      <c r="CJ7" s="593">
        <f>COUNTIFS(STATUS!$Q:$Q,ДЕЛА!$A7,STATUS!$D:$D,ДЕЛА!CI$1)</f>
        <v>5</v>
      </c>
      <c r="CK7" s="447">
        <f t="shared" si="32"/>
        <v>1</v>
      </c>
      <c r="CL7" s="604">
        <f>COUNTIFS(STATUS!$Q:$Q,ДЕЛА!$A7,STATUS!$D:$D,ДЕЛА!CL$1,STATUS!$S:$S,"Согласовано")</f>
        <v>2</v>
      </c>
      <c r="CM7" s="593">
        <f>COUNTIFS(STATUS!$Q:$Q,ДЕЛА!$A7,STATUS!$D:$D,ДЕЛА!CL$1)</f>
        <v>2</v>
      </c>
      <c r="CN7" s="447">
        <f t="shared" si="33"/>
        <v>1</v>
      </c>
      <c r="CO7" s="604">
        <f>COUNTIFS(STATUS!$Q:$Q,ДЕЛА!$A7,STATUS!$D:$D,ДЕЛА!CO$1,STATUS!$S:$S,"Согласовано")</f>
        <v>4</v>
      </c>
      <c r="CP7" s="593">
        <f>COUNTIFS(STATUS!$Q:$Q,ДЕЛА!$A7,STATUS!$D:$D,ДЕЛА!CO$1)</f>
        <v>4</v>
      </c>
      <c r="CQ7" s="447">
        <f t="shared" si="34"/>
        <v>1</v>
      </c>
      <c r="CR7" s="604">
        <f>COUNTIFS(STATUS!$Q:$Q,ДЕЛА!$A7,STATUS!$D:$D,ДЕЛА!CR$1,STATUS!$S:$S,"Согласовано")</f>
        <v>3</v>
      </c>
      <c r="CS7" s="593">
        <f>COUNTIFS(STATUS!$Q:$Q,ДЕЛА!$A7,STATUS!$D:$D,ДЕЛА!CR$1)</f>
        <v>3</v>
      </c>
      <c r="CT7" s="447">
        <f t="shared" si="35"/>
        <v>1</v>
      </c>
      <c r="CU7" s="604">
        <f>COUNTIFS(STATUS!$Q:$Q,ДЕЛА!$A7,STATUS!$D:$D,ДЕЛА!CU$1,STATUS!$S:$S,"Согласовано")</f>
        <v>0</v>
      </c>
      <c r="CV7" s="593">
        <f>COUNTIFS(STATUS!$Q:$Q,ДЕЛА!$A7,STATUS!$D:$D,ДЕЛА!CU$1)</f>
        <v>0</v>
      </c>
      <c r="CW7" s="447">
        <f t="shared" si="36"/>
        <v>1</v>
      </c>
      <c r="CX7" s="610">
        <f t="shared" si="37"/>
        <v>0</v>
      </c>
      <c r="CY7" s="604">
        <f>COUNTIFS(STATUS!$Q:$Q,ДЕЛА!$A7,STATUS!$D:$D,ДЕЛА!CY$1,STATUS!$S:$S,"Согласовано")</f>
        <v>3</v>
      </c>
      <c r="CZ7" s="593">
        <f>COUNTIFS(STATUS!$Q:$Q,ДЕЛА!$A7,STATUS!$D:$D,ДЕЛА!CY$1)</f>
        <v>3</v>
      </c>
      <c r="DA7" s="447">
        <f t="shared" si="38"/>
        <v>1</v>
      </c>
      <c r="DB7" s="604">
        <f>COUNTIFS(STATUS!$Q:$Q,ДЕЛА!$A7,STATUS!$D:$D,ДЕЛА!DB$1,STATUS!$S:$S,"Согласовано")</f>
        <v>49</v>
      </c>
      <c r="DC7" s="593">
        <f>COUNTIFS(STATUS!$Q:$Q,ДЕЛА!$A7,STATUS!$D:$D,ДЕЛА!DB$1)</f>
        <v>49</v>
      </c>
      <c r="DD7" s="447">
        <f t="shared" si="39"/>
        <v>1</v>
      </c>
      <c r="DE7" s="604">
        <f>COUNTIFS(STATUS!$Q:$Q,ДЕЛА!$A7,STATUS!$D:$D,ДЕЛА!DE$1,STATUS!$S:$S,"Согласовано")</f>
        <v>4</v>
      </c>
      <c r="DF7" s="593">
        <f>COUNTIFS(STATUS!$Q:$Q,ДЕЛА!$A7,STATUS!$D:$D,ДЕЛА!DE$1)</f>
        <v>4</v>
      </c>
      <c r="DG7" s="447">
        <f t="shared" si="40"/>
        <v>1</v>
      </c>
      <c r="DH7" s="604">
        <f>COUNTIFS(STATUS!$Q:$Q,ДЕЛА!$A7,STATUS!$D:$D,ДЕЛА!DH$1,STATUS!$S:$S,"Согласовано")</f>
        <v>4</v>
      </c>
      <c r="DI7" s="593">
        <f>COUNTIFS(STATUS!$Q:$Q,ДЕЛА!$A7,STATUS!$D:$D,ДЕЛА!DH$1)</f>
        <v>4</v>
      </c>
      <c r="DJ7" s="447">
        <f t="shared" si="41"/>
        <v>1</v>
      </c>
      <c r="DK7" s="604">
        <f>COUNTIFS(STATUS!$Q:$Q,ДЕЛА!$A7,STATUS!$D:$D,ДЕЛА!DK$1,STATUS!$S:$S,"Согласовано")</f>
        <v>3</v>
      </c>
      <c r="DL7" s="593">
        <f>COUNTIFS(STATUS!$Q:$Q,ДЕЛА!$A7,STATUS!$D:$D,ДЕЛА!DK$1)</f>
        <v>3</v>
      </c>
      <c r="DM7" s="447">
        <f t="shared" si="42"/>
        <v>1</v>
      </c>
      <c r="DN7" s="610">
        <f t="shared" si="43"/>
        <v>0</v>
      </c>
      <c r="DO7" s="604">
        <f>COUNTIFS(STATUS!$Q:$Q,ДЕЛА!$A7,STATUS!$D:$D,ДЕЛА!DO$1,STATUS!$S:$S,"Согласовано")</f>
        <v>4</v>
      </c>
      <c r="DP7" s="593">
        <f>COUNTIFS(STATUS!$Q:$Q,ДЕЛА!$A7,STATUS!$D:$D,ДЕЛА!DO$1)</f>
        <v>4</v>
      </c>
      <c r="DQ7" s="447">
        <f t="shared" si="44"/>
        <v>1</v>
      </c>
      <c r="DR7" s="604">
        <f>COUNTIFS(STATUS!$Q:$Q,ДЕЛА!$A7,STATUS!$D:$D,ДЕЛА!DR$1,STATUS!$S:$S,"Согласовано")</f>
        <v>7</v>
      </c>
      <c r="DS7" s="593">
        <f>COUNTIFS(STATUS!$Q:$Q,ДЕЛА!$A7,STATUS!$D:$D,ДЕЛА!DR$1)</f>
        <v>7</v>
      </c>
      <c r="DT7" s="447">
        <f t="shared" si="45"/>
        <v>1</v>
      </c>
      <c r="DU7" s="604">
        <f>COUNTIFS(STATUS!$Q:$Q,ДЕЛА!$A7,STATUS!$D:$D,ДЕЛА!DU$1,STATUS!$S:$S,"Согласовано")</f>
        <v>0</v>
      </c>
      <c r="DV7" s="593">
        <f>COUNTIFS(STATUS!$Q:$Q,ДЕЛА!$A7,STATUS!$D:$D,ДЕЛА!DU$1)</f>
        <v>0</v>
      </c>
      <c r="DW7" s="447">
        <f t="shared" si="46"/>
        <v>1</v>
      </c>
      <c r="DX7" s="604">
        <f>COUNTIFS(STATUS!$Q:$Q,ДЕЛА!$A7,STATUS!$D:$D,ДЕЛА!DX$1,STATUS!$S:$S,"Согласовано")</f>
        <v>5</v>
      </c>
      <c r="DY7" s="593">
        <f>COUNTIFS(STATUS!$Q:$Q,ДЕЛА!$A7,STATUS!$D:$D,ДЕЛА!DX$1)</f>
        <v>5</v>
      </c>
      <c r="DZ7" s="447">
        <f t="shared" si="47"/>
        <v>1</v>
      </c>
      <c r="EA7" s="604">
        <f>COUNTIFS(STATUS!$Q:$Q,ДЕЛА!$A7,STATUS!$D:$D,ДЕЛА!EA$1,STATUS!$S:$S,"Согласовано")</f>
        <v>1</v>
      </c>
      <c r="EB7" s="593">
        <f>COUNTIFS(STATUS!$Q:$Q,ДЕЛА!$A7,STATUS!$D:$D,ДЕЛА!EA$1)</f>
        <v>1</v>
      </c>
      <c r="EC7" s="447">
        <f t="shared" si="48"/>
        <v>1</v>
      </c>
      <c r="ED7" s="610">
        <f t="shared" si="49"/>
        <v>0</v>
      </c>
      <c r="EE7" s="604">
        <f>COUNTIFS(STATUS!$Q:$Q,ДЕЛА!$A7,STATUS!$D:$D,ДЕЛА!EE$1,STATUS!$S:$S,"Согласовано")</f>
        <v>4</v>
      </c>
      <c r="EF7" s="593">
        <f>COUNTIFS(STATUS!$Q:$Q,ДЕЛА!$A7,STATUS!$D:$D,ДЕЛА!EE$1)</f>
        <v>4</v>
      </c>
      <c r="EG7" s="447">
        <f t="shared" si="50"/>
        <v>1</v>
      </c>
      <c r="EH7" s="604">
        <f>COUNTIFS(STATUS!$Q:$Q,ДЕЛА!$A7,STATUS!$D:$D,ДЕЛА!EH$1,STATUS!$S:$S,"Согласовано")</f>
        <v>2</v>
      </c>
      <c r="EI7" s="593">
        <f>COUNTIFS(STATUS!$Q:$Q,ДЕЛА!$A7,STATUS!$D:$D,ДЕЛА!EH$1)</f>
        <v>2</v>
      </c>
      <c r="EJ7" s="447">
        <f t="shared" si="51"/>
        <v>1</v>
      </c>
      <c r="EK7" s="604">
        <f>COUNTIFS(STATUS!$Q:$Q,ДЕЛА!$A7,STATUS!$D:$D,ДЕЛА!EK$1,STATUS!$S:$S,"Согласовано")</f>
        <v>0</v>
      </c>
      <c r="EL7" s="593">
        <f>COUNTIFS(STATUS!$Q:$Q,ДЕЛА!$A7,STATUS!$D:$D,ДЕЛА!EK$1)</f>
        <v>0</v>
      </c>
      <c r="EM7" s="447">
        <f t="shared" si="52"/>
        <v>1</v>
      </c>
      <c r="EN7" s="604">
        <f>COUNTIFS(STATUS!$Q:$Q,ДЕЛА!$A7,STATUS!$D:$D,ДЕЛА!EN$1,STATUS!$S:$S,"Согласовано")</f>
        <v>3</v>
      </c>
      <c r="EO7" s="593">
        <f>COUNTIFS(STATUS!$Q:$Q,ДЕЛА!$A7,STATUS!$D:$D,ДЕЛА!EN$1)</f>
        <v>6</v>
      </c>
      <c r="EP7" s="447">
        <f t="shared" si="53"/>
        <v>0.5</v>
      </c>
      <c r="EQ7" s="604">
        <f>COUNTIFS(STATUS!$Q:$Q,ДЕЛА!$A7,STATUS!$D:$D,ДЕЛА!EQ$1,STATUS!$S:$S,"Согласовано")</f>
        <v>0</v>
      </c>
      <c r="ER7" s="593">
        <f>COUNTIFS(STATUS!$Q:$Q,ДЕЛА!$A7,STATUS!$D:$D,ДЕЛА!EQ$1)</f>
        <v>7</v>
      </c>
      <c r="ES7" s="447">
        <f t="shared" si="54"/>
        <v>0</v>
      </c>
      <c r="ET7" s="610">
        <f t="shared" si="55"/>
        <v>10</v>
      </c>
      <c r="EU7" s="604">
        <f>COUNTIFS(STATUS!$Q:$Q,ДЕЛА!$A7,STATUS!$D:$D,ДЕЛА!EU$1,STATUS!$S:$S,"Согласовано")</f>
        <v>0</v>
      </c>
      <c r="EV7" s="593">
        <f>COUNTIFS(STATUS!$Q:$Q,ДЕЛА!$A7,STATUS!$D:$D,ДЕЛА!EU$1)</f>
        <v>4</v>
      </c>
      <c r="EW7" s="447">
        <f t="shared" si="56"/>
        <v>0</v>
      </c>
      <c r="EX7" s="604">
        <f>COUNTIFS(STATUS!$Q:$Q,ДЕЛА!$A7,STATUS!$D:$D,ДЕЛА!EX$1,STATUS!$S:$S,"Согласовано")</f>
        <v>0</v>
      </c>
      <c r="EY7" s="593">
        <f>COUNTIFS(STATUS!$Q:$Q,ДЕЛА!$A7,STATUS!$D:$D,ДЕЛА!EX$1)</f>
        <v>1</v>
      </c>
      <c r="EZ7" s="447">
        <f t="shared" si="57"/>
        <v>0</v>
      </c>
      <c r="FA7" s="604">
        <f>COUNTIFS(STATUS!$Q:$Q,ДЕЛА!$A7,STATUS!$D:$D,ДЕЛА!FA$1,STATUS!$S:$S,"Согласовано")</f>
        <v>0</v>
      </c>
      <c r="FB7" s="593">
        <f>COUNTIFS(STATUS!$Q:$Q,ДЕЛА!$A7,STATUS!$D:$D,ДЕЛА!FA$1)</f>
        <v>1</v>
      </c>
      <c r="FC7" s="447">
        <f t="shared" si="58"/>
        <v>0</v>
      </c>
      <c r="FD7" s="604">
        <f>COUNTIFS(STATUS!$Q:$Q,ДЕЛА!$A7,STATUS!$D:$D,ДЕЛА!FD$1,STATUS!$S:$S,"Согласовано")</f>
        <v>0</v>
      </c>
      <c r="FE7" s="593">
        <f>COUNTIFS(STATUS!$Q:$Q,ДЕЛА!$A7,STATUS!$D:$D,ДЕЛА!FD$1)</f>
        <v>3</v>
      </c>
      <c r="FF7" s="447">
        <f t="shared" si="59"/>
        <v>0</v>
      </c>
      <c r="FG7" s="604">
        <f>COUNTIFS(STATUS!$Q:$Q,ДЕЛА!$A7,STATUS!$D:$D,ДЕЛА!FG$1,STATUS!$S:$S,"Согласовано")</f>
        <v>0</v>
      </c>
      <c r="FH7" s="593">
        <f>COUNTIFS(STATUS!$Q:$Q,ДЕЛА!$A7,STATUS!$D:$D,ДЕЛА!FG$1)</f>
        <v>4</v>
      </c>
      <c r="FI7" s="447">
        <f t="shared" si="60"/>
        <v>0</v>
      </c>
      <c r="FJ7" s="610">
        <f t="shared" si="61"/>
        <v>13</v>
      </c>
      <c r="FK7" s="604">
        <f>COUNTIFS(STATUS!$Q:$Q,ДЕЛА!$A7,STATUS!$D:$D,ДЕЛА!FK$1,STATUS!$S:$S,"Согласовано")</f>
        <v>0</v>
      </c>
      <c r="FL7" s="593">
        <f>COUNTIFS(STATUS!$Q:$Q,ДЕЛА!$A7,STATUS!$D:$D,ДЕЛА!FK$1)</f>
        <v>4</v>
      </c>
      <c r="FM7" s="447">
        <f t="shared" si="62"/>
        <v>0</v>
      </c>
      <c r="FN7" s="604">
        <f>COUNTIFS(STATUS!$Q:$Q,ДЕЛА!$A7,STATUS!$D:$D,ДЕЛА!FN$1,STATUS!$S:$S,"Согласовано")</f>
        <v>0</v>
      </c>
      <c r="FO7" s="593">
        <f>COUNTIFS(STATUS!$Q:$Q,ДЕЛА!$A7,STATUS!$D:$D,ДЕЛА!FN$1)</f>
        <v>1</v>
      </c>
      <c r="FP7" s="447">
        <f t="shared" si="63"/>
        <v>0</v>
      </c>
      <c r="FQ7" s="604">
        <f>COUNTIFS(STATUS!$Q:$Q,ДЕЛА!$A7,STATUS!$D:$D,ДЕЛА!FQ$1,STATUS!$S:$S,"Согласовано")</f>
        <v>0</v>
      </c>
      <c r="FR7" s="593">
        <f>COUNTIFS(STATUS!$Q:$Q,ДЕЛА!$A7,STATUS!$D:$D,ДЕЛА!FQ$1)</f>
        <v>3</v>
      </c>
      <c r="FS7" s="447">
        <f t="shared" si="64"/>
        <v>0</v>
      </c>
      <c r="FT7" s="604">
        <f>COUNTIFS(STATUS!$Q:$Q,ДЕЛА!$A7,STATUS!$D:$D,ДЕЛА!FT$1,STATUS!$S:$S,"Согласовано")</f>
        <v>0</v>
      </c>
      <c r="FU7" s="593">
        <f>COUNTIFS(STATUS!$Q:$Q,ДЕЛА!$A7,STATUS!$D:$D,ДЕЛА!FT$1)</f>
        <v>4</v>
      </c>
      <c r="FV7" s="447">
        <f t="shared" si="65"/>
        <v>0</v>
      </c>
      <c r="FW7" s="604">
        <f>COUNTIFS(STATUS!$Q:$Q,ДЕЛА!$A7,STATUS!$D:$D,ДЕЛА!FW$1,STATUS!$S:$S,"Согласовано")</f>
        <v>0</v>
      </c>
      <c r="FX7" s="593">
        <f>COUNTIFS(STATUS!$Q:$Q,ДЕЛА!$A7,STATUS!$D:$D,ДЕЛА!FW$1)</f>
        <v>0</v>
      </c>
      <c r="FY7" s="447">
        <f t="shared" si="66"/>
        <v>1</v>
      </c>
      <c r="FZ7" s="610">
        <f t="shared" si="67"/>
        <v>12</v>
      </c>
    </row>
    <row r="8" spans="1:182" ht="15.5" thickTop="1" thickBot="1" x14ac:dyDescent="0.4">
      <c r="A8" s="678" t="s">
        <v>47</v>
      </c>
      <c r="B8" s="673">
        <f>SUM(B3:B7)</f>
        <v>2377</v>
      </c>
      <c r="C8" s="674">
        <f t="shared" si="4"/>
        <v>0.96704637917005698</v>
      </c>
      <c r="D8" s="673">
        <f>SUM(D3:D7)</f>
        <v>76</v>
      </c>
      <c r="E8" s="712">
        <f t="shared" si="0"/>
        <v>3.0919446704637917E-2</v>
      </c>
      <c r="F8" s="673">
        <f>SUM(F3:F7)</f>
        <v>260</v>
      </c>
      <c r="G8" s="712">
        <f t="shared" si="1"/>
        <v>0.10577705451586655</v>
      </c>
      <c r="H8" s="673">
        <f>SUM(H3:H7)</f>
        <v>191</v>
      </c>
      <c r="I8" s="712">
        <f t="shared" si="2"/>
        <v>7.7705451586655816E-2</v>
      </c>
      <c r="J8" s="673">
        <f>SUM(J3:J7)</f>
        <v>1</v>
      </c>
      <c r="K8" s="673">
        <f>SUM(K3:K7)</f>
        <v>2280</v>
      </c>
      <c r="L8" s="673">
        <f>SUM(L3:L7)</f>
        <v>2458</v>
      </c>
      <c r="M8" s="673">
        <f>SUM(M3:M7)</f>
        <v>178</v>
      </c>
      <c r="N8" s="674">
        <f>K8/L8</f>
        <v>0.92758340113913751</v>
      </c>
      <c r="O8" s="673">
        <f t="shared" si="3"/>
        <v>178</v>
      </c>
      <c r="P8" s="606">
        <f>SUM(P3:P7)</f>
        <v>6</v>
      </c>
      <c r="Q8" s="607">
        <f>SUM(Q3:Q7)</f>
        <v>6</v>
      </c>
      <c r="R8" s="605">
        <f t="shared" si="7"/>
        <v>1</v>
      </c>
      <c r="S8" s="606">
        <f>SUM(S3:S7)</f>
        <v>7</v>
      </c>
      <c r="T8" s="607">
        <f>SUM(T3:T7)</f>
        <v>7</v>
      </c>
      <c r="U8" s="605">
        <f t="shared" si="8"/>
        <v>1</v>
      </c>
      <c r="V8" s="606">
        <f>SUM(V3:V7)</f>
        <v>9</v>
      </c>
      <c r="W8" s="607">
        <f>SUM(W3:W7)</f>
        <v>9</v>
      </c>
      <c r="X8" s="605">
        <f t="shared" si="9"/>
        <v>1</v>
      </c>
      <c r="Y8" s="612">
        <f>SUM(Y3:Y7)</f>
        <v>0</v>
      </c>
      <c r="Z8" s="606">
        <f>SUM(Z3:Z7)</f>
        <v>24</v>
      </c>
      <c r="AA8" s="607">
        <f>SUM(AA3:AA7)</f>
        <v>24</v>
      </c>
      <c r="AB8" s="605">
        <f t="shared" si="10"/>
        <v>1</v>
      </c>
      <c r="AC8" s="606">
        <f>SUM(AC3:AC7)</f>
        <v>32</v>
      </c>
      <c r="AD8" s="607">
        <f>SUM(AD3:AD7)</f>
        <v>32</v>
      </c>
      <c r="AE8" s="605">
        <f t="shared" si="11"/>
        <v>1</v>
      </c>
      <c r="AF8" s="606">
        <f>SUM(AF3:AF7)</f>
        <v>31</v>
      </c>
      <c r="AG8" s="607">
        <f>SUM(AG3:AG7)</f>
        <v>31</v>
      </c>
      <c r="AH8" s="605">
        <f t="shared" si="12"/>
        <v>1</v>
      </c>
      <c r="AI8" s="606">
        <f>SUM(AI3:AI7)</f>
        <v>28</v>
      </c>
      <c r="AJ8" s="607">
        <f>SUM(AJ3:AJ7)</f>
        <v>28</v>
      </c>
      <c r="AK8" s="609">
        <f t="shared" si="13"/>
        <v>1</v>
      </c>
      <c r="AL8" s="612">
        <f>SUM(AL3:AL7)</f>
        <v>0</v>
      </c>
      <c r="AM8" s="606">
        <f>SUM(AM3:AM7)</f>
        <v>25</v>
      </c>
      <c r="AN8" s="607">
        <f>SUM(AN3:AN7)</f>
        <v>25</v>
      </c>
      <c r="AO8" s="605">
        <f t="shared" si="14"/>
        <v>1</v>
      </c>
      <c r="AP8" s="606">
        <f>SUM(AP3:AP7)</f>
        <v>26</v>
      </c>
      <c r="AQ8" s="607">
        <f>SUM(AQ3:AQ7)</f>
        <v>26</v>
      </c>
      <c r="AR8" s="605">
        <f t="shared" si="15"/>
        <v>1</v>
      </c>
      <c r="AS8" s="606">
        <f>SUM(AS3:AS7)</f>
        <v>23</v>
      </c>
      <c r="AT8" s="607">
        <f>SUM(AT3:AT7)</f>
        <v>23</v>
      </c>
      <c r="AU8" s="605">
        <f t="shared" si="16"/>
        <v>1</v>
      </c>
      <c r="AV8" s="606">
        <f>SUM(AV3:AV7)</f>
        <v>22</v>
      </c>
      <c r="AW8" s="607">
        <f>SUM(AW3:AW7)</f>
        <v>22</v>
      </c>
      <c r="AX8" s="605">
        <f t="shared" si="17"/>
        <v>1</v>
      </c>
      <c r="AY8" s="606">
        <f>SUM(AY3:AY7)</f>
        <v>20</v>
      </c>
      <c r="AZ8" s="607">
        <f>SUM(AZ3:AZ7)</f>
        <v>20</v>
      </c>
      <c r="BA8" s="605">
        <f t="shared" si="18"/>
        <v>1</v>
      </c>
      <c r="BB8" s="612">
        <f>SUM(BB3:BB7)</f>
        <v>0</v>
      </c>
      <c r="BC8" s="606">
        <f>SUM(BC3:BC7)</f>
        <v>19</v>
      </c>
      <c r="BD8" s="607">
        <f>SUM(BD3:BD7)</f>
        <v>19</v>
      </c>
      <c r="BE8" s="605">
        <f t="shared" si="20"/>
        <v>1</v>
      </c>
      <c r="BF8" s="606">
        <f>SUM(BF3:BF7)</f>
        <v>15</v>
      </c>
      <c r="BG8" s="607">
        <f>SUM(BG3:BG7)</f>
        <v>15</v>
      </c>
      <c r="BH8" s="605">
        <f t="shared" si="21"/>
        <v>1</v>
      </c>
      <c r="BI8" s="606">
        <f>SUM(BI3:BI7)</f>
        <v>44</v>
      </c>
      <c r="BJ8" s="607">
        <f>SUM(BJ3:BJ7)</f>
        <v>44</v>
      </c>
      <c r="BK8" s="605">
        <f t="shared" si="22"/>
        <v>1</v>
      </c>
      <c r="BL8" s="606">
        <f>SUM(BL3:BL7)</f>
        <v>4</v>
      </c>
      <c r="BM8" s="607">
        <f>SUM(BM3:BM7)</f>
        <v>4</v>
      </c>
      <c r="BN8" s="605">
        <f t="shared" si="23"/>
        <v>1</v>
      </c>
      <c r="BO8" s="606">
        <f>SUM(BO3:BO7)</f>
        <v>1</v>
      </c>
      <c r="BP8" s="607">
        <f>SUM(BP3:BP7)</f>
        <v>1</v>
      </c>
      <c r="BQ8" s="605">
        <f t="shared" si="24"/>
        <v>1</v>
      </c>
      <c r="BR8" s="612">
        <f>SUM(BR3:BR7)</f>
        <v>0</v>
      </c>
      <c r="BS8" s="606">
        <f>SUM(BS3:BS7)</f>
        <v>84</v>
      </c>
      <c r="BT8" s="607">
        <f>SUM(BT3:BT7)</f>
        <v>84</v>
      </c>
      <c r="BU8" s="605">
        <f t="shared" si="26"/>
        <v>1</v>
      </c>
      <c r="BV8" s="606">
        <f>SUM(BV3:BV7)</f>
        <v>15</v>
      </c>
      <c r="BW8" s="607">
        <f>SUM(BW3:BW7)</f>
        <v>15</v>
      </c>
      <c r="BX8" s="605">
        <f t="shared" si="27"/>
        <v>1</v>
      </c>
      <c r="BY8" s="606">
        <f>SUM(BY3:BY7)</f>
        <v>11</v>
      </c>
      <c r="BZ8" s="607">
        <f>SUM(BZ3:BZ7)</f>
        <v>11</v>
      </c>
      <c r="CA8" s="605">
        <f t="shared" si="28"/>
        <v>1</v>
      </c>
      <c r="CB8" s="606">
        <f>SUM(CB3:CB7)</f>
        <v>18</v>
      </c>
      <c r="CC8" s="607">
        <f>SUM(CC3:CC7)</f>
        <v>18</v>
      </c>
      <c r="CD8" s="605">
        <f t="shared" si="29"/>
        <v>1</v>
      </c>
      <c r="CE8" s="606">
        <f>SUM(CE3:CE7)</f>
        <v>14</v>
      </c>
      <c r="CF8" s="607">
        <f>SUM(CF3:CF7)</f>
        <v>14</v>
      </c>
      <c r="CG8" s="605">
        <f t="shared" si="30"/>
        <v>1</v>
      </c>
      <c r="CH8" s="612">
        <f>SUM(CH3:CH7)</f>
        <v>0</v>
      </c>
      <c r="CI8" s="606">
        <f>SUM(CI3:CI7)</f>
        <v>21</v>
      </c>
      <c r="CJ8" s="607">
        <f>SUM(CJ3:CJ7)</f>
        <v>21</v>
      </c>
      <c r="CK8" s="605">
        <f t="shared" si="32"/>
        <v>1</v>
      </c>
      <c r="CL8" s="606">
        <f>SUM(CL3:CL7)</f>
        <v>18</v>
      </c>
      <c r="CM8" s="607">
        <f>SUM(CM3:CM7)</f>
        <v>18</v>
      </c>
      <c r="CN8" s="605">
        <f t="shared" si="33"/>
        <v>1</v>
      </c>
      <c r="CO8" s="606">
        <f>SUM(CO3:CO7)</f>
        <v>18</v>
      </c>
      <c r="CP8" s="607">
        <f>SUM(CP3:CP7)</f>
        <v>18</v>
      </c>
      <c r="CQ8" s="605">
        <f t="shared" si="34"/>
        <v>1</v>
      </c>
      <c r="CR8" s="606">
        <f>SUM(CR3:CR7)</f>
        <v>15</v>
      </c>
      <c r="CS8" s="607">
        <f>SUM(CS3:CS7)</f>
        <v>15</v>
      </c>
      <c r="CT8" s="605">
        <f t="shared" si="35"/>
        <v>1</v>
      </c>
      <c r="CU8" s="606">
        <f>SUM(CU3:CU7)</f>
        <v>0</v>
      </c>
      <c r="CV8" s="607">
        <f>SUM(CV3:CV7)</f>
        <v>0</v>
      </c>
      <c r="CW8" s="605">
        <f t="shared" si="36"/>
        <v>1</v>
      </c>
      <c r="CX8" s="612">
        <f>SUM(CX3:CX7)</f>
        <v>0</v>
      </c>
      <c r="CY8" s="606">
        <f>SUM(CY3:CY7)</f>
        <v>14</v>
      </c>
      <c r="CZ8" s="607">
        <f>SUM(CZ3:CZ7)</f>
        <v>14</v>
      </c>
      <c r="DA8" s="605">
        <f t="shared" si="38"/>
        <v>1</v>
      </c>
      <c r="DB8" s="606">
        <f>SUM(DB3:DB7)</f>
        <v>210</v>
      </c>
      <c r="DC8" s="607">
        <f>SUM(DC3:DC7)</f>
        <v>210</v>
      </c>
      <c r="DD8" s="605">
        <f t="shared" si="39"/>
        <v>1</v>
      </c>
      <c r="DE8" s="606">
        <f>SUM(DE3:DE7)</f>
        <v>13</v>
      </c>
      <c r="DF8" s="607">
        <f>SUM(DF3:DF7)</f>
        <v>13</v>
      </c>
      <c r="DG8" s="605">
        <f t="shared" si="40"/>
        <v>1</v>
      </c>
      <c r="DH8" s="606">
        <f>SUM(DH3:DH7)</f>
        <v>12</v>
      </c>
      <c r="DI8" s="607">
        <f>SUM(DI3:DI7)</f>
        <v>12</v>
      </c>
      <c r="DJ8" s="605">
        <f t="shared" si="41"/>
        <v>1</v>
      </c>
      <c r="DK8" s="606">
        <f>SUM(DK3:DK7)</f>
        <v>16</v>
      </c>
      <c r="DL8" s="607">
        <f>SUM(DL3:DL7)</f>
        <v>16</v>
      </c>
      <c r="DM8" s="605">
        <f t="shared" si="42"/>
        <v>1</v>
      </c>
      <c r="DN8" s="612">
        <f>SUM(DN3:DN7)</f>
        <v>0</v>
      </c>
      <c r="DO8" s="606">
        <f>SUM(DO3:DO7)</f>
        <v>14</v>
      </c>
      <c r="DP8" s="607">
        <f>SUM(DP3:DP7)</f>
        <v>14</v>
      </c>
      <c r="DQ8" s="605">
        <f t="shared" si="44"/>
        <v>1</v>
      </c>
      <c r="DR8" s="606">
        <f>SUM(DR3:DR7)</f>
        <v>31</v>
      </c>
      <c r="DS8" s="607">
        <f>SUM(DS3:DS7)</f>
        <v>31</v>
      </c>
      <c r="DT8" s="605">
        <f t="shared" si="45"/>
        <v>1</v>
      </c>
      <c r="DU8" s="606">
        <f>SUM(DU3:DU7)</f>
        <v>0</v>
      </c>
      <c r="DV8" s="607">
        <f>SUM(DV3:DV7)</f>
        <v>0</v>
      </c>
      <c r="DW8" s="605">
        <f t="shared" si="46"/>
        <v>1</v>
      </c>
      <c r="DX8" s="606">
        <f>SUM(DX3:DX7)</f>
        <v>31</v>
      </c>
      <c r="DY8" s="607">
        <f>SUM(DY3:DY7)</f>
        <v>32</v>
      </c>
      <c r="DZ8" s="605">
        <f t="shared" si="47"/>
        <v>0.96875</v>
      </c>
      <c r="EA8" s="606">
        <f>SUM(EA3:EA7)</f>
        <v>15</v>
      </c>
      <c r="EB8" s="607">
        <f>SUM(EB3:EB7)</f>
        <v>15</v>
      </c>
      <c r="EC8" s="605">
        <f t="shared" si="48"/>
        <v>1</v>
      </c>
      <c r="ED8" s="612">
        <f>SUM(ED3:ED7)</f>
        <v>1</v>
      </c>
      <c r="EE8" s="606">
        <f>SUM(EE3:EE7)</f>
        <v>14</v>
      </c>
      <c r="EF8" s="607">
        <f>SUM(EF3:EF7)</f>
        <v>16</v>
      </c>
      <c r="EG8" s="605">
        <f t="shared" si="50"/>
        <v>0.875</v>
      </c>
      <c r="EH8" s="606">
        <f>SUM(EH3:EH7)</f>
        <v>8</v>
      </c>
      <c r="EI8" s="607">
        <f>SUM(EI3:EI7)</f>
        <v>17</v>
      </c>
      <c r="EJ8" s="605">
        <f t="shared" si="51"/>
        <v>0.47058823529411764</v>
      </c>
      <c r="EK8" s="606">
        <f>SUM(EK3:EK7)</f>
        <v>0</v>
      </c>
      <c r="EL8" s="607">
        <f>SUM(EL3:EL7)</f>
        <v>0</v>
      </c>
      <c r="EM8" s="605">
        <f t="shared" si="52"/>
        <v>1</v>
      </c>
      <c r="EN8" s="606">
        <f>SUM(EN3:EN7)</f>
        <v>6</v>
      </c>
      <c r="EO8" s="607">
        <f>SUM(EO3:EO7)</f>
        <v>41</v>
      </c>
      <c r="EP8" s="605">
        <f t="shared" si="53"/>
        <v>0.14634146341463414</v>
      </c>
      <c r="EQ8" s="606">
        <f>SUM(EQ3:EQ7)</f>
        <v>0</v>
      </c>
      <c r="ER8" s="607">
        <f>SUM(ER3:ER7)</f>
        <v>28</v>
      </c>
      <c r="ES8" s="605">
        <f t="shared" si="54"/>
        <v>0</v>
      </c>
      <c r="ET8" s="612">
        <f>SUM(ET3:ET7)</f>
        <v>74</v>
      </c>
      <c r="EU8" s="606">
        <f>SUM(EU3:EU7)</f>
        <v>0</v>
      </c>
      <c r="EV8" s="607">
        <f>SUM(EV3:EV7)</f>
        <v>22</v>
      </c>
      <c r="EW8" s="605">
        <f t="shared" si="56"/>
        <v>0</v>
      </c>
      <c r="EX8" s="606">
        <f>SUM(EX3:EX7)</f>
        <v>0</v>
      </c>
      <c r="EY8" s="607">
        <f>SUM(EY3:EY7)</f>
        <v>7</v>
      </c>
      <c r="EZ8" s="605">
        <f t="shared" si="57"/>
        <v>0</v>
      </c>
      <c r="FA8" s="606">
        <f>SUM(FA3:FA7)</f>
        <v>0</v>
      </c>
      <c r="FB8" s="607">
        <f>SUM(FB3:FB7)</f>
        <v>11</v>
      </c>
      <c r="FC8" s="605">
        <f t="shared" si="58"/>
        <v>0</v>
      </c>
      <c r="FD8" s="606">
        <f>SUM(FD3:FD7)</f>
        <v>0</v>
      </c>
      <c r="FE8" s="607">
        <f>SUM(FE3:FE7)</f>
        <v>20</v>
      </c>
      <c r="FF8" s="605">
        <f t="shared" si="59"/>
        <v>0</v>
      </c>
      <c r="FG8" s="606">
        <f>SUM(FG3:FG7)</f>
        <v>0</v>
      </c>
      <c r="FH8" s="607">
        <f>SUM(FH3:FH7)</f>
        <v>12</v>
      </c>
      <c r="FI8" s="605">
        <f t="shared" si="60"/>
        <v>0</v>
      </c>
      <c r="FJ8" s="612">
        <f>SUM(FJ3:FJ7)</f>
        <v>72</v>
      </c>
      <c r="FK8" s="606">
        <f>SUM(FK3:FK7)</f>
        <v>0</v>
      </c>
      <c r="FL8" s="607">
        <f>SUM(FL3:FL7)</f>
        <v>10</v>
      </c>
      <c r="FM8" s="605">
        <f t="shared" si="62"/>
        <v>0</v>
      </c>
      <c r="FN8" s="606">
        <f>SUM(FN3:FN7)</f>
        <v>0</v>
      </c>
      <c r="FO8" s="607">
        <f>SUM(FO3:FO7)</f>
        <v>7</v>
      </c>
      <c r="FP8" s="605">
        <f t="shared" si="63"/>
        <v>0</v>
      </c>
      <c r="FQ8" s="606">
        <f>SUM(FQ3:FQ7)</f>
        <v>0</v>
      </c>
      <c r="FR8" s="607">
        <f>SUM(FR3:FR7)</f>
        <v>3</v>
      </c>
      <c r="FS8" s="605">
        <f t="shared" si="64"/>
        <v>0</v>
      </c>
      <c r="FT8" s="606">
        <f>SUM(FT3:FT7)</f>
        <v>0</v>
      </c>
      <c r="FU8" s="607">
        <f>SUM(FU3:FU7)</f>
        <v>4</v>
      </c>
      <c r="FV8" s="605">
        <f t="shared" si="65"/>
        <v>0</v>
      </c>
      <c r="FW8" s="606">
        <f>SUM(FW3:FW7)</f>
        <v>0</v>
      </c>
      <c r="FX8" s="607">
        <f>SUM(FX3:FX7)</f>
        <v>0</v>
      </c>
      <c r="FY8" s="605">
        <f t="shared" si="66"/>
        <v>1</v>
      </c>
      <c r="FZ8" s="612">
        <f>SUM(FZ3:FZ7)</f>
        <v>24</v>
      </c>
    </row>
    <row r="9" spans="1:182" ht="15" thickTop="1" x14ac:dyDescent="0.35">
      <c r="AA9">
        <f>AA8-Z8</f>
        <v>0</v>
      </c>
      <c r="AD9">
        <f>AD8-AC8</f>
        <v>0</v>
      </c>
      <c r="AG9">
        <f>AG8-AF8</f>
        <v>0</v>
      </c>
      <c r="AJ9">
        <f>AJ8-AI8</f>
        <v>0</v>
      </c>
      <c r="AL9" s="614"/>
      <c r="AN9">
        <f>AN8-AM8</f>
        <v>0</v>
      </c>
      <c r="AQ9">
        <f>AQ8-AP8</f>
        <v>0</v>
      </c>
      <c r="AT9">
        <f>AT8-AS8</f>
        <v>0</v>
      </c>
      <c r="AW9">
        <f>AW8-AV8</f>
        <v>0</v>
      </c>
      <c r="AZ9">
        <f>AZ8-AY8</f>
        <v>0</v>
      </c>
      <c r="BB9" s="614">
        <f>SUM(AM8,AP8,AS8,AV8,AY8)/SUM(AN8,AQ8,AT8,AW8,AZ8)</f>
        <v>1</v>
      </c>
      <c r="BD9">
        <f>BD8-BC8</f>
        <v>0</v>
      </c>
      <c r="BG9">
        <f>BG8-BF8</f>
        <v>0</v>
      </c>
      <c r="BJ9">
        <f>BJ8-BI8</f>
        <v>0</v>
      </c>
      <c r="BM9">
        <f>BM8-BL8</f>
        <v>0</v>
      </c>
      <c r="BP9">
        <f>BP8-BO8</f>
        <v>0</v>
      </c>
      <c r="BR9" s="614">
        <f>SUM(BC8,BF8,BI8,BL8,BO8)/SUM(BD8,BG8,BJ8,BM8,BP8)</f>
        <v>1</v>
      </c>
      <c r="BT9">
        <f>BT8-BS8</f>
        <v>0</v>
      </c>
      <c r="BW9">
        <f>BW8-BV8</f>
        <v>0</v>
      </c>
      <c r="BZ9">
        <f>BZ8-BY8</f>
        <v>0</v>
      </c>
      <c r="CC9">
        <f>CC8-CB8</f>
        <v>0</v>
      </c>
      <c r="CF9">
        <f>CF8-CE8</f>
        <v>0</v>
      </c>
      <c r="CH9" s="614">
        <f>SUM(BS8,BV8,BY8,CB8,CE8)/SUM(BT8,BW8,BZ8,CC8,CF8)</f>
        <v>1</v>
      </c>
      <c r="CJ9">
        <f>CJ8-CI8</f>
        <v>0</v>
      </c>
      <c r="CM9">
        <f>CM8-CL8</f>
        <v>0</v>
      </c>
      <c r="CP9">
        <f>CP8-CO8</f>
        <v>0</v>
      </c>
      <c r="CS9">
        <f>CS8-CR8</f>
        <v>0</v>
      </c>
      <c r="CV9">
        <f>CV8-CU8</f>
        <v>0</v>
      </c>
      <c r="CX9" s="614">
        <f>SUM(CI8,CL8,CO8,CR8,CU8)/SUM(CJ8,CM8,CP8,CS8,CV8)</f>
        <v>1</v>
      </c>
      <c r="CZ9">
        <f>CZ8-CY8</f>
        <v>0</v>
      </c>
      <c r="DC9">
        <f>DC8-DB8</f>
        <v>0</v>
      </c>
      <c r="DF9">
        <f>DF8-DE8</f>
        <v>0</v>
      </c>
      <c r="DI9">
        <f>DI8-DH8</f>
        <v>0</v>
      </c>
      <c r="DL9">
        <f>DL8-DK8</f>
        <v>0</v>
      </c>
      <c r="DN9" s="614">
        <f>SUM(CY8,DB8,DE8,DH8,DK8)/SUM(CZ8,DC8,DF8,DI8,DL8)</f>
        <v>1</v>
      </c>
      <c r="DP9">
        <f>DP8-DO8</f>
        <v>0</v>
      </c>
      <c r="DS9">
        <f>DS8-DR8</f>
        <v>0</v>
      </c>
      <c r="DV9">
        <f>DV8-DU8</f>
        <v>0</v>
      </c>
      <c r="DY9">
        <f>DY8-DX8</f>
        <v>1</v>
      </c>
      <c r="EB9">
        <f>EB8-EA8</f>
        <v>0</v>
      </c>
      <c r="ED9" s="614">
        <f>SUM(DO8,DR8,DU8,DX8,EA8)/SUM(DP8,DS8,DV8,DY8,EB8)</f>
        <v>0.98913043478260865</v>
      </c>
      <c r="EF9">
        <f>EF8-EE8</f>
        <v>2</v>
      </c>
      <c r="EI9">
        <f>EI8-EH8</f>
        <v>9</v>
      </c>
      <c r="EL9">
        <f>EL8-EK8</f>
        <v>0</v>
      </c>
      <c r="EO9">
        <f>EO8-EN8</f>
        <v>35</v>
      </c>
      <c r="ER9">
        <f>ER8-EQ8</f>
        <v>28</v>
      </c>
      <c r="ET9" s="614">
        <f>SUM(EE8,EH8,EK8,EN8,EQ8)/SUM(EF8,EI8,EL8,EO8,ER8)</f>
        <v>0.27450980392156865</v>
      </c>
      <c r="EV9">
        <f>EV8-EU8</f>
        <v>22</v>
      </c>
      <c r="EY9">
        <f>EY8-EX8</f>
        <v>7</v>
      </c>
      <c r="FB9">
        <f>FB8-FA8</f>
        <v>11</v>
      </c>
      <c r="FE9">
        <f>FE8-FD8</f>
        <v>20</v>
      </c>
      <c r="FH9">
        <f>FH8-FG8</f>
        <v>12</v>
      </c>
      <c r="FJ9" s="614">
        <f>SUM(EU8,EX8,FA8,FD8,FG8)/SUM(EV8,EY8,FB8,FE8,FH8)</f>
        <v>0</v>
      </c>
      <c r="FL9">
        <f>FL8-FK8</f>
        <v>10</v>
      </c>
      <c r="FO9">
        <f>FO8-FN8</f>
        <v>7</v>
      </c>
      <c r="FR9">
        <f>FR8-FQ8</f>
        <v>3</v>
      </c>
      <c r="FU9">
        <f>FU8-FT8</f>
        <v>4</v>
      </c>
      <c r="FX9">
        <f>FX8-FW8</f>
        <v>0</v>
      </c>
      <c r="FZ9" s="614">
        <f>SUM(FK8,FN8,FQ8,FT8,FW8)/SUM(FL8,FO8,FR8,FU8,FX8)</f>
        <v>0</v>
      </c>
    </row>
  </sheetData>
  <mergeCells count="71">
    <mergeCell ref="BY1:CA1"/>
    <mergeCell ref="CB1:CD1"/>
    <mergeCell ref="CE1:CG1"/>
    <mergeCell ref="CU1:CW1"/>
    <mergeCell ref="CX1:CX2"/>
    <mergeCell ref="CH1:CH2"/>
    <mergeCell ref="CI1:CK1"/>
    <mergeCell ref="CL1:CN1"/>
    <mergeCell ref="CO1:CQ1"/>
    <mergeCell ref="CR1:CT1"/>
    <mergeCell ref="ET1:ET2"/>
    <mergeCell ref="EE1:EG1"/>
    <mergeCell ref="EH1:EJ1"/>
    <mergeCell ref="EK1:EM1"/>
    <mergeCell ref="EN1:EP1"/>
    <mergeCell ref="EQ1:ES1"/>
    <mergeCell ref="A1:A2"/>
    <mergeCell ref="P1:R1"/>
    <mergeCell ref="S1:U1"/>
    <mergeCell ref="V1:X1"/>
    <mergeCell ref="AS1:AU1"/>
    <mergeCell ref="AL1:AL2"/>
    <mergeCell ref="Y1:Y2"/>
    <mergeCell ref="Z1:AB1"/>
    <mergeCell ref="AC1:AE1"/>
    <mergeCell ref="AF1:AH1"/>
    <mergeCell ref="AI1:AK1"/>
    <mergeCell ref="AM1:AO1"/>
    <mergeCell ref="AP1:AR1"/>
    <mergeCell ref="F1:G1"/>
    <mergeCell ref="H1:I1"/>
    <mergeCell ref="J1:J2"/>
    <mergeCell ref="B1:C1"/>
    <mergeCell ref="D1:E1"/>
    <mergeCell ref="O1:O2"/>
    <mergeCell ref="BS1:BU1"/>
    <mergeCell ref="BV1:BX1"/>
    <mergeCell ref="BB1:BB2"/>
    <mergeCell ref="AV1:AX1"/>
    <mergeCell ref="AY1:BA1"/>
    <mergeCell ref="BC1:BE1"/>
    <mergeCell ref="BF1:BH1"/>
    <mergeCell ref="BI1:BK1"/>
    <mergeCell ref="BL1:BN1"/>
    <mergeCell ref="BO1:BQ1"/>
    <mergeCell ref="K1:N1"/>
    <mergeCell ref="BR1:BR2"/>
    <mergeCell ref="ED1:ED2"/>
    <mergeCell ref="DO1:DQ1"/>
    <mergeCell ref="DR1:DT1"/>
    <mergeCell ref="DU1:DW1"/>
    <mergeCell ref="DX1:DZ1"/>
    <mergeCell ref="EA1:EC1"/>
    <mergeCell ref="DN1:DN2"/>
    <mergeCell ref="CY1:DA1"/>
    <mergeCell ref="DB1:DD1"/>
    <mergeCell ref="DE1:DG1"/>
    <mergeCell ref="DH1:DJ1"/>
    <mergeCell ref="DK1:DM1"/>
    <mergeCell ref="FJ1:FJ2"/>
    <mergeCell ref="EU1:EW1"/>
    <mergeCell ref="EX1:EZ1"/>
    <mergeCell ref="FA1:FC1"/>
    <mergeCell ref="FD1:FF1"/>
    <mergeCell ref="FG1:FI1"/>
    <mergeCell ref="FZ1:FZ2"/>
    <mergeCell ref="FK1:FM1"/>
    <mergeCell ref="FN1:FP1"/>
    <mergeCell ref="FQ1:FS1"/>
    <mergeCell ref="FT1:FV1"/>
    <mergeCell ref="FW1:FY1"/>
  </mergeCells>
  <conditionalFormatting sqref="R3:R7 U3:U7 X3:X7 AB3:AB7">
    <cfRule type="colorScale" priority="162">
      <colorScale>
        <cfvo type="num" val="0"/>
        <cfvo type="num" val="0.5"/>
        <cfvo type="num" val="1"/>
        <color rgb="FFFF0000"/>
        <color rgb="FFFFC000"/>
        <color rgb="FF92D050"/>
      </colorScale>
    </cfRule>
  </conditionalFormatting>
  <conditionalFormatting sqref="R8">
    <cfRule type="colorScale" priority="161">
      <colorScale>
        <cfvo type="num" val="0"/>
        <cfvo type="num" val="0.5"/>
        <cfvo type="num" val="1"/>
        <color rgb="FFFF0000"/>
        <color rgb="FFFFC000"/>
        <color rgb="FF92D050"/>
      </colorScale>
    </cfRule>
  </conditionalFormatting>
  <conditionalFormatting sqref="U8">
    <cfRule type="colorScale" priority="154">
      <colorScale>
        <cfvo type="num" val="0"/>
        <cfvo type="num" val="0.5"/>
        <cfvo type="num" val="1"/>
        <color rgb="FFFF0000"/>
        <color rgb="FFFFC000"/>
        <color rgb="FF92D050"/>
      </colorScale>
    </cfRule>
  </conditionalFormatting>
  <conditionalFormatting sqref="X8">
    <cfRule type="colorScale" priority="153">
      <colorScale>
        <cfvo type="num" val="0"/>
        <cfvo type="num" val="0.5"/>
        <cfvo type="num" val="1"/>
        <color rgb="FFFF0000"/>
        <color rgb="FFFFC000"/>
        <color rgb="FF92D050"/>
      </colorScale>
    </cfRule>
  </conditionalFormatting>
  <conditionalFormatting sqref="AB8">
    <cfRule type="colorScale" priority="152">
      <colorScale>
        <cfvo type="num" val="0"/>
        <cfvo type="num" val="0.5"/>
        <cfvo type="num" val="1"/>
        <color rgb="FFFF0000"/>
        <color rgb="FFFFC000"/>
        <color rgb="FF92D050"/>
      </colorScale>
    </cfRule>
  </conditionalFormatting>
  <conditionalFormatting sqref="AO3:AO7">
    <cfRule type="colorScale" priority="138">
      <colorScale>
        <cfvo type="num" val="0"/>
        <cfvo type="num" val="0.5"/>
        <cfvo type="num" val="1"/>
        <color rgb="FFFF0000"/>
        <color rgb="FFFFC000"/>
        <color rgb="FF92D050"/>
      </colorScale>
    </cfRule>
  </conditionalFormatting>
  <conditionalFormatting sqref="AO8">
    <cfRule type="colorScale" priority="137">
      <colorScale>
        <cfvo type="num" val="0"/>
        <cfvo type="num" val="0.5"/>
        <cfvo type="num" val="1"/>
        <color rgb="FFFF0000"/>
        <color rgb="FFFFC000"/>
        <color rgb="FF92D050"/>
      </colorScale>
    </cfRule>
  </conditionalFormatting>
  <conditionalFormatting sqref="AK3:AK7">
    <cfRule type="colorScale" priority="136">
      <colorScale>
        <cfvo type="num" val="0"/>
        <cfvo type="num" val="0.5"/>
        <cfvo type="num" val="1"/>
        <color rgb="FFFF0000"/>
        <color rgb="FFFFC000"/>
        <color rgb="FF92D050"/>
      </colorScale>
    </cfRule>
  </conditionalFormatting>
  <conditionalFormatting sqref="AK7:AL7">
    <cfRule type="colorScale" priority="135">
      <colorScale>
        <cfvo type="num" val="0"/>
        <cfvo type="num" val="0.5"/>
        <cfvo type="num" val="1"/>
        <color rgb="FFFF0000"/>
        <color rgb="FFFFC000"/>
        <color rgb="FF92D050"/>
      </colorScale>
    </cfRule>
  </conditionalFormatting>
  <conditionalFormatting sqref="AH3:AH7">
    <cfRule type="colorScale" priority="134">
      <colorScale>
        <cfvo type="num" val="0"/>
        <cfvo type="num" val="0.5"/>
        <cfvo type="num" val="1"/>
        <color rgb="FFFF0000"/>
        <color rgb="FFFFC000"/>
        <color rgb="FF92D050"/>
      </colorScale>
    </cfRule>
  </conditionalFormatting>
  <conditionalFormatting sqref="AH8">
    <cfRule type="colorScale" priority="133">
      <colorScale>
        <cfvo type="num" val="0"/>
        <cfvo type="num" val="0.5"/>
        <cfvo type="num" val="1"/>
        <color rgb="FFFF0000"/>
        <color rgb="FFFFC000"/>
        <color rgb="FF92D050"/>
      </colorScale>
    </cfRule>
  </conditionalFormatting>
  <conditionalFormatting sqref="AE3:AE7">
    <cfRule type="colorScale" priority="132">
      <colorScale>
        <cfvo type="num" val="0"/>
        <cfvo type="num" val="0.5"/>
        <cfvo type="num" val="1"/>
        <color rgb="FFFF0000"/>
        <color rgb="FFFFC000"/>
        <color rgb="FF92D050"/>
      </colorScale>
    </cfRule>
  </conditionalFormatting>
  <conditionalFormatting sqref="AE8">
    <cfRule type="colorScale" priority="131">
      <colorScale>
        <cfvo type="num" val="0"/>
        <cfvo type="num" val="0.5"/>
        <cfvo type="num" val="1"/>
        <color rgb="FFFF0000"/>
        <color rgb="FFFFC000"/>
        <color rgb="FF92D050"/>
      </colorScale>
    </cfRule>
  </conditionalFormatting>
  <conditionalFormatting sqref="AR3:AR7">
    <cfRule type="colorScale" priority="130">
      <colorScale>
        <cfvo type="num" val="0"/>
        <cfvo type="num" val="0.5"/>
        <cfvo type="num" val="1"/>
        <color rgb="FFFF0000"/>
        <color rgb="FFFFC000"/>
        <color rgb="FF92D050"/>
      </colorScale>
    </cfRule>
  </conditionalFormatting>
  <conditionalFormatting sqref="AR8">
    <cfRule type="colorScale" priority="129">
      <colorScale>
        <cfvo type="num" val="0"/>
        <cfvo type="num" val="0.5"/>
        <cfvo type="num" val="1"/>
        <color rgb="FFFF0000"/>
        <color rgb="FFFFC000"/>
        <color rgb="FF92D050"/>
      </colorScale>
    </cfRule>
  </conditionalFormatting>
  <conditionalFormatting sqref="AU3:AU7">
    <cfRule type="colorScale" priority="128">
      <colorScale>
        <cfvo type="num" val="0"/>
        <cfvo type="num" val="0.5"/>
        <cfvo type="num" val="1"/>
        <color rgb="FFFF0000"/>
        <color rgb="FFFFC000"/>
        <color rgb="FF92D050"/>
      </colorScale>
    </cfRule>
  </conditionalFormatting>
  <conditionalFormatting sqref="AU8">
    <cfRule type="colorScale" priority="127">
      <colorScale>
        <cfvo type="num" val="0"/>
        <cfvo type="num" val="0.5"/>
        <cfvo type="num" val="1"/>
        <color rgb="FFFF0000"/>
        <color rgb="FFFFC000"/>
        <color rgb="FF92D050"/>
      </colorScale>
    </cfRule>
  </conditionalFormatting>
  <conditionalFormatting sqref="AX3:AX7">
    <cfRule type="colorScale" priority="126">
      <colorScale>
        <cfvo type="num" val="0"/>
        <cfvo type="num" val="0.5"/>
        <cfvo type="num" val="1"/>
        <color rgb="FFFF0000"/>
        <color rgb="FFFFC000"/>
        <color rgb="FF92D050"/>
      </colorScale>
    </cfRule>
  </conditionalFormatting>
  <conditionalFormatting sqref="AX8">
    <cfRule type="colorScale" priority="125">
      <colorScale>
        <cfvo type="num" val="0"/>
        <cfvo type="num" val="0.5"/>
        <cfvo type="num" val="1"/>
        <color rgb="FFFF0000"/>
        <color rgb="FFFFC000"/>
        <color rgb="FF92D050"/>
      </colorScale>
    </cfRule>
  </conditionalFormatting>
  <conditionalFormatting sqref="BA3:BA7">
    <cfRule type="colorScale" priority="124">
      <colorScale>
        <cfvo type="num" val="0"/>
        <cfvo type="num" val="0.5"/>
        <cfvo type="num" val="1"/>
        <color rgb="FFFF0000"/>
        <color rgb="FFFFC000"/>
        <color rgb="FF92D050"/>
      </colorScale>
    </cfRule>
  </conditionalFormatting>
  <conditionalFormatting sqref="BA8">
    <cfRule type="colorScale" priority="123">
      <colorScale>
        <cfvo type="num" val="0"/>
        <cfvo type="num" val="0.5"/>
        <cfvo type="num" val="1"/>
        <color rgb="FFFF0000"/>
        <color rgb="FFFFC000"/>
        <color rgb="FF92D050"/>
      </colorScale>
    </cfRule>
  </conditionalFormatting>
  <conditionalFormatting sqref="AL3:AL7">
    <cfRule type="cellIs" dxfId="19" priority="112" operator="equal">
      <formula>0</formula>
    </cfRule>
    <cfRule type="colorScale" priority="117">
      <colorScale>
        <cfvo type="min"/>
        <cfvo type="percentile" val="50"/>
        <cfvo type="max"/>
        <color rgb="FF92D050"/>
        <color rgb="FFFFC000"/>
        <color rgb="FFFF0000"/>
      </colorScale>
    </cfRule>
  </conditionalFormatting>
  <conditionalFormatting sqref="Y3:Y7">
    <cfRule type="cellIs" dxfId="18" priority="113" operator="equal">
      <formula>0</formula>
    </cfRule>
    <cfRule type="colorScale" priority="114">
      <colorScale>
        <cfvo type="min"/>
        <cfvo type="percentile" val="50"/>
        <cfvo type="max"/>
        <color rgb="FF92D050"/>
        <color rgb="FFFFC000"/>
        <color rgb="FFFF0000"/>
      </colorScale>
    </cfRule>
  </conditionalFormatting>
  <conditionalFormatting sqref="BB7">
    <cfRule type="colorScale" priority="111">
      <colorScale>
        <cfvo type="num" val="0"/>
        <cfvo type="num" val="0.5"/>
        <cfvo type="num" val="1"/>
        <color rgb="FFFF0000"/>
        <color rgb="FFFFC000"/>
        <color rgb="FF92D050"/>
      </colorScale>
    </cfRule>
  </conditionalFormatting>
  <conditionalFormatting sqref="BB3:BB7">
    <cfRule type="cellIs" dxfId="17" priority="109" operator="equal">
      <formula>0</formula>
    </cfRule>
    <cfRule type="colorScale" priority="110">
      <colorScale>
        <cfvo type="min"/>
        <cfvo type="percentile" val="50"/>
        <cfvo type="max"/>
        <color rgb="FF92D050"/>
        <color rgb="FFFFC000"/>
        <color rgb="FFFF0000"/>
      </colorScale>
    </cfRule>
  </conditionalFormatting>
  <conditionalFormatting sqref="BE3:BE7">
    <cfRule type="colorScale" priority="108">
      <colorScale>
        <cfvo type="num" val="0"/>
        <cfvo type="num" val="0.5"/>
        <cfvo type="num" val="1"/>
        <color rgb="FFFF0000"/>
        <color rgb="FFFFC000"/>
        <color rgb="FF92D050"/>
      </colorScale>
    </cfRule>
  </conditionalFormatting>
  <conditionalFormatting sqref="BE8">
    <cfRule type="colorScale" priority="107">
      <colorScale>
        <cfvo type="num" val="0"/>
        <cfvo type="num" val="0.5"/>
        <cfvo type="num" val="1"/>
        <color rgb="FFFF0000"/>
        <color rgb="FFFFC000"/>
        <color rgb="FF92D050"/>
      </colorScale>
    </cfRule>
  </conditionalFormatting>
  <conditionalFormatting sqref="BH3:BH7">
    <cfRule type="colorScale" priority="106">
      <colorScale>
        <cfvo type="num" val="0"/>
        <cfvo type="num" val="0.5"/>
        <cfvo type="num" val="1"/>
        <color rgb="FFFF0000"/>
        <color rgb="FFFFC000"/>
        <color rgb="FF92D050"/>
      </colorScale>
    </cfRule>
  </conditionalFormatting>
  <conditionalFormatting sqref="BH8">
    <cfRule type="colorScale" priority="105">
      <colorScale>
        <cfvo type="num" val="0"/>
        <cfvo type="num" val="0.5"/>
        <cfvo type="num" val="1"/>
        <color rgb="FFFF0000"/>
        <color rgb="FFFFC000"/>
        <color rgb="FF92D050"/>
      </colorScale>
    </cfRule>
  </conditionalFormatting>
  <conditionalFormatting sqref="BK3:BK7">
    <cfRule type="colorScale" priority="104">
      <colorScale>
        <cfvo type="num" val="0"/>
        <cfvo type="num" val="0.5"/>
        <cfvo type="num" val="1"/>
        <color rgb="FFFF0000"/>
        <color rgb="FFFFC000"/>
        <color rgb="FF92D050"/>
      </colorScale>
    </cfRule>
  </conditionalFormatting>
  <conditionalFormatting sqref="BK8">
    <cfRule type="colorScale" priority="103">
      <colorScale>
        <cfvo type="num" val="0"/>
        <cfvo type="num" val="0.5"/>
        <cfvo type="num" val="1"/>
        <color rgb="FFFF0000"/>
        <color rgb="FFFFC000"/>
        <color rgb="FF92D050"/>
      </colorScale>
    </cfRule>
  </conditionalFormatting>
  <conditionalFormatting sqref="BN3:BN7">
    <cfRule type="colorScale" priority="102">
      <colorScale>
        <cfvo type="num" val="0"/>
        <cfvo type="num" val="0.5"/>
        <cfvo type="num" val="1"/>
        <color rgb="FFFF0000"/>
        <color rgb="FFFFC000"/>
        <color rgb="FF92D050"/>
      </colorScale>
    </cfRule>
  </conditionalFormatting>
  <conditionalFormatting sqref="BN8">
    <cfRule type="colorScale" priority="101">
      <colorScale>
        <cfvo type="num" val="0"/>
        <cfvo type="num" val="0.5"/>
        <cfvo type="num" val="1"/>
        <color rgb="FFFF0000"/>
        <color rgb="FFFFC000"/>
        <color rgb="FF92D050"/>
      </colorScale>
    </cfRule>
  </conditionalFormatting>
  <conditionalFormatting sqref="BQ3:BQ7">
    <cfRule type="colorScale" priority="100">
      <colorScale>
        <cfvo type="num" val="0"/>
        <cfvo type="num" val="0.5"/>
        <cfvo type="num" val="1"/>
        <color rgb="FFFF0000"/>
        <color rgb="FFFFC000"/>
        <color rgb="FF92D050"/>
      </colorScale>
    </cfRule>
  </conditionalFormatting>
  <conditionalFormatting sqref="BQ8">
    <cfRule type="colorScale" priority="99">
      <colorScale>
        <cfvo type="num" val="0"/>
        <cfvo type="num" val="0.5"/>
        <cfvo type="num" val="1"/>
        <color rgb="FFFF0000"/>
        <color rgb="FFFFC000"/>
        <color rgb="FF92D050"/>
      </colorScale>
    </cfRule>
  </conditionalFormatting>
  <conditionalFormatting sqref="BR7">
    <cfRule type="colorScale" priority="98">
      <colorScale>
        <cfvo type="num" val="0"/>
        <cfvo type="num" val="0.5"/>
        <cfvo type="num" val="1"/>
        <color rgb="FFFF0000"/>
        <color rgb="FFFFC000"/>
        <color rgb="FF92D050"/>
      </colorScale>
    </cfRule>
  </conditionalFormatting>
  <conditionalFormatting sqref="BU3:BU7">
    <cfRule type="colorScale" priority="95">
      <colorScale>
        <cfvo type="num" val="0"/>
        <cfvo type="num" val="0.5"/>
        <cfvo type="num" val="1"/>
        <color rgb="FFFF0000"/>
        <color rgb="FFFFC000"/>
        <color rgb="FF92D050"/>
      </colorScale>
    </cfRule>
  </conditionalFormatting>
  <conditionalFormatting sqref="BU8">
    <cfRule type="colorScale" priority="94">
      <colorScale>
        <cfvo type="num" val="0"/>
        <cfvo type="num" val="0.5"/>
        <cfvo type="num" val="1"/>
        <color rgb="FFFF0000"/>
        <color rgb="FFFFC000"/>
        <color rgb="FF92D050"/>
      </colorScale>
    </cfRule>
  </conditionalFormatting>
  <conditionalFormatting sqref="BX3:BX7">
    <cfRule type="colorScale" priority="93">
      <colorScale>
        <cfvo type="num" val="0"/>
        <cfvo type="num" val="0.5"/>
        <cfvo type="num" val="1"/>
        <color rgb="FFFF0000"/>
        <color rgb="FFFFC000"/>
        <color rgb="FF92D050"/>
      </colorScale>
    </cfRule>
  </conditionalFormatting>
  <conditionalFormatting sqref="BX8">
    <cfRule type="colorScale" priority="92">
      <colorScale>
        <cfvo type="num" val="0"/>
        <cfvo type="num" val="0.5"/>
        <cfvo type="num" val="1"/>
        <color rgb="FFFF0000"/>
        <color rgb="FFFFC000"/>
        <color rgb="FF92D050"/>
      </colorScale>
    </cfRule>
  </conditionalFormatting>
  <conditionalFormatting sqref="CA3:CA7">
    <cfRule type="colorScale" priority="91">
      <colorScale>
        <cfvo type="num" val="0"/>
        <cfvo type="num" val="0.5"/>
        <cfvo type="num" val="1"/>
        <color rgb="FFFF0000"/>
        <color rgb="FFFFC000"/>
        <color rgb="FF92D050"/>
      </colorScale>
    </cfRule>
  </conditionalFormatting>
  <conditionalFormatting sqref="CA8">
    <cfRule type="colorScale" priority="90">
      <colorScale>
        <cfvo type="num" val="0"/>
        <cfvo type="num" val="0.5"/>
        <cfvo type="num" val="1"/>
        <color rgb="FFFF0000"/>
        <color rgb="FFFFC000"/>
        <color rgb="FF92D050"/>
      </colorScale>
    </cfRule>
  </conditionalFormatting>
  <conditionalFormatting sqref="CD3:CD7">
    <cfRule type="colorScale" priority="89">
      <colorScale>
        <cfvo type="num" val="0"/>
        <cfvo type="num" val="0.5"/>
        <cfvo type="num" val="1"/>
        <color rgb="FFFF0000"/>
        <color rgb="FFFFC000"/>
        <color rgb="FF92D050"/>
      </colorScale>
    </cfRule>
  </conditionalFormatting>
  <conditionalFormatting sqref="CD8">
    <cfRule type="colorScale" priority="88">
      <colorScale>
        <cfvo type="num" val="0"/>
        <cfvo type="num" val="0.5"/>
        <cfvo type="num" val="1"/>
        <color rgb="FFFF0000"/>
        <color rgb="FFFFC000"/>
        <color rgb="FF92D050"/>
      </colorScale>
    </cfRule>
  </conditionalFormatting>
  <conditionalFormatting sqref="CG3:CG7">
    <cfRule type="colorScale" priority="87">
      <colorScale>
        <cfvo type="num" val="0"/>
        <cfvo type="num" val="0.5"/>
        <cfvo type="num" val="1"/>
        <color rgb="FFFF0000"/>
        <color rgb="FFFFC000"/>
        <color rgb="FF92D050"/>
      </colorScale>
    </cfRule>
  </conditionalFormatting>
  <conditionalFormatting sqref="CG8">
    <cfRule type="colorScale" priority="86">
      <colorScale>
        <cfvo type="num" val="0"/>
        <cfvo type="num" val="0.5"/>
        <cfvo type="num" val="1"/>
        <color rgb="FFFF0000"/>
        <color rgb="FFFFC000"/>
        <color rgb="FF92D050"/>
      </colorScale>
    </cfRule>
  </conditionalFormatting>
  <conditionalFormatting sqref="CH7">
    <cfRule type="colorScale" priority="85">
      <colorScale>
        <cfvo type="num" val="0"/>
        <cfvo type="num" val="0.5"/>
        <cfvo type="num" val="1"/>
        <color rgb="FFFF0000"/>
        <color rgb="FFFFC000"/>
        <color rgb="FF92D050"/>
      </colorScale>
    </cfRule>
  </conditionalFormatting>
  <conditionalFormatting sqref="CH3:CH7">
    <cfRule type="cellIs" dxfId="16" priority="83" operator="equal">
      <formula>0</formula>
    </cfRule>
    <cfRule type="colorScale" priority="84">
      <colorScale>
        <cfvo type="min"/>
        <cfvo type="percentile" val="50"/>
        <cfvo type="max"/>
        <color rgb="FF92D050"/>
        <color rgb="FFFFC000"/>
        <color rgb="FFFF0000"/>
      </colorScale>
    </cfRule>
  </conditionalFormatting>
  <conditionalFormatting sqref="CK3:CK7">
    <cfRule type="colorScale" priority="82">
      <colorScale>
        <cfvo type="num" val="0"/>
        <cfvo type="num" val="0.5"/>
        <cfvo type="num" val="1"/>
        <color rgb="FFFF0000"/>
        <color rgb="FFFFC000"/>
        <color rgb="FF92D050"/>
      </colorScale>
    </cfRule>
  </conditionalFormatting>
  <conditionalFormatting sqref="CK8">
    <cfRule type="colorScale" priority="81">
      <colorScale>
        <cfvo type="num" val="0"/>
        <cfvo type="num" val="0.5"/>
        <cfvo type="num" val="1"/>
        <color rgb="FFFF0000"/>
        <color rgb="FFFFC000"/>
        <color rgb="FF92D050"/>
      </colorScale>
    </cfRule>
  </conditionalFormatting>
  <conditionalFormatting sqref="CN3:CN7">
    <cfRule type="colorScale" priority="80">
      <colorScale>
        <cfvo type="num" val="0"/>
        <cfvo type="num" val="0.5"/>
        <cfvo type="num" val="1"/>
        <color rgb="FFFF0000"/>
        <color rgb="FFFFC000"/>
        <color rgb="FF92D050"/>
      </colorScale>
    </cfRule>
  </conditionalFormatting>
  <conditionalFormatting sqref="CN8">
    <cfRule type="colorScale" priority="79">
      <colorScale>
        <cfvo type="num" val="0"/>
        <cfvo type="num" val="0.5"/>
        <cfvo type="num" val="1"/>
        <color rgb="FFFF0000"/>
        <color rgb="FFFFC000"/>
        <color rgb="FF92D050"/>
      </colorScale>
    </cfRule>
  </conditionalFormatting>
  <conditionalFormatting sqref="CQ3:CQ7">
    <cfRule type="colorScale" priority="78">
      <colorScale>
        <cfvo type="num" val="0"/>
        <cfvo type="num" val="0.5"/>
        <cfvo type="num" val="1"/>
        <color rgb="FFFF0000"/>
        <color rgb="FFFFC000"/>
        <color rgb="FF92D050"/>
      </colorScale>
    </cfRule>
  </conditionalFormatting>
  <conditionalFormatting sqref="CQ8">
    <cfRule type="colorScale" priority="77">
      <colorScale>
        <cfvo type="num" val="0"/>
        <cfvo type="num" val="0.5"/>
        <cfvo type="num" val="1"/>
        <color rgb="FFFF0000"/>
        <color rgb="FFFFC000"/>
        <color rgb="FF92D050"/>
      </colorScale>
    </cfRule>
  </conditionalFormatting>
  <conditionalFormatting sqref="CT3:CT7">
    <cfRule type="colorScale" priority="76">
      <colorScale>
        <cfvo type="num" val="0"/>
        <cfvo type="num" val="0.5"/>
        <cfvo type="num" val="1"/>
        <color rgb="FFFF0000"/>
        <color rgb="FFFFC000"/>
        <color rgb="FF92D050"/>
      </colorScale>
    </cfRule>
  </conditionalFormatting>
  <conditionalFormatting sqref="CT8">
    <cfRule type="colorScale" priority="75">
      <colorScale>
        <cfvo type="num" val="0"/>
        <cfvo type="num" val="0.5"/>
        <cfvo type="num" val="1"/>
        <color rgb="FFFF0000"/>
        <color rgb="FFFFC000"/>
        <color rgb="FF92D050"/>
      </colorScale>
    </cfRule>
  </conditionalFormatting>
  <conditionalFormatting sqref="CW3:CW7">
    <cfRule type="colorScale" priority="74">
      <colorScale>
        <cfvo type="num" val="0"/>
        <cfvo type="num" val="0.5"/>
        <cfvo type="num" val="1"/>
        <color rgb="FFFF0000"/>
        <color rgb="FFFFC000"/>
        <color rgb="FF92D050"/>
      </colorScale>
    </cfRule>
  </conditionalFormatting>
  <conditionalFormatting sqref="CW8">
    <cfRule type="colorScale" priority="73">
      <colorScale>
        <cfvo type="num" val="0"/>
        <cfvo type="num" val="0.5"/>
        <cfvo type="num" val="1"/>
        <color rgb="FFFF0000"/>
        <color rgb="FFFFC000"/>
        <color rgb="FF92D050"/>
      </colorScale>
    </cfRule>
  </conditionalFormatting>
  <conditionalFormatting sqref="CX7">
    <cfRule type="colorScale" priority="72">
      <colorScale>
        <cfvo type="num" val="0"/>
        <cfvo type="num" val="0.5"/>
        <cfvo type="num" val="1"/>
        <color rgb="FFFF0000"/>
        <color rgb="FFFFC000"/>
        <color rgb="FF92D050"/>
      </colorScale>
    </cfRule>
  </conditionalFormatting>
  <conditionalFormatting sqref="CX3:CX7">
    <cfRule type="cellIs" dxfId="15" priority="70" operator="equal">
      <formula>0</formula>
    </cfRule>
    <cfRule type="colorScale" priority="71">
      <colorScale>
        <cfvo type="min"/>
        <cfvo type="percentile" val="50"/>
        <cfvo type="max"/>
        <color rgb="FF92D050"/>
        <color rgb="FFFFC000"/>
        <color rgb="FFFF0000"/>
      </colorScale>
    </cfRule>
  </conditionalFormatting>
  <conditionalFormatting sqref="DA3:DA7">
    <cfRule type="colorScale" priority="69">
      <colorScale>
        <cfvo type="num" val="0"/>
        <cfvo type="num" val="0.5"/>
        <cfvo type="num" val="1"/>
        <color rgb="FFFF0000"/>
        <color rgb="FFFFC000"/>
        <color rgb="FF92D050"/>
      </colorScale>
    </cfRule>
  </conditionalFormatting>
  <conditionalFormatting sqref="DA8">
    <cfRule type="colorScale" priority="68">
      <colorScale>
        <cfvo type="num" val="0"/>
        <cfvo type="num" val="0.5"/>
        <cfvo type="num" val="1"/>
        <color rgb="FFFF0000"/>
        <color rgb="FFFFC000"/>
        <color rgb="FF92D050"/>
      </colorScale>
    </cfRule>
  </conditionalFormatting>
  <conditionalFormatting sqref="DD3:DD7">
    <cfRule type="colorScale" priority="67">
      <colorScale>
        <cfvo type="num" val="0"/>
        <cfvo type="num" val="0.5"/>
        <cfvo type="num" val="1"/>
        <color rgb="FFFF0000"/>
        <color rgb="FFFFC000"/>
        <color rgb="FF92D050"/>
      </colorScale>
    </cfRule>
  </conditionalFormatting>
  <conditionalFormatting sqref="DD8">
    <cfRule type="colorScale" priority="66">
      <colorScale>
        <cfvo type="num" val="0"/>
        <cfvo type="num" val="0.5"/>
        <cfvo type="num" val="1"/>
        <color rgb="FFFF0000"/>
        <color rgb="FFFFC000"/>
        <color rgb="FF92D050"/>
      </colorScale>
    </cfRule>
  </conditionalFormatting>
  <conditionalFormatting sqref="DG3:DG7">
    <cfRule type="colorScale" priority="65">
      <colorScale>
        <cfvo type="num" val="0"/>
        <cfvo type="num" val="0.5"/>
        <cfvo type="num" val="1"/>
        <color rgb="FFFF0000"/>
        <color rgb="FFFFC000"/>
        <color rgb="FF92D050"/>
      </colorScale>
    </cfRule>
  </conditionalFormatting>
  <conditionalFormatting sqref="DG8">
    <cfRule type="colorScale" priority="64">
      <colorScale>
        <cfvo type="num" val="0"/>
        <cfvo type="num" val="0.5"/>
        <cfvo type="num" val="1"/>
        <color rgb="FFFF0000"/>
        <color rgb="FFFFC000"/>
        <color rgb="FF92D050"/>
      </colorScale>
    </cfRule>
  </conditionalFormatting>
  <conditionalFormatting sqref="DJ3:DJ7">
    <cfRule type="colorScale" priority="63">
      <colorScale>
        <cfvo type="num" val="0"/>
        <cfvo type="num" val="0.5"/>
        <cfvo type="num" val="1"/>
        <color rgb="FFFF0000"/>
        <color rgb="FFFFC000"/>
        <color rgb="FF92D050"/>
      </colorScale>
    </cfRule>
  </conditionalFormatting>
  <conditionalFormatting sqref="DJ8">
    <cfRule type="colorScale" priority="62">
      <colorScale>
        <cfvo type="num" val="0"/>
        <cfvo type="num" val="0.5"/>
        <cfvo type="num" val="1"/>
        <color rgb="FFFF0000"/>
        <color rgb="FFFFC000"/>
        <color rgb="FF92D050"/>
      </colorScale>
    </cfRule>
  </conditionalFormatting>
  <conditionalFormatting sqref="DM3:DM7">
    <cfRule type="colorScale" priority="61">
      <colorScale>
        <cfvo type="num" val="0"/>
        <cfvo type="num" val="0.5"/>
        <cfvo type="num" val="1"/>
        <color rgb="FFFF0000"/>
        <color rgb="FFFFC000"/>
        <color rgb="FF92D050"/>
      </colorScale>
    </cfRule>
  </conditionalFormatting>
  <conditionalFormatting sqref="DM8">
    <cfRule type="colorScale" priority="60">
      <colorScale>
        <cfvo type="num" val="0"/>
        <cfvo type="num" val="0.5"/>
        <cfvo type="num" val="1"/>
        <color rgb="FFFF0000"/>
        <color rgb="FFFFC000"/>
        <color rgb="FF92D050"/>
      </colorScale>
    </cfRule>
  </conditionalFormatting>
  <conditionalFormatting sqref="DN7">
    <cfRule type="colorScale" priority="59">
      <colorScale>
        <cfvo type="num" val="0"/>
        <cfvo type="num" val="0.5"/>
        <cfvo type="num" val="1"/>
        <color rgb="FFFF0000"/>
        <color rgb="FFFFC000"/>
        <color rgb="FF92D050"/>
      </colorScale>
    </cfRule>
  </conditionalFormatting>
  <conditionalFormatting sqref="DN3:DN7">
    <cfRule type="cellIs" dxfId="14" priority="57" operator="equal">
      <formula>0</formula>
    </cfRule>
    <cfRule type="colorScale" priority="58">
      <colorScale>
        <cfvo type="min"/>
        <cfvo type="percentile" val="50"/>
        <cfvo type="max"/>
        <color rgb="FF92D050"/>
        <color rgb="FFFFC000"/>
        <color rgb="FFFF0000"/>
      </colorScale>
    </cfRule>
  </conditionalFormatting>
  <conditionalFormatting sqref="BR3:BR7">
    <cfRule type="cellIs" dxfId="13" priority="96" operator="equal">
      <formula>0</formula>
    </cfRule>
    <cfRule type="colorScale" priority="97">
      <colorScale>
        <cfvo type="min"/>
        <cfvo type="percentile" val="50"/>
        <cfvo type="max"/>
        <color rgb="FF92D050"/>
        <color rgb="FFFFC000"/>
        <color rgb="FFFF0000"/>
      </colorScale>
    </cfRule>
  </conditionalFormatting>
  <conditionalFormatting sqref="M3:M7">
    <cfRule type="colorScale" priority="54">
      <colorScale>
        <cfvo type="min"/>
        <cfvo type="percentile" val="50"/>
        <cfvo type="max"/>
        <color rgb="FF92D050"/>
        <color rgb="FFFFC000"/>
        <color rgb="FFFF0000"/>
      </colorScale>
    </cfRule>
  </conditionalFormatting>
  <conditionalFormatting sqref="DQ3:DQ7">
    <cfRule type="colorScale" priority="53">
      <colorScale>
        <cfvo type="num" val="0"/>
        <cfvo type="num" val="0.5"/>
        <cfvo type="num" val="1"/>
        <color rgb="FFFF0000"/>
        <color rgb="FFFFC000"/>
        <color rgb="FF92D050"/>
      </colorScale>
    </cfRule>
  </conditionalFormatting>
  <conditionalFormatting sqref="DQ8">
    <cfRule type="colorScale" priority="52">
      <colorScale>
        <cfvo type="num" val="0"/>
        <cfvo type="num" val="0.5"/>
        <cfvo type="num" val="1"/>
        <color rgb="FFFF0000"/>
        <color rgb="FFFFC000"/>
        <color rgb="FF92D050"/>
      </colorScale>
    </cfRule>
  </conditionalFormatting>
  <conditionalFormatting sqref="DT3:DT7">
    <cfRule type="colorScale" priority="51">
      <colorScale>
        <cfvo type="num" val="0"/>
        <cfvo type="num" val="0.5"/>
        <cfvo type="num" val="1"/>
        <color rgb="FFFF0000"/>
        <color rgb="FFFFC000"/>
        <color rgb="FF92D050"/>
      </colorScale>
    </cfRule>
  </conditionalFormatting>
  <conditionalFormatting sqref="DT8">
    <cfRule type="colorScale" priority="50">
      <colorScale>
        <cfvo type="num" val="0"/>
        <cfvo type="num" val="0.5"/>
        <cfvo type="num" val="1"/>
        <color rgb="FFFF0000"/>
        <color rgb="FFFFC000"/>
        <color rgb="FF92D050"/>
      </colorScale>
    </cfRule>
  </conditionalFormatting>
  <conditionalFormatting sqref="DW3:DW7">
    <cfRule type="colorScale" priority="49">
      <colorScale>
        <cfvo type="num" val="0"/>
        <cfvo type="num" val="0.5"/>
        <cfvo type="num" val="1"/>
        <color rgb="FFFF0000"/>
        <color rgb="FFFFC000"/>
        <color rgb="FF92D050"/>
      </colorScale>
    </cfRule>
  </conditionalFormatting>
  <conditionalFormatting sqref="DW8">
    <cfRule type="colorScale" priority="48">
      <colorScale>
        <cfvo type="num" val="0"/>
        <cfvo type="num" val="0.5"/>
        <cfvo type="num" val="1"/>
        <color rgb="FFFF0000"/>
        <color rgb="FFFFC000"/>
        <color rgb="FF92D050"/>
      </colorScale>
    </cfRule>
  </conditionalFormatting>
  <conditionalFormatting sqref="DZ3:DZ7">
    <cfRule type="colorScale" priority="47">
      <colorScale>
        <cfvo type="num" val="0"/>
        <cfvo type="num" val="0.5"/>
        <cfvo type="num" val="1"/>
        <color rgb="FFFF0000"/>
        <color rgb="FFFFC000"/>
        <color rgb="FF92D050"/>
      </colorScale>
    </cfRule>
  </conditionalFormatting>
  <conditionalFormatting sqref="DZ8">
    <cfRule type="colorScale" priority="46">
      <colorScale>
        <cfvo type="num" val="0"/>
        <cfvo type="num" val="0.5"/>
        <cfvo type="num" val="1"/>
        <color rgb="FFFF0000"/>
        <color rgb="FFFFC000"/>
        <color rgb="FF92D050"/>
      </colorScale>
    </cfRule>
  </conditionalFormatting>
  <conditionalFormatting sqref="EC3:EC7">
    <cfRule type="colorScale" priority="45">
      <colorScale>
        <cfvo type="num" val="0"/>
        <cfvo type="num" val="0.5"/>
        <cfvo type="num" val="1"/>
        <color rgb="FFFF0000"/>
        <color rgb="FFFFC000"/>
        <color rgb="FF92D050"/>
      </colorScale>
    </cfRule>
  </conditionalFormatting>
  <conditionalFormatting sqref="EC8">
    <cfRule type="colorScale" priority="44">
      <colorScale>
        <cfvo type="num" val="0"/>
        <cfvo type="num" val="0.5"/>
        <cfvo type="num" val="1"/>
        <color rgb="FFFF0000"/>
        <color rgb="FFFFC000"/>
        <color rgb="FF92D050"/>
      </colorScale>
    </cfRule>
  </conditionalFormatting>
  <conditionalFormatting sqref="ED7">
    <cfRule type="colorScale" priority="43">
      <colorScale>
        <cfvo type="num" val="0"/>
        <cfvo type="num" val="0.5"/>
        <cfvo type="num" val="1"/>
        <color rgb="FFFF0000"/>
        <color rgb="FFFFC000"/>
        <color rgb="FF92D050"/>
      </colorScale>
    </cfRule>
  </conditionalFormatting>
  <conditionalFormatting sqref="ED3:ED7">
    <cfRule type="cellIs" dxfId="12" priority="41" operator="equal">
      <formula>0</formula>
    </cfRule>
    <cfRule type="colorScale" priority="42">
      <colorScale>
        <cfvo type="min"/>
        <cfvo type="percentile" val="50"/>
        <cfvo type="max"/>
        <color rgb="FF92D050"/>
        <color rgb="FFFFC000"/>
        <color rgb="FFFF0000"/>
      </colorScale>
    </cfRule>
  </conditionalFormatting>
  <conditionalFormatting sqref="O3:O7">
    <cfRule type="colorScale" priority="40">
      <colorScale>
        <cfvo type="min"/>
        <cfvo type="percentile" val="50"/>
        <cfvo type="max"/>
        <color rgb="FF92D050"/>
        <color rgb="FFFFC000"/>
        <color rgb="FFFF0000"/>
      </colorScale>
    </cfRule>
  </conditionalFormatting>
  <conditionalFormatting sqref="EG3:EG7">
    <cfRule type="colorScale" priority="39">
      <colorScale>
        <cfvo type="num" val="0"/>
        <cfvo type="num" val="0.5"/>
        <cfvo type="num" val="1"/>
        <color rgb="FFFF0000"/>
        <color rgb="FFFFC000"/>
        <color rgb="FF92D050"/>
      </colorScale>
    </cfRule>
  </conditionalFormatting>
  <conditionalFormatting sqref="EG8">
    <cfRule type="colorScale" priority="38">
      <colorScale>
        <cfvo type="num" val="0"/>
        <cfvo type="num" val="0.5"/>
        <cfvo type="num" val="1"/>
        <color rgb="FFFF0000"/>
        <color rgb="FFFFC000"/>
        <color rgb="FF92D050"/>
      </colorScale>
    </cfRule>
  </conditionalFormatting>
  <conditionalFormatting sqref="EJ3:EJ7">
    <cfRule type="colorScale" priority="37">
      <colorScale>
        <cfvo type="num" val="0"/>
        <cfvo type="num" val="0.5"/>
        <cfvo type="num" val="1"/>
        <color rgb="FFFF0000"/>
        <color rgb="FFFFC000"/>
        <color rgb="FF92D050"/>
      </colorScale>
    </cfRule>
  </conditionalFormatting>
  <conditionalFormatting sqref="EJ8">
    <cfRule type="colorScale" priority="36">
      <colorScale>
        <cfvo type="num" val="0"/>
        <cfvo type="num" val="0.5"/>
        <cfvo type="num" val="1"/>
        <color rgb="FFFF0000"/>
        <color rgb="FFFFC000"/>
        <color rgb="FF92D050"/>
      </colorScale>
    </cfRule>
  </conditionalFormatting>
  <conditionalFormatting sqref="EM3:EM7">
    <cfRule type="colorScale" priority="35">
      <colorScale>
        <cfvo type="num" val="0"/>
        <cfvo type="num" val="0.5"/>
        <cfvo type="num" val="1"/>
        <color rgb="FFFF0000"/>
        <color rgb="FFFFC000"/>
        <color rgb="FF92D050"/>
      </colorScale>
    </cfRule>
  </conditionalFormatting>
  <conditionalFormatting sqref="EM8">
    <cfRule type="colorScale" priority="34">
      <colorScale>
        <cfvo type="num" val="0"/>
        <cfvo type="num" val="0.5"/>
        <cfvo type="num" val="1"/>
        <color rgb="FFFF0000"/>
        <color rgb="FFFFC000"/>
        <color rgb="FF92D050"/>
      </colorScale>
    </cfRule>
  </conditionalFormatting>
  <conditionalFormatting sqref="EP3:EP7">
    <cfRule type="colorScale" priority="33">
      <colorScale>
        <cfvo type="num" val="0"/>
        <cfvo type="num" val="0.5"/>
        <cfvo type="num" val="1"/>
        <color rgb="FFFF0000"/>
        <color rgb="FFFFC000"/>
        <color rgb="FF92D050"/>
      </colorScale>
    </cfRule>
  </conditionalFormatting>
  <conditionalFormatting sqref="EP8">
    <cfRule type="colorScale" priority="32">
      <colorScale>
        <cfvo type="num" val="0"/>
        <cfvo type="num" val="0.5"/>
        <cfvo type="num" val="1"/>
        <color rgb="FFFF0000"/>
        <color rgb="FFFFC000"/>
        <color rgb="FF92D050"/>
      </colorScale>
    </cfRule>
  </conditionalFormatting>
  <conditionalFormatting sqref="ES3:ES7">
    <cfRule type="colorScale" priority="31">
      <colorScale>
        <cfvo type="num" val="0"/>
        <cfvo type="num" val="0.5"/>
        <cfvo type="num" val="1"/>
        <color rgb="FFFF0000"/>
        <color rgb="FFFFC000"/>
        <color rgb="FF92D050"/>
      </colorScale>
    </cfRule>
  </conditionalFormatting>
  <conditionalFormatting sqref="ES8">
    <cfRule type="colorScale" priority="30">
      <colorScale>
        <cfvo type="num" val="0"/>
        <cfvo type="num" val="0.5"/>
        <cfvo type="num" val="1"/>
        <color rgb="FFFF0000"/>
        <color rgb="FFFFC000"/>
        <color rgb="FF92D050"/>
      </colorScale>
    </cfRule>
  </conditionalFormatting>
  <conditionalFormatting sqref="ET7">
    <cfRule type="colorScale" priority="29">
      <colorScale>
        <cfvo type="num" val="0"/>
        <cfvo type="num" val="0.5"/>
        <cfvo type="num" val="1"/>
        <color rgb="FFFF0000"/>
        <color rgb="FFFFC000"/>
        <color rgb="FF92D050"/>
      </colorScale>
    </cfRule>
  </conditionalFormatting>
  <conditionalFormatting sqref="ET3:ET7">
    <cfRule type="cellIs" dxfId="11" priority="27" operator="equal">
      <formula>0</formula>
    </cfRule>
    <cfRule type="colorScale" priority="28">
      <colorScale>
        <cfvo type="min"/>
        <cfvo type="percentile" val="50"/>
        <cfvo type="max"/>
        <color rgb="FF92D050"/>
        <color rgb="FFFFC000"/>
        <color rgb="FFFF0000"/>
      </colorScale>
    </cfRule>
  </conditionalFormatting>
  <conditionalFormatting sqref="EW3:EW7">
    <cfRule type="colorScale" priority="26">
      <colorScale>
        <cfvo type="num" val="0"/>
        <cfvo type="num" val="0.5"/>
        <cfvo type="num" val="1"/>
        <color rgb="FFFF0000"/>
        <color rgb="FFFFC000"/>
        <color rgb="FF92D050"/>
      </colorScale>
    </cfRule>
  </conditionalFormatting>
  <conditionalFormatting sqref="EW8">
    <cfRule type="colorScale" priority="25">
      <colorScale>
        <cfvo type="num" val="0"/>
        <cfvo type="num" val="0.5"/>
        <cfvo type="num" val="1"/>
        <color rgb="FFFF0000"/>
        <color rgb="FFFFC000"/>
        <color rgb="FF92D050"/>
      </colorScale>
    </cfRule>
  </conditionalFormatting>
  <conditionalFormatting sqref="EZ3:EZ7">
    <cfRule type="colorScale" priority="24">
      <colorScale>
        <cfvo type="num" val="0"/>
        <cfvo type="num" val="0.5"/>
        <cfvo type="num" val="1"/>
        <color rgb="FFFF0000"/>
        <color rgb="FFFFC000"/>
        <color rgb="FF92D050"/>
      </colorScale>
    </cfRule>
  </conditionalFormatting>
  <conditionalFormatting sqref="EZ8">
    <cfRule type="colorScale" priority="23">
      <colorScale>
        <cfvo type="num" val="0"/>
        <cfvo type="num" val="0.5"/>
        <cfvo type="num" val="1"/>
        <color rgb="FFFF0000"/>
        <color rgb="FFFFC000"/>
        <color rgb="FF92D050"/>
      </colorScale>
    </cfRule>
  </conditionalFormatting>
  <conditionalFormatting sqref="FC3:FC7">
    <cfRule type="colorScale" priority="22">
      <colorScale>
        <cfvo type="num" val="0"/>
        <cfvo type="num" val="0.5"/>
        <cfvo type="num" val="1"/>
        <color rgb="FFFF0000"/>
        <color rgb="FFFFC000"/>
        <color rgb="FF92D050"/>
      </colorScale>
    </cfRule>
  </conditionalFormatting>
  <conditionalFormatting sqref="FC8">
    <cfRule type="colorScale" priority="21">
      <colorScale>
        <cfvo type="num" val="0"/>
        <cfvo type="num" val="0.5"/>
        <cfvo type="num" val="1"/>
        <color rgb="FFFF0000"/>
        <color rgb="FFFFC000"/>
        <color rgb="FF92D050"/>
      </colorScale>
    </cfRule>
  </conditionalFormatting>
  <conditionalFormatting sqref="FF3:FF7">
    <cfRule type="colorScale" priority="20">
      <colorScale>
        <cfvo type="num" val="0"/>
        <cfvo type="num" val="0.5"/>
        <cfvo type="num" val="1"/>
        <color rgb="FFFF0000"/>
        <color rgb="FFFFC000"/>
        <color rgb="FF92D050"/>
      </colorScale>
    </cfRule>
  </conditionalFormatting>
  <conditionalFormatting sqref="FF8">
    <cfRule type="colorScale" priority="19">
      <colorScale>
        <cfvo type="num" val="0"/>
        <cfvo type="num" val="0.5"/>
        <cfvo type="num" val="1"/>
        <color rgb="FFFF0000"/>
        <color rgb="FFFFC000"/>
        <color rgb="FF92D050"/>
      </colorScale>
    </cfRule>
  </conditionalFormatting>
  <conditionalFormatting sqref="FI3:FI7">
    <cfRule type="colorScale" priority="18">
      <colorScale>
        <cfvo type="num" val="0"/>
        <cfvo type="num" val="0.5"/>
        <cfvo type="num" val="1"/>
        <color rgb="FFFF0000"/>
        <color rgb="FFFFC000"/>
        <color rgb="FF92D050"/>
      </colorScale>
    </cfRule>
  </conditionalFormatting>
  <conditionalFormatting sqref="FI8">
    <cfRule type="colorScale" priority="17">
      <colorScale>
        <cfvo type="num" val="0"/>
        <cfvo type="num" val="0.5"/>
        <cfvo type="num" val="1"/>
        <color rgb="FFFF0000"/>
        <color rgb="FFFFC000"/>
        <color rgb="FF92D050"/>
      </colorScale>
    </cfRule>
  </conditionalFormatting>
  <conditionalFormatting sqref="FJ7">
    <cfRule type="colorScale" priority="16">
      <colorScale>
        <cfvo type="num" val="0"/>
        <cfvo type="num" val="0.5"/>
        <cfvo type="num" val="1"/>
        <color rgb="FFFF0000"/>
        <color rgb="FFFFC000"/>
        <color rgb="FF92D050"/>
      </colorScale>
    </cfRule>
  </conditionalFormatting>
  <conditionalFormatting sqref="FJ3:FJ7">
    <cfRule type="cellIs" dxfId="10" priority="14" operator="equal">
      <formula>0</formula>
    </cfRule>
    <cfRule type="colorScale" priority="15">
      <colorScale>
        <cfvo type="min"/>
        <cfvo type="percentile" val="50"/>
        <cfvo type="max"/>
        <color rgb="FF92D050"/>
        <color rgb="FFFFC000"/>
        <color rgb="FFFF0000"/>
      </colorScale>
    </cfRule>
  </conditionalFormatting>
  <conditionalFormatting sqref="FM3:FM7">
    <cfRule type="colorScale" priority="13">
      <colorScale>
        <cfvo type="num" val="0"/>
        <cfvo type="num" val="0.5"/>
        <cfvo type="num" val="1"/>
        <color rgb="FFFF0000"/>
        <color rgb="FFFFC000"/>
        <color rgb="FF92D050"/>
      </colorScale>
    </cfRule>
  </conditionalFormatting>
  <conditionalFormatting sqref="FM8">
    <cfRule type="colorScale" priority="12">
      <colorScale>
        <cfvo type="num" val="0"/>
        <cfvo type="num" val="0.5"/>
        <cfvo type="num" val="1"/>
        <color rgb="FFFF0000"/>
        <color rgb="FFFFC000"/>
        <color rgb="FF92D050"/>
      </colorScale>
    </cfRule>
  </conditionalFormatting>
  <conditionalFormatting sqref="FP3:FP7">
    <cfRule type="colorScale" priority="11">
      <colorScale>
        <cfvo type="num" val="0"/>
        <cfvo type="num" val="0.5"/>
        <cfvo type="num" val="1"/>
        <color rgb="FFFF0000"/>
        <color rgb="FFFFC000"/>
        <color rgb="FF92D050"/>
      </colorScale>
    </cfRule>
  </conditionalFormatting>
  <conditionalFormatting sqref="FP8">
    <cfRule type="colorScale" priority="10">
      <colorScale>
        <cfvo type="num" val="0"/>
        <cfvo type="num" val="0.5"/>
        <cfvo type="num" val="1"/>
        <color rgb="FFFF0000"/>
        <color rgb="FFFFC000"/>
        <color rgb="FF92D050"/>
      </colorScale>
    </cfRule>
  </conditionalFormatting>
  <conditionalFormatting sqref="FS3:FS7">
    <cfRule type="colorScale" priority="9">
      <colorScale>
        <cfvo type="num" val="0"/>
        <cfvo type="num" val="0.5"/>
        <cfvo type="num" val="1"/>
        <color rgb="FFFF0000"/>
        <color rgb="FFFFC000"/>
        <color rgb="FF92D050"/>
      </colorScale>
    </cfRule>
  </conditionalFormatting>
  <conditionalFormatting sqref="FS8">
    <cfRule type="colorScale" priority="8">
      <colorScale>
        <cfvo type="num" val="0"/>
        <cfvo type="num" val="0.5"/>
        <cfvo type="num" val="1"/>
        <color rgb="FFFF0000"/>
        <color rgb="FFFFC000"/>
        <color rgb="FF92D050"/>
      </colorScale>
    </cfRule>
  </conditionalFormatting>
  <conditionalFormatting sqref="FV3:FV7">
    <cfRule type="colorScale" priority="7">
      <colorScale>
        <cfvo type="num" val="0"/>
        <cfvo type="num" val="0.5"/>
        <cfvo type="num" val="1"/>
        <color rgb="FFFF0000"/>
        <color rgb="FFFFC000"/>
        <color rgb="FF92D050"/>
      </colorScale>
    </cfRule>
  </conditionalFormatting>
  <conditionalFormatting sqref="FV8">
    <cfRule type="colorScale" priority="6">
      <colorScale>
        <cfvo type="num" val="0"/>
        <cfvo type="num" val="0.5"/>
        <cfvo type="num" val="1"/>
        <color rgb="FFFF0000"/>
        <color rgb="FFFFC000"/>
        <color rgb="FF92D050"/>
      </colorScale>
    </cfRule>
  </conditionalFormatting>
  <conditionalFormatting sqref="FY3:FY7">
    <cfRule type="colorScale" priority="5">
      <colorScale>
        <cfvo type="num" val="0"/>
        <cfvo type="num" val="0.5"/>
        <cfvo type="num" val="1"/>
        <color rgb="FFFF0000"/>
        <color rgb="FFFFC000"/>
        <color rgb="FF92D050"/>
      </colorScale>
    </cfRule>
  </conditionalFormatting>
  <conditionalFormatting sqref="FY8">
    <cfRule type="colorScale" priority="4">
      <colorScale>
        <cfvo type="num" val="0"/>
        <cfvo type="num" val="0.5"/>
        <cfvo type="num" val="1"/>
        <color rgb="FFFF0000"/>
        <color rgb="FFFFC000"/>
        <color rgb="FF92D050"/>
      </colorScale>
    </cfRule>
  </conditionalFormatting>
  <conditionalFormatting sqref="FZ7">
    <cfRule type="colorScale" priority="3">
      <colorScale>
        <cfvo type="num" val="0"/>
        <cfvo type="num" val="0.5"/>
        <cfvo type="num" val="1"/>
        <color rgb="FFFF0000"/>
        <color rgb="FFFFC000"/>
        <color rgb="FF92D050"/>
      </colorScale>
    </cfRule>
  </conditionalFormatting>
  <conditionalFormatting sqref="FZ3:FZ7">
    <cfRule type="cellIs" dxfId="9" priority="1" operator="equal">
      <formula>0</formula>
    </cfRule>
    <cfRule type="colorScale" priority="2">
      <colorScale>
        <cfvo type="min"/>
        <cfvo type="percentile" val="50"/>
        <cfvo type="max"/>
        <color rgb="FF92D050"/>
        <color rgb="FFFFC000"/>
        <color rgb="FFFF0000"/>
      </colorScale>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tabColor rgb="FFC00000"/>
  </sheetPr>
  <dimension ref="A1:BG20"/>
  <sheetViews>
    <sheetView workbookViewId="0">
      <pane xSplit="2" ySplit="1" topLeftCell="R2" activePane="bottomRight" state="frozen"/>
      <selection pane="topRight" activeCell="C1" sqref="C1"/>
      <selection pane="bottomLeft" activeCell="A2" sqref="A2"/>
      <selection pane="bottomRight" activeCell="BI11" sqref="BI11"/>
    </sheetView>
  </sheetViews>
  <sheetFormatPr defaultRowHeight="14.5" outlineLevelCol="1" x14ac:dyDescent="0.35"/>
  <cols>
    <col min="1" max="1" width="28.81640625" customWidth="1"/>
    <col min="2" max="2" width="10.54296875" customWidth="1"/>
    <col min="3" max="7" width="9.81640625" style="5" hidden="1" customWidth="1" outlineLevel="1"/>
    <col min="8" max="8" width="9.81640625" style="5" customWidth="1" collapsed="1"/>
    <col min="9" max="13" width="9.81640625" style="5" hidden="1" customWidth="1" outlineLevel="1"/>
    <col min="14" max="14" width="9.81640625" style="5" customWidth="1" collapsed="1"/>
    <col min="15" max="17" width="10.1796875" style="5" hidden="1" customWidth="1" outlineLevel="1"/>
    <col min="18" max="18" width="10.1796875" style="5" customWidth="1" collapsed="1"/>
    <col min="19" max="22" width="10.7265625" hidden="1" customWidth="1" outlineLevel="1"/>
    <col min="23" max="23" width="9.81640625" style="5" customWidth="1" collapsed="1"/>
    <col min="24" max="28" width="10.7265625" hidden="1" customWidth="1" outlineLevel="1"/>
    <col min="29" max="29" width="9.81640625" customWidth="1" collapsed="1"/>
    <col min="30" max="34" width="9.90625" hidden="1" customWidth="1" outlineLevel="1"/>
    <col min="35" max="35" width="9.453125" customWidth="1" collapsed="1"/>
    <col min="36" max="40" width="9.90625" hidden="1" customWidth="1" outlineLevel="1"/>
    <col min="41" max="41" width="8.7265625" collapsed="1"/>
    <col min="42" max="46" width="9.90625" hidden="1" customWidth="1" outlineLevel="1"/>
    <col min="47" max="47" width="8.7265625" collapsed="1"/>
    <col min="48" max="52" width="9.90625" hidden="1" customWidth="1" outlineLevel="1"/>
    <col min="53" max="53" width="8.7265625" collapsed="1"/>
    <col min="54" max="58" width="9.90625" hidden="1" customWidth="1" outlineLevel="1"/>
    <col min="59" max="59" width="8.7265625" collapsed="1"/>
  </cols>
  <sheetData>
    <row r="1" spans="1:59" ht="15.5" thickTop="1" thickBot="1" x14ac:dyDescent="0.4">
      <c r="A1" s="753"/>
      <c r="B1" s="754"/>
      <c r="C1" s="435">
        <v>43913</v>
      </c>
      <c r="D1" s="435">
        <v>43914</v>
      </c>
      <c r="E1" s="435">
        <v>43915</v>
      </c>
      <c r="F1" s="435">
        <v>43916</v>
      </c>
      <c r="G1" s="444">
        <v>43917</v>
      </c>
      <c r="H1" s="451" t="s">
        <v>5614</v>
      </c>
      <c r="I1" s="448">
        <v>43927</v>
      </c>
      <c r="J1" s="435">
        <v>43928</v>
      </c>
      <c r="K1" s="435">
        <v>43929</v>
      </c>
      <c r="L1" s="435">
        <v>43930</v>
      </c>
      <c r="M1" s="444">
        <v>43931</v>
      </c>
      <c r="N1" s="451" t="s">
        <v>5615</v>
      </c>
      <c r="O1" s="448">
        <v>43957</v>
      </c>
      <c r="P1" s="435">
        <v>43958</v>
      </c>
      <c r="Q1" s="435">
        <v>43959</v>
      </c>
      <c r="R1" s="451" t="s">
        <v>7142</v>
      </c>
      <c r="S1" s="435">
        <v>43963</v>
      </c>
      <c r="T1" s="444">
        <v>43964</v>
      </c>
      <c r="U1" s="444">
        <v>43965</v>
      </c>
      <c r="V1" s="444">
        <v>43966</v>
      </c>
      <c r="W1" s="451" t="s">
        <v>7143</v>
      </c>
      <c r="X1" s="435">
        <v>43969</v>
      </c>
      <c r="Y1" s="435">
        <v>43970</v>
      </c>
      <c r="Z1" s="435">
        <v>43971</v>
      </c>
      <c r="AA1" s="435">
        <v>43972</v>
      </c>
      <c r="AB1" s="435">
        <v>43973</v>
      </c>
      <c r="AC1" s="451" t="s">
        <v>7144</v>
      </c>
      <c r="AD1" s="435">
        <v>43976</v>
      </c>
      <c r="AE1" s="435">
        <v>43977</v>
      </c>
      <c r="AF1" s="435">
        <v>43978</v>
      </c>
      <c r="AG1" s="435">
        <v>43979</v>
      </c>
      <c r="AH1" s="435">
        <v>43980</v>
      </c>
      <c r="AI1" s="451" t="s">
        <v>7145</v>
      </c>
      <c r="AJ1" s="435">
        <v>43983</v>
      </c>
      <c r="AK1" s="435">
        <v>43984</v>
      </c>
      <c r="AL1" s="435">
        <v>43985</v>
      </c>
      <c r="AM1" s="435">
        <v>43986</v>
      </c>
      <c r="AN1" s="435">
        <v>43987</v>
      </c>
      <c r="AO1" s="451" t="s">
        <v>7261</v>
      </c>
      <c r="AP1" s="435">
        <v>43990</v>
      </c>
      <c r="AQ1" s="435">
        <v>43991</v>
      </c>
      <c r="AR1" s="435">
        <v>43992</v>
      </c>
      <c r="AS1" s="435">
        <v>43993</v>
      </c>
      <c r="AT1" s="435">
        <v>43994</v>
      </c>
      <c r="AU1" s="451" t="s">
        <v>7262</v>
      </c>
      <c r="AV1" s="435">
        <v>43997</v>
      </c>
      <c r="AW1" s="435">
        <v>43998</v>
      </c>
      <c r="AX1" s="435">
        <v>43999</v>
      </c>
      <c r="AY1" s="435">
        <v>44000</v>
      </c>
      <c r="AZ1" s="435">
        <v>44001</v>
      </c>
      <c r="BA1" s="451" t="s">
        <v>7263</v>
      </c>
      <c r="BB1" s="435">
        <v>44004</v>
      </c>
      <c r="BC1" s="435">
        <v>44005</v>
      </c>
      <c r="BD1" s="435">
        <v>44006</v>
      </c>
      <c r="BE1" s="435">
        <v>44007</v>
      </c>
      <c r="BF1" s="435">
        <v>44008</v>
      </c>
      <c r="BG1" s="451" t="s">
        <v>8406</v>
      </c>
    </row>
    <row r="2" spans="1:59" s="437" customFormat="1" ht="15" thickTop="1" x14ac:dyDescent="0.35">
      <c r="A2" s="866" t="s">
        <v>2056</v>
      </c>
      <c r="B2" s="434">
        <f>SUM(H2,N2,R2,W2,AC2,AI2,AO2,AU2,BA2)</f>
        <v>187</v>
      </c>
      <c r="C2" s="412">
        <f>COUNTIFS(STATUS!$Q:$Q,$A2,STATUS!$D:$D,C$1,STATUS!$K:$K,"РЕШ УВ DONE")</f>
        <v>4</v>
      </c>
      <c r="D2" s="412">
        <f>COUNTIFS(STATUS!$Q:$Q,$A2,STATUS!$D:$D,D$1,STATUS!$K:$K,"РЕШ УВ DONE")</f>
        <v>3</v>
      </c>
      <c r="E2" s="412">
        <f>COUNTIFS(STATUS!$Q:$Q,$A2,STATUS!$D:$D,E$1,STATUS!$K:$K,"РЕШ УВ DONE")</f>
        <v>5</v>
      </c>
      <c r="F2" s="412">
        <f>COUNTIFS(STATUS!$Q:$Q,$A2,STATUS!$D:$D,F$1,STATUS!$K:$K,"РЕШ УВ DONE")</f>
        <v>5</v>
      </c>
      <c r="G2" s="445">
        <f>COUNTIFS(STATUS!$Q:$Q,$A2,STATUS!$D:$D,G$1,STATUS!$K:$K,"РЕШ УВ DONE")</f>
        <v>5</v>
      </c>
      <c r="H2" s="581">
        <f>SUM(C2:G2)</f>
        <v>22</v>
      </c>
      <c r="I2" s="449">
        <f>COUNTIFS(STATUS!$Q:$Q,$A2,STATUS!$D:$D,I$1,STATUS!$K:$K,"РЕШ УВ DONE")</f>
        <v>4</v>
      </c>
      <c r="J2" s="412">
        <f>COUNTIFS(STATUS!$Q:$Q,$A2,STATUS!$D:$D,J$1,STATUS!$K:$K,"РЕШ УВ DONE")</f>
        <v>2</v>
      </c>
      <c r="K2" s="412">
        <f>COUNTIFS(STATUS!$Q:$Q,$A2,STATUS!$D:$D,K$1,STATUS!$K:$K,"РЕШ УВ DONE")</f>
        <v>6</v>
      </c>
      <c r="L2" s="412">
        <f>COUNTIFS(STATUS!$Q:$Q,$A2,STATUS!$D:$D,L$1,STATUS!$K:$K,"РЕШ УВ DONE")</f>
        <v>1</v>
      </c>
      <c r="M2" s="445">
        <f>COUNTIFS(STATUS!$Q:$Q,$A2,STATUS!$D:$D,M$1,STATUS!$K:$K,"РЕШ УВ DONE")</f>
        <v>0</v>
      </c>
      <c r="N2" s="581">
        <f>SUM(I2:M2)</f>
        <v>13</v>
      </c>
      <c r="O2" s="449">
        <f>COUNTIFS(STATUS!$Q:$Q,$A2,STATUS!$D:$D,O$1,STATUS!$K:$K,"РЕШ УВ DONE")</f>
        <v>2</v>
      </c>
      <c r="P2" s="412">
        <f>COUNTIFS(STATUS!$Q:$Q,$A2,STATUS!$D:$D,P$1,STATUS!$K:$K,"РЕШ УВ DONE")</f>
        <v>0</v>
      </c>
      <c r="Q2" s="412">
        <f>COUNTIFS(STATUS!$Q:$Q,$A2,STATUS!$D:$D,Q$1,STATUS!$K:$K,"РЕШ УВ DONE")</f>
        <v>0</v>
      </c>
      <c r="R2" s="581">
        <f>SUM(O2:Q2)</f>
        <v>2</v>
      </c>
      <c r="S2" s="412">
        <f>COUNTIFS(STATUS!$Q:$Q,$A2,STATUS!$D:$D,S$1,STATUS!$K:$K,"РЕШ УВ DONE")</f>
        <v>3</v>
      </c>
      <c r="T2" s="412">
        <f>COUNTIFS(STATUS!$Q:$Q,$A2,STATUS!$D:$D,T$1,STATUS!$K:$K,"РЕШ УВ DONE")</f>
        <v>6</v>
      </c>
      <c r="U2" s="412">
        <f>COUNTIFS(STATUS!$Q:$Q,$A2,STATUS!$D:$D,U$1,STATUS!$K:$K,"РЕШ УВ DONE")</f>
        <v>3</v>
      </c>
      <c r="V2" s="445">
        <f>COUNTIFS(STATUS!$Q:$Q,$A2,STATUS!$D:$D,V$1,STATUS!$K:$K,"РЕШ УВ DONE")</f>
        <v>3</v>
      </c>
      <c r="W2" s="581">
        <f>SUM(S2:V2)</f>
        <v>15</v>
      </c>
      <c r="X2" s="412">
        <f>COUNTIFS(STATUS!$Q:$Q,$A2,STATUS!$D:$D,X$1,STATUS!$K:$K,"РЕШ УВ DONE")</f>
        <v>5</v>
      </c>
      <c r="Y2" s="412">
        <f>COUNTIFS(STATUS!$Q:$Q,$A2,STATUS!$D:$D,Y$1,STATUS!$K:$K,"РЕШ УВ DONE")</f>
        <v>5</v>
      </c>
      <c r="Z2" s="412">
        <f>COUNTIFS(STATUS!$Q:$Q,$A2,STATUS!$D:$D,Z$1,STATUS!$K:$K,"РЕШ УВ DONE")</f>
        <v>5</v>
      </c>
      <c r="AA2" s="445">
        <f>COUNTIFS(STATUS!$Q:$Q,$A2,STATUS!$D:$D,AA$1,STATUS!$K:$K,"РЕШ УВ DONE")</f>
        <v>5</v>
      </c>
      <c r="AB2" s="445">
        <f>COUNTIFS(STATUS!$Q:$Q,$A2,STATUS!$D:$D,AB$1,STATUS!$K:$K,"РЕШ УВ DONE")</f>
        <v>4</v>
      </c>
      <c r="AC2" s="581">
        <f>SUM(X2:AB2)</f>
        <v>24</v>
      </c>
      <c r="AD2" s="412">
        <f>COUNTIFS(STATUS!$Q:$Q,$A2,STATUS!$D:$D,AD$1,STATUS!$K:$K,"РЕШ УВ DONE")</f>
        <v>3</v>
      </c>
      <c r="AE2" s="412">
        <f>COUNTIFS(STATUS!$Q:$Q,$A2,STATUS!$D:$D,AE$1,STATUS!$K:$K,"РЕШ УВ DONE")</f>
        <v>3</v>
      </c>
      <c r="AF2" s="412">
        <f>COUNTIFS(STATUS!$Q:$Q,$A2,STATUS!$D:$D,AF$1,STATUS!$K:$K,"РЕШ УВ DONE")</f>
        <v>11</v>
      </c>
      <c r="AG2" s="445">
        <f>COUNTIFS(STATUS!$Q:$Q,$A2,STATUS!$D:$D,AG$1,STATUS!$K:$K,"РЕШ УВ DONE")</f>
        <v>0</v>
      </c>
      <c r="AH2" s="445">
        <f>COUNTIFS(STATUS!$Q:$Q,$A2,STATUS!$D:$D,AH$1,STATUS!$K:$K,"РЕШ УВ DONE")</f>
        <v>0</v>
      </c>
      <c r="AI2" s="581">
        <f>SUM(AD2:AH2)</f>
        <v>17</v>
      </c>
      <c r="AJ2" s="412">
        <f>COUNTIFS(STATUS!$Q:$Q,$A2,STATUS!$D:$D,AJ$1,STATUS!$K:$K,"РЕШ УВ DONE")</f>
        <v>17</v>
      </c>
      <c r="AK2" s="412">
        <f>COUNTIFS(STATUS!$Q:$Q,$A2,STATUS!$D:$D,AK$1,STATUS!$K:$K,"РЕШ УВ DONE")</f>
        <v>2</v>
      </c>
      <c r="AL2" s="412">
        <f>COUNTIFS(STATUS!$Q:$Q,$A2,STATUS!$D:$D,AL$1,STATUS!$K:$K,"РЕШ УВ DONE")</f>
        <v>1</v>
      </c>
      <c r="AM2" s="445">
        <f>COUNTIFS(STATUS!$Q:$Q,$A2,STATUS!$D:$D,AM$1,STATUS!$K:$K,"РЕШ УВ DONE")</f>
        <v>3</v>
      </c>
      <c r="AN2" s="445">
        <f>COUNTIFS(STATUS!$Q:$Q,$A2,STATUS!$D:$D,AN$1,STATUS!$K:$K,"РЕШ УВ DONE")</f>
        <v>3</v>
      </c>
      <c r="AO2" s="581">
        <f>SUM(AJ2:AN2)</f>
        <v>26</v>
      </c>
      <c r="AP2" s="412">
        <f>COUNTIFS(STATUS!$Q:$Q,$A2,STATUS!$D:$D,AP$1,STATUS!$K:$K,"РЕШ УВ DONE")</f>
        <v>3</v>
      </c>
      <c r="AQ2" s="412">
        <f>COUNTIFS(STATUS!$Q:$Q,$A2,STATUS!$D:$D,AQ$1,STATUS!$K:$K,"РЕШ УВ DONE")</f>
        <v>5</v>
      </c>
      <c r="AR2" s="412">
        <f>COUNTIFS(STATUS!$Q:$Q,$A2,STATUS!$D:$D,AR$1,STATUS!$K:$K,"РЕШ УВ DONE")</f>
        <v>3</v>
      </c>
      <c r="AS2" s="445">
        <f>COUNTIFS(STATUS!$Q:$Q,$A2,STATUS!$D:$D,AS$1,STATUS!$K:$K,"РЕШ УВ DONE")</f>
        <v>4</v>
      </c>
      <c r="AT2" s="445">
        <f>COUNTIFS(STATUS!$Q:$Q,$A2,STATUS!$D:$D,AT$1,STATUS!$K:$K,"РЕШ УВ DONE")</f>
        <v>0</v>
      </c>
      <c r="AU2" s="581">
        <f>SUM(AP2:AT2)</f>
        <v>15</v>
      </c>
      <c r="AV2" s="412">
        <f>COUNTIFS(STATUS!$Q:$Q,$A2,STATUS!$D:$D,AV$1,STATUS!$K:$K,"РЕШ УВ DONE")</f>
        <v>2</v>
      </c>
      <c r="AW2" s="412">
        <f>COUNTIFS(STATUS!$Q:$Q,$A2,STATUS!$D:$D,AW$1,STATUS!$K:$K,"РЕШ УВ DONE")</f>
        <v>42</v>
      </c>
      <c r="AX2" s="412">
        <f>COUNTIFS(STATUS!$Q:$Q,$A2,STATUS!$D:$D,AX$1,STATUS!$K:$K,"РЕШ УВ DONE")</f>
        <v>3</v>
      </c>
      <c r="AY2" s="445">
        <f>COUNTIFS(STATUS!$Q:$Q,$A2,STATUS!$D:$D,AY$1,STATUS!$K:$K,"РЕШ УВ DONE")</f>
        <v>2</v>
      </c>
      <c r="AZ2" s="445">
        <f>COUNTIFS(STATUS!$Q:$Q,$A2,STATUS!$D:$D,AZ$1,STATUS!$K:$K,"РЕШ УВ DONE")</f>
        <v>4</v>
      </c>
      <c r="BA2" s="581">
        <f>SUM(AV2:AZ2)</f>
        <v>53</v>
      </c>
      <c r="BB2" s="412">
        <f>COUNTIFS(STATUS!$Q:$Q,$A2,STATUS!$D:$D,BB$1,STATUS!$K:$K,"РЕШ УВ DONE")</f>
        <v>0</v>
      </c>
      <c r="BC2" s="412">
        <f>COUNTIFS(STATUS!$Q:$Q,$A2,STATUS!$D:$D,BC$1,STATUS!$K:$K,"РЕШ УВ DONE")</f>
        <v>0</v>
      </c>
      <c r="BD2" s="412">
        <f>COUNTIFS(STATUS!$Q:$Q,$A2,STATUS!$D:$D,BD$1,STATUS!$K:$K,"РЕШ УВ DONE")</f>
        <v>0</v>
      </c>
      <c r="BE2" s="445">
        <f>COUNTIFS(STATUS!$Q:$Q,$A2,STATUS!$D:$D,BE$1,STATUS!$K:$K,"РЕШ УВ DONE")</f>
        <v>0</v>
      </c>
      <c r="BF2" s="445">
        <f>COUNTIFS(STATUS!$Q:$Q,$A2,STATUS!$D:$D,BF$1,STATUS!$K:$K,"РЕШ УВ DONE")</f>
        <v>0</v>
      </c>
      <c r="BG2" s="581">
        <f>SUM(BB2:BF2)</f>
        <v>0</v>
      </c>
    </row>
    <row r="3" spans="1:59" s="437" customFormat="1" x14ac:dyDescent="0.35">
      <c r="A3" s="867"/>
      <c r="B3" s="434">
        <f>SUM(H3,N3,R3,W3,AC3,AI3,AO3,AU3,BA3)</f>
        <v>36</v>
      </c>
      <c r="C3" s="309">
        <f>COUNTIFS(STATUS!$Q:$Q,$A2,STATUS!$D:$D,C$1,STATUS!$U:$U,"ВОЗВРАТ")</f>
        <v>0</v>
      </c>
      <c r="D3" s="309">
        <f>COUNTIFS(STATUS!$Q:$Q,$A2,STATUS!$D:$D,D$1,STATUS!$U:$U,"ВОЗВРАТ")</f>
        <v>1</v>
      </c>
      <c r="E3" s="309">
        <f>COUNTIFS(STATUS!$Q:$Q,$A2,STATUS!$D:$D,E$1,STATUS!$U:$U,"ВОЗВРАТ")</f>
        <v>1</v>
      </c>
      <c r="F3" s="309">
        <f>COUNTIFS(STATUS!$Q:$Q,$A2,STATUS!$D:$D,F$1,STATUS!$U:$U,"ВОЗВРАТ")</f>
        <v>2</v>
      </c>
      <c r="G3" s="446">
        <f>COUNTIFS(STATUS!$Q:$Q,$A2,STATUS!$D:$D,G$1,STATUS!$U:$U,"ВОЗВРАТ")</f>
        <v>1</v>
      </c>
      <c r="H3" s="582">
        <f>SUM(C3:G3)</f>
        <v>5</v>
      </c>
      <c r="I3" s="407">
        <f>COUNTIFS(STATUS!$Q:$Q,$A2,STATUS!$D:$D,I$1,STATUS!$U:$U,"ВОЗВРАТ")</f>
        <v>1</v>
      </c>
      <c r="J3" s="309">
        <f>COUNTIFS(STATUS!$Q:$Q,$A2,STATUS!$D:$D,J$1,STATUS!$U:$U,"ВОЗВРАТ")</f>
        <v>0</v>
      </c>
      <c r="K3" s="309">
        <f>COUNTIFS(STATUS!$Q:$Q,$A2,STATUS!$D:$D,K$1,STATUS!$U:$U,"ВОЗВРАТ")</f>
        <v>1</v>
      </c>
      <c r="L3" s="309">
        <f>COUNTIFS(STATUS!$Q:$Q,$A2,STATUS!$D:$D,L$1,STATUS!$U:$U,"ВОЗВРАТ")</f>
        <v>0</v>
      </c>
      <c r="M3" s="446">
        <f>COUNTIFS(STATUS!$Q:$Q,$A2,STATUS!$D:$D,M$1,STATUS!$U:$U,"ВОЗВРАТ")</f>
        <v>0</v>
      </c>
      <c r="N3" s="582">
        <f>SUM(I3:M3)</f>
        <v>2</v>
      </c>
      <c r="O3" s="407">
        <f>COUNTIFS(STATUS!$Q:$Q,$A2,STATUS!$D:$D,O$1,STATUS!$U:$U,"ВОЗВРАТ")</f>
        <v>1</v>
      </c>
      <c r="P3" s="309">
        <f>COUNTIFS(STATUS!$Q:$Q,$A2,STATUS!$D:$D,P$1,STATUS!$U:$U,"ВОЗВРАТ")</f>
        <v>0</v>
      </c>
      <c r="Q3" s="309">
        <f>COUNTIFS(STATUS!$Q:$Q,$A2,STATUS!$D:$D,Q$1,STATUS!$U:$U,"ВОЗВРАТ")</f>
        <v>0</v>
      </c>
      <c r="R3" s="582">
        <f>SUM(O3:Q3)</f>
        <v>1</v>
      </c>
      <c r="S3" s="309">
        <f>COUNTIFS(STATUS!$Q:$Q,$A2,STATUS!$D:$D,S$1,STATUS!$U:$U,"ВОЗВРАТ")</f>
        <v>1</v>
      </c>
      <c r="T3" s="309">
        <f>COUNTIFS(STATUS!$Q:$Q,$A2,STATUS!$D:$D,T$1,STATUS!$U:$U,"ВОЗВРАТ")</f>
        <v>3</v>
      </c>
      <c r="U3" s="309">
        <f>COUNTIFS(STATUS!$Q:$Q,$A2,STATUS!$D:$D,U$1,STATUS!$U:$U,"ВОЗВРАТ")</f>
        <v>0</v>
      </c>
      <c r="V3" s="446">
        <f>COUNTIFS(STATUS!$Q:$Q,$A2,STATUS!$D:$D,V$1,STATUS!$U:$U,"ВОЗВРАТ")</f>
        <v>1</v>
      </c>
      <c r="W3" s="582">
        <f>SUM(S3:V3)</f>
        <v>5</v>
      </c>
      <c r="X3" s="309">
        <f>COUNTIFS(STATUS!$Q:$Q,$A2,STATUS!$D:$D,X$1,STATUS!$U:$U,"ВОЗВРАТ")</f>
        <v>2</v>
      </c>
      <c r="Y3" s="309">
        <f>COUNTIFS(STATUS!$Q:$Q,$A2,STATUS!$D:$D,Y$1,STATUS!$U:$U,"ВОЗВРАТ")</f>
        <v>1</v>
      </c>
      <c r="Z3" s="309">
        <f>COUNTIFS(STATUS!$Q:$Q,$A2,STATUS!$D:$D,Z$1,STATUS!$U:$U,"ВОЗВРАТ")</f>
        <v>1</v>
      </c>
      <c r="AA3" s="446">
        <f>COUNTIFS(STATUS!$Q:$Q,$A2,STATUS!$D:$D,AA$1,STATUS!$U:$U,"ВОЗВРАТ")</f>
        <v>0</v>
      </c>
      <c r="AB3" s="446">
        <f>COUNTIFS(STATUS!$Q:$Q,$A2,STATUS!$D:$D,AB$1,STATUS!$U:$U,"ВОЗВРАТ")</f>
        <v>0</v>
      </c>
      <c r="AC3" s="582">
        <f>SUM(X3:AB3)</f>
        <v>4</v>
      </c>
      <c r="AD3" s="309">
        <f>COUNTIFS(STATUS!$Q:$Q,$A2,STATUS!$D:$D,AD$1,STATUS!$U:$U,"ВОЗВРАТ")</f>
        <v>1</v>
      </c>
      <c r="AE3" s="309">
        <f>COUNTIFS(STATUS!$Q:$Q,$A2,STATUS!$D:$D,AE$1,STATUS!$U:$U,"ВОЗВРАТ")</f>
        <v>1</v>
      </c>
      <c r="AF3" s="309">
        <f>COUNTIFS(STATUS!$Q:$Q,$A2,STATUS!$D:$D,AF$1,STATUS!$U:$U,"ВОЗВРАТ")</f>
        <v>1</v>
      </c>
      <c r="AG3" s="446">
        <f>COUNTIFS(STATUS!$Q:$Q,$A2,STATUS!$D:$D,AG$1,STATUS!$U:$U,"ВОЗВРАТ")</f>
        <v>0</v>
      </c>
      <c r="AH3" s="446">
        <f>COUNTIFS(STATUS!$Q:$Q,$A2,STATUS!$D:$D,AH$1,STATUS!$U:$U,"ВОЗВРАТ")</f>
        <v>0</v>
      </c>
      <c r="AI3" s="582">
        <f>SUM(AD3:AH3)</f>
        <v>3</v>
      </c>
      <c r="AJ3" s="309">
        <f>COUNTIFS(STATUS!$Q:$Q,$A2,STATUS!$D:$D,AJ$1,STATUS!$U:$U,"ВОЗВРАТ")</f>
        <v>3</v>
      </c>
      <c r="AK3" s="309">
        <f>COUNTIFS(STATUS!$Q:$Q,$A2,STATUS!$D:$D,AK$1,STATUS!$U:$U,"ВОЗВРАТ")</f>
        <v>0</v>
      </c>
      <c r="AL3" s="309">
        <f>COUNTIFS(STATUS!$Q:$Q,$A2,STATUS!$D:$D,AL$1,STATUS!$U:$U,"ВОЗВРАТ")</f>
        <v>0</v>
      </c>
      <c r="AM3" s="446">
        <f>COUNTIFS(STATUS!$Q:$Q,$A2,STATUS!$D:$D,AM$1,STATUS!$U:$U,"ВОЗВРАТ")</f>
        <v>0</v>
      </c>
      <c r="AN3" s="446">
        <f>COUNTIFS(STATUS!$Q:$Q,$A2,STATUS!$D:$D,AN$1,STATUS!$U:$U,"ВОЗВРАТ")</f>
        <v>1</v>
      </c>
      <c r="AO3" s="582">
        <f>SUM(AJ3:AN3)</f>
        <v>4</v>
      </c>
      <c r="AP3" s="309">
        <f>COUNTIFS(STATUS!$Q:$Q,$A2,STATUS!$D:$D,AP$1,STATUS!$U:$U,"ВОЗВРАТ")</f>
        <v>0</v>
      </c>
      <c r="AQ3" s="309">
        <f>COUNTIFS(STATUS!$Q:$Q,$A2,STATUS!$D:$D,AQ$1,STATUS!$U:$U,"ВОЗВРАТ")</f>
        <v>2</v>
      </c>
      <c r="AR3" s="309">
        <f>COUNTIFS(STATUS!$Q:$Q,$A2,STATUS!$D:$D,AR$1,STATUS!$U:$U,"ВОЗВРАТ")</f>
        <v>1</v>
      </c>
      <c r="AS3" s="446">
        <f>COUNTIFS(STATUS!$Q:$Q,$A2,STATUS!$D:$D,AS$1,STATUS!$U:$U,"ВОЗВРАТ")</f>
        <v>2</v>
      </c>
      <c r="AT3" s="446">
        <f>COUNTIFS(STATUS!$Q:$Q,$A2,STATUS!$D:$D,AT$1,STATUS!$U:$U,"ВОЗВРАТ")</f>
        <v>0</v>
      </c>
      <c r="AU3" s="582">
        <f>SUM(AP3:AT3)</f>
        <v>5</v>
      </c>
      <c r="AV3" s="309">
        <f>COUNTIFS(STATUS!$Q:$Q,$A2,STATUS!$D:$D,AV$1,STATUS!$U:$U,"ВОЗВРАТ")</f>
        <v>0</v>
      </c>
      <c r="AW3" s="309">
        <f>COUNTIFS(STATUS!$Q:$Q,$A2,STATUS!$D:$D,AW$1,STATUS!$U:$U,"ВОЗВРАТ")</f>
        <v>5</v>
      </c>
      <c r="AX3" s="309">
        <f>COUNTIFS(STATUS!$Q:$Q,$A2,STATUS!$D:$D,AX$1,STATUS!$U:$U,"ВОЗВРАТ")</f>
        <v>0</v>
      </c>
      <c r="AY3" s="446">
        <f>COUNTIFS(STATUS!$Q:$Q,$A2,STATUS!$D:$D,AY$1,STATUS!$U:$U,"ВОЗВРАТ")</f>
        <v>1</v>
      </c>
      <c r="AZ3" s="446">
        <f>COUNTIFS(STATUS!$Q:$Q,$A2,STATUS!$D:$D,AZ$1,STATUS!$U:$U,"ВОЗВРАТ")</f>
        <v>1</v>
      </c>
      <c r="BA3" s="582">
        <f>SUM(AV3:AZ3)</f>
        <v>7</v>
      </c>
      <c r="BB3" s="309">
        <f>COUNTIFS(STATUS!$Q:$Q,$A2,STATUS!$D:$D,BB$1,STATUS!$U:$U,"ВОЗВРАТ")</f>
        <v>0</v>
      </c>
      <c r="BC3" s="309">
        <f>COUNTIFS(STATUS!$Q:$Q,$A2,STATUS!$D:$D,BC$1,STATUS!$U:$U,"ВОЗВРАТ")</f>
        <v>0</v>
      </c>
      <c r="BD3" s="309">
        <f>COUNTIFS(STATUS!$Q:$Q,$A2,STATUS!$D:$D,BD$1,STATUS!$U:$U,"ВОЗВРАТ")</f>
        <v>0</v>
      </c>
      <c r="BE3" s="446">
        <f>COUNTIFS(STATUS!$Q:$Q,$A2,STATUS!$D:$D,BE$1,STATUS!$U:$U,"ВОЗВРАТ")</f>
        <v>0</v>
      </c>
      <c r="BF3" s="446">
        <f>COUNTIFS(STATUS!$Q:$Q,$A2,STATUS!$D:$D,BF$1,STATUS!$U:$U,"ВОЗВРАТ")</f>
        <v>0</v>
      </c>
      <c r="BG3" s="582">
        <f>SUM(BB3:BF3)</f>
        <v>0</v>
      </c>
    </row>
    <row r="4" spans="1:59" s="437" customFormat="1" ht="21.5" thickBot="1" x14ac:dyDescent="0.4">
      <c r="A4" s="868"/>
      <c r="B4" s="440">
        <f>B3/B2</f>
        <v>0.19251336898395721</v>
      </c>
      <c r="C4" s="403">
        <f>IFERROR(C3/C2,0)</f>
        <v>0</v>
      </c>
      <c r="D4" s="403">
        <f t="shared" ref="D4:Q4" si="0">IFERROR(D3/D2,0)</f>
        <v>0.33333333333333331</v>
      </c>
      <c r="E4" s="403">
        <f t="shared" si="0"/>
        <v>0.2</v>
      </c>
      <c r="F4" s="403">
        <f t="shared" si="0"/>
        <v>0.4</v>
      </c>
      <c r="G4" s="447">
        <f t="shared" si="0"/>
        <v>0.2</v>
      </c>
      <c r="H4" s="583">
        <f t="shared" si="0"/>
        <v>0.22727272727272727</v>
      </c>
      <c r="I4" s="450">
        <f t="shared" si="0"/>
        <v>0.25</v>
      </c>
      <c r="J4" s="403">
        <f t="shared" si="0"/>
        <v>0</v>
      </c>
      <c r="K4" s="403">
        <f t="shared" si="0"/>
        <v>0.16666666666666666</v>
      </c>
      <c r="L4" s="403">
        <f t="shared" si="0"/>
        <v>0</v>
      </c>
      <c r="M4" s="447">
        <f t="shared" si="0"/>
        <v>0</v>
      </c>
      <c r="N4" s="583">
        <f t="shared" ref="N4" si="1">IFERROR(N3/N2,0)</f>
        <v>0.15384615384615385</v>
      </c>
      <c r="O4" s="450">
        <f t="shared" si="0"/>
        <v>0.5</v>
      </c>
      <c r="P4" s="403">
        <f t="shared" si="0"/>
        <v>0</v>
      </c>
      <c r="Q4" s="403">
        <f t="shared" si="0"/>
        <v>0</v>
      </c>
      <c r="R4" s="583">
        <f>IFERROR(R3/R2,0)</f>
        <v>0.5</v>
      </c>
      <c r="S4" s="403">
        <f>IFERROR(S3/S2,0)</f>
        <v>0.33333333333333331</v>
      </c>
      <c r="T4" s="403">
        <f>IFERROR(T3/T2,0)</f>
        <v>0.5</v>
      </c>
      <c r="U4" s="403">
        <f>IFERROR(U3/U2,0)</f>
        <v>0</v>
      </c>
      <c r="V4" s="447">
        <f t="shared" ref="V4" si="2">IFERROR(V3/V2,0)</f>
        <v>0.33333333333333331</v>
      </c>
      <c r="W4" s="583">
        <f>IFERROR(W3/W2,0)</f>
        <v>0.33333333333333331</v>
      </c>
      <c r="X4" s="403">
        <f>IFERROR(X3/X2,0)</f>
        <v>0.4</v>
      </c>
      <c r="Y4" s="403">
        <f>IFERROR(Y3/Y2,0)</f>
        <v>0.2</v>
      </c>
      <c r="Z4" s="403">
        <f>IFERROR(Z3/Z2,0)</f>
        <v>0.2</v>
      </c>
      <c r="AA4" s="447">
        <f t="shared" ref="AA4:AB4" si="3">IFERROR(AA3/AA2,0)</f>
        <v>0</v>
      </c>
      <c r="AB4" s="447">
        <f t="shared" si="3"/>
        <v>0</v>
      </c>
      <c r="AC4" s="583">
        <f>IFERROR(AC3/AC2,0)</f>
        <v>0.16666666666666666</v>
      </c>
      <c r="AD4" s="403">
        <f>IFERROR(AD3/AD2,0)</f>
        <v>0.33333333333333331</v>
      </c>
      <c r="AE4" s="403">
        <f>IFERROR(AE3/AE2,0)</f>
        <v>0.33333333333333331</v>
      </c>
      <c r="AF4" s="403">
        <f>IFERROR(AF3/AF2,0)</f>
        <v>9.0909090909090912E-2</v>
      </c>
      <c r="AG4" s="447">
        <f t="shared" ref="AG4:AH4" si="4">IFERROR(AG3/AG2,0)</f>
        <v>0</v>
      </c>
      <c r="AH4" s="447">
        <f t="shared" si="4"/>
        <v>0</v>
      </c>
      <c r="AI4" s="583">
        <f>IFERROR(AI3/AI2,0)</f>
        <v>0.17647058823529413</v>
      </c>
      <c r="AJ4" s="403">
        <f>IFERROR(AJ3/AJ2,0)</f>
        <v>0.17647058823529413</v>
      </c>
      <c r="AK4" s="403">
        <f>IFERROR(AK3/AK2,0)</f>
        <v>0</v>
      </c>
      <c r="AL4" s="403">
        <f>IFERROR(AL3/AL2,0)</f>
        <v>0</v>
      </c>
      <c r="AM4" s="447">
        <f t="shared" ref="AM4:AN4" si="5">IFERROR(AM3/AM2,0)</f>
        <v>0</v>
      </c>
      <c r="AN4" s="447">
        <f t="shared" si="5"/>
        <v>0.33333333333333331</v>
      </c>
      <c r="AO4" s="583">
        <f>IFERROR(AO3/AO2,0)</f>
        <v>0.15384615384615385</v>
      </c>
      <c r="AP4" s="403">
        <f>IFERROR(AP3/AP2,0)</f>
        <v>0</v>
      </c>
      <c r="AQ4" s="403">
        <f>IFERROR(AQ3/AQ2,0)</f>
        <v>0.4</v>
      </c>
      <c r="AR4" s="403">
        <f>IFERROR(AR3/AR2,0)</f>
        <v>0.33333333333333331</v>
      </c>
      <c r="AS4" s="447">
        <f t="shared" ref="AS4:AT4" si="6">IFERROR(AS3/AS2,0)</f>
        <v>0.5</v>
      </c>
      <c r="AT4" s="447">
        <f t="shared" si="6"/>
        <v>0</v>
      </c>
      <c r="AU4" s="583">
        <f>IFERROR(AU3/AU2,0)</f>
        <v>0.33333333333333331</v>
      </c>
      <c r="AV4" s="403">
        <f>IFERROR(AV3/AV2,0)</f>
        <v>0</v>
      </c>
      <c r="AW4" s="403">
        <f>IFERROR(AW3/AW2,0)</f>
        <v>0.11904761904761904</v>
      </c>
      <c r="AX4" s="403">
        <f>IFERROR(AX3/AX2,0)</f>
        <v>0</v>
      </c>
      <c r="AY4" s="447">
        <f t="shared" ref="AY4:AZ4" si="7">IFERROR(AY3/AY2,0)</f>
        <v>0.5</v>
      </c>
      <c r="AZ4" s="447">
        <f t="shared" si="7"/>
        <v>0.25</v>
      </c>
      <c r="BA4" s="583">
        <f>IFERROR(BA3/BA2,0)</f>
        <v>0.13207547169811321</v>
      </c>
      <c r="BB4" s="403">
        <f>IFERROR(BB3/BB2,0)</f>
        <v>0</v>
      </c>
      <c r="BC4" s="403">
        <f>IFERROR(BC3/BC2,0)</f>
        <v>0</v>
      </c>
      <c r="BD4" s="403">
        <f>IFERROR(BD3/BD2,0)</f>
        <v>0</v>
      </c>
      <c r="BE4" s="447">
        <f t="shared" ref="BE4:BF4" si="8">IFERROR(BE3/BE2,0)</f>
        <v>0</v>
      </c>
      <c r="BF4" s="447">
        <f t="shared" si="8"/>
        <v>0</v>
      </c>
      <c r="BG4" s="583">
        <f>IFERROR(BG3/BG2,0)</f>
        <v>0</v>
      </c>
    </row>
    <row r="5" spans="1:59" ht="15" thickTop="1" x14ac:dyDescent="0.35">
      <c r="A5" s="869" t="s">
        <v>2097</v>
      </c>
      <c r="B5" s="434">
        <f>SUM(H5,N5,R5,W5,AC5,AI5,AO5,AU5,BA5)</f>
        <v>185</v>
      </c>
      <c r="C5" s="412">
        <f>COUNTIFS(STATUS!$Q:$Q,$A5,STATUS!$D:$D,C$1,STATUS!$K:$K,"РЕШ УВ DONE")</f>
        <v>5</v>
      </c>
      <c r="D5" s="412">
        <f>COUNTIFS(STATUS!$Q:$Q,$A5,STATUS!$D:$D,D$1,STATUS!$K:$K,"РЕШ УВ DONE")</f>
        <v>4</v>
      </c>
      <c r="E5" s="412">
        <f>COUNTIFS(STATUS!$Q:$Q,$A5,STATUS!$D:$D,E$1,STATUS!$K:$K,"РЕШ УВ DONE")</f>
        <v>3</v>
      </c>
      <c r="F5" s="412">
        <f>COUNTIFS(STATUS!$Q:$Q,$A5,STATUS!$D:$D,F$1,STATUS!$K:$K,"РЕШ УВ DONE")</f>
        <v>3</v>
      </c>
      <c r="G5" s="445">
        <f>COUNTIFS(STATUS!$Q:$Q,$A5,STATUS!$D:$D,G$1,STATUS!$K:$K,"РЕШ УВ DONE")</f>
        <v>2</v>
      </c>
      <c r="H5" s="582">
        <f>SUM(C5:G5)</f>
        <v>17</v>
      </c>
      <c r="I5" s="449">
        <f>COUNTIFS(STATUS!$Q:$Q,$A5,STATUS!$D:$D,I$1,STATUS!$K:$K,"РЕШ УВ DONE")</f>
        <v>4</v>
      </c>
      <c r="J5" s="412">
        <f>COUNTIFS(STATUS!$Q:$Q,$A5,STATUS!$D:$D,J$1,STATUS!$K:$K,"РЕШ УВ DONE")</f>
        <v>3</v>
      </c>
      <c r="K5" s="412">
        <f>COUNTIFS(STATUS!$Q:$Q,$A5,STATUS!$D:$D,K$1,STATUS!$K:$K,"РЕШ УВ DONE")</f>
        <v>0</v>
      </c>
      <c r="L5" s="412">
        <f>COUNTIFS(STATUS!$Q:$Q,$A5,STATUS!$D:$D,L$1,STATUS!$K:$K,"РЕШ УВ DONE")</f>
        <v>0</v>
      </c>
      <c r="M5" s="445">
        <f>COUNTIFS(STATUS!$Q:$Q,$A5,STATUS!$D:$D,M$1,STATUS!$K:$K,"РЕШ УВ DONE")</f>
        <v>0</v>
      </c>
      <c r="N5" s="582">
        <f>SUM(I5:M5)</f>
        <v>7</v>
      </c>
      <c r="O5" s="449">
        <f>COUNTIFS(STATUS!$Q:$Q,$A5,STATUS!$D:$D,O$1,STATUS!$K:$K,"РЕШ УВ DONE")</f>
        <v>1</v>
      </c>
      <c r="P5" s="412">
        <f>COUNTIFS(STATUS!$Q:$Q,$A5,STATUS!$D:$D,P$1,STATUS!$K:$K,"РЕШ УВ DONE")</f>
        <v>1</v>
      </c>
      <c r="Q5" s="412">
        <f>COUNTIFS(STATUS!$Q:$Q,$A5,STATUS!$D:$D,Q$1,STATUS!$K:$K,"РЕШ УВ DONE")</f>
        <v>3</v>
      </c>
      <c r="R5" s="581">
        <f>SUM(O5:Q5)</f>
        <v>5</v>
      </c>
      <c r="S5" s="412">
        <f>COUNTIFS(STATUS!$Q:$Q,$A5,STATUS!$D:$D,S$1,STATUS!$K:$K,"РЕШ УВ DONE")</f>
        <v>5</v>
      </c>
      <c r="T5" s="412">
        <f>COUNTIFS(STATUS!$Q:$Q,$A5,STATUS!$D:$D,T$1,STATUS!$K:$K,"РЕШ УВ DONE")</f>
        <v>2</v>
      </c>
      <c r="U5" s="412">
        <f>COUNTIFS(STATUS!$Q:$Q,$A5,STATUS!$D:$D,U$1,STATUS!$K:$K,"РЕШ УВ DONE")</f>
        <v>4</v>
      </c>
      <c r="V5" s="445">
        <f>COUNTIFS(STATUS!$Q:$Q,$A5,STATUS!$D:$D,V$1,STATUS!$K:$K,"РЕШ УВ DONE")</f>
        <v>4</v>
      </c>
      <c r="W5" s="582">
        <f>SUM(S5:V5)</f>
        <v>15</v>
      </c>
      <c r="X5" s="412">
        <f>COUNTIFS(STATUS!$Q:$Q,$A5,STATUS!$D:$D,X$1,STATUS!$K:$K,"РЕШ УВ DONE")</f>
        <v>3</v>
      </c>
      <c r="Y5" s="412">
        <f>COUNTIFS(STATUS!$Q:$Q,$A5,STATUS!$D:$D,Y$1,STATUS!$K:$K,"РЕШ УВ DONE")</f>
        <v>5</v>
      </c>
      <c r="Z5" s="412">
        <f>COUNTIFS(STATUS!$Q:$Q,$A5,STATUS!$D:$D,Z$1,STATUS!$K:$K,"РЕШ УВ DONE")</f>
        <v>6</v>
      </c>
      <c r="AA5" s="445">
        <f>COUNTIFS(STATUS!$Q:$Q,$A5,STATUS!$D:$D,AA$1,STATUS!$K:$K,"РЕШ УВ DONE")</f>
        <v>5</v>
      </c>
      <c r="AB5" s="445">
        <f>COUNTIFS(STATUS!$Q:$Q,$A5,STATUS!$D:$D,AB$1,STATUS!$K:$K,"РЕШ УВ DONE")</f>
        <v>5</v>
      </c>
      <c r="AC5" s="581">
        <f>SUM(X5:AB5)</f>
        <v>24</v>
      </c>
      <c r="AD5" s="412">
        <f>COUNTIFS(STATUS!$Q:$Q,$A5,STATUS!$D:$D,AD$1,STATUS!$K:$K,"РЕШ УВ DONE")</f>
        <v>6</v>
      </c>
      <c r="AE5" s="412">
        <f>COUNTIFS(STATUS!$Q:$Q,$A5,STATUS!$D:$D,AE$1,STATUS!$K:$K,"РЕШ УВ DONE")</f>
        <v>2</v>
      </c>
      <c r="AF5" s="412">
        <f>COUNTIFS(STATUS!$Q:$Q,$A5,STATUS!$D:$D,AF$1,STATUS!$K:$K,"РЕШ УВ DONE")</f>
        <v>17</v>
      </c>
      <c r="AG5" s="445">
        <f>COUNTIFS(STATUS!$Q:$Q,$A5,STATUS!$D:$D,AG$1,STATUS!$K:$K,"РЕШ УВ DONE")</f>
        <v>0</v>
      </c>
      <c r="AH5" s="445">
        <f>COUNTIFS(STATUS!$Q:$Q,$A5,STATUS!$D:$D,AH$1,STATUS!$K:$K,"РЕШ УВ DONE")</f>
        <v>0</v>
      </c>
      <c r="AI5" s="581">
        <f>SUM(AD5:AH5)</f>
        <v>25</v>
      </c>
      <c r="AJ5" s="412">
        <f>COUNTIFS(STATUS!$Q:$Q,$A5,STATUS!$D:$D,AJ$1,STATUS!$K:$K,"РЕШ УВ DONE")</f>
        <v>15</v>
      </c>
      <c r="AK5" s="412">
        <f>COUNTIFS(STATUS!$Q:$Q,$A5,STATUS!$D:$D,AK$1,STATUS!$K:$K,"РЕШ УВ DONE")</f>
        <v>5</v>
      </c>
      <c r="AL5" s="412">
        <f>COUNTIFS(STATUS!$Q:$Q,$A5,STATUS!$D:$D,AL$1,STATUS!$K:$K,"РЕШ УВ DONE")</f>
        <v>5</v>
      </c>
      <c r="AM5" s="445">
        <f>COUNTIFS(STATUS!$Q:$Q,$A5,STATUS!$D:$D,AM$1,STATUS!$K:$K,"РЕШ УВ DONE")</f>
        <v>3</v>
      </c>
      <c r="AN5" s="445">
        <f>COUNTIFS(STATUS!$Q:$Q,$A5,STATUS!$D:$D,AN$1,STATUS!$K:$K,"РЕШ УВ DONE")</f>
        <v>3</v>
      </c>
      <c r="AO5" s="581">
        <f>SUM(AJ5:AN5)</f>
        <v>31</v>
      </c>
      <c r="AP5" s="412">
        <f>COUNTIFS(STATUS!$Q:$Q,$A5,STATUS!$D:$D,AP$1,STATUS!$K:$K,"РЕШ УВ DONE")</f>
        <v>1</v>
      </c>
      <c r="AQ5" s="412">
        <f>COUNTIFS(STATUS!$Q:$Q,$A5,STATUS!$D:$D,AQ$1,STATUS!$K:$K,"РЕШ УВ DONE")</f>
        <v>5</v>
      </c>
      <c r="AR5" s="412">
        <f>COUNTIFS(STATUS!$Q:$Q,$A5,STATUS!$D:$D,AR$1,STATUS!$K:$K,"РЕШ УВ DONE")</f>
        <v>5</v>
      </c>
      <c r="AS5" s="445">
        <f>COUNTIFS(STATUS!$Q:$Q,$A5,STATUS!$D:$D,AS$1,STATUS!$K:$K,"РЕШ УВ DONE")</f>
        <v>4</v>
      </c>
      <c r="AT5" s="445">
        <f>COUNTIFS(STATUS!$Q:$Q,$A5,STATUS!$D:$D,AT$1,STATUS!$K:$K,"РЕШ УВ DONE")</f>
        <v>0</v>
      </c>
      <c r="AU5" s="581">
        <f>SUM(AP5:AT5)</f>
        <v>15</v>
      </c>
      <c r="AV5" s="412">
        <f>COUNTIFS(STATUS!$Q:$Q,$A5,STATUS!$D:$D,AV$1,STATUS!$K:$K,"РЕШ УВ DONE")</f>
        <v>3</v>
      </c>
      <c r="AW5" s="412">
        <f>COUNTIFS(STATUS!$Q:$Q,$A5,STATUS!$D:$D,AW$1,STATUS!$K:$K,"РЕШ УВ DONE")</f>
        <v>37</v>
      </c>
      <c r="AX5" s="412">
        <f>COUNTIFS(STATUS!$Q:$Q,$A5,STATUS!$D:$D,AX$1,STATUS!$K:$K,"РЕШ УВ DONE")</f>
        <v>2</v>
      </c>
      <c r="AY5" s="445">
        <f>COUNTIFS(STATUS!$Q:$Q,$A5,STATUS!$D:$D,AY$1,STATUS!$K:$K,"РЕШ УВ DONE")</f>
        <v>3</v>
      </c>
      <c r="AZ5" s="445">
        <f>COUNTIFS(STATUS!$Q:$Q,$A5,STATUS!$D:$D,AZ$1,STATUS!$K:$K,"РЕШ УВ DONE")</f>
        <v>1</v>
      </c>
      <c r="BA5" s="581">
        <f>SUM(AV5:AZ5)</f>
        <v>46</v>
      </c>
      <c r="BB5" s="412">
        <f>COUNTIFS(STATUS!$Q:$Q,$A5,STATUS!$D:$D,BB$1,STATUS!$K:$K,"РЕШ УВ DONE")</f>
        <v>0</v>
      </c>
      <c r="BC5" s="412">
        <f>COUNTIFS(STATUS!$Q:$Q,$A5,STATUS!$D:$D,BC$1,STATUS!$K:$K,"РЕШ УВ DONE")</f>
        <v>0</v>
      </c>
      <c r="BD5" s="412">
        <f>COUNTIFS(STATUS!$Q:$Q,$A5,STATUS!$D:$D,BD$1,STATUS!$K:$K,"РЕШ УВ DONE")</f>
        <v>0</v>
      </c>
      <c r="BE5" s="445">
        <f>COUNTIFS(STATUS!$Q:$Q,$A5,STATUS!$D:$D,BE$1,STATUS!$K:$K,"РЕШ УВ DONE")</f>
        <v>0</v>
      </c>
      <c r="BF5" s="445">
        <f>COUNTIFS(STATUS!$Q:$Q,$A5,STATUS!$D:$D,BF$1,STATUS!$K:$K,"РЕШ УВ DONE")</f>
        <v>0</v>
      </c>
      <c r="BG5" s="581">
        <f>SUM(BB5:BF5)</f>
        <v>0</v>
      </c>
    </row>
    <row r="6" spans="1:59" x14ac:dyDescent="0.35">
      <c r="A6" s="870"/>
      <c r="B6" s="434">
        <f>SUM(H6,N6,R6,W6,AC6,AI6,AO6,AU6,BA6)</f>
        <v>52</v>
      </c>
      <c r="C6" s="309">
        <f>COUNTIFS(STATUS!$Q:$Q,$A5,STATUS!$D:$D,C$1,STATUS!$U:$U,"ВОЗВРАТ")</f>
        <v>2</v>
      </c>
      <c r="D6" s="309">
        <f>COUNTIFS(STATUS!$Q:$Q,$A5,STATUS!$D:$D,D$1,STATUS!$U:$U,"ВОЗВРАТ")</f>
        <v>2</v>
      </c>
      <c r="E6" s="309">
        <f>COUNTIFS(STATUS!$Q:$Q,$A5,STATUS!$D:$D,E$1,STATUS!$U:$U,"ВОЗВРАТ")</f>
        <v>0</v>
      </c>
      <c r="F6" s="309">
        <f>COUNTIFS(STATUS!$Q:$Q,$A5,STATUS!$D:$D,F$1,STATUS!$U:$U,"ВОЗВРАТ")</f>
        <v>3</v>
      </c>
      <c r="G6" s="446">
        <f>COUNTIFS(STATUS!$Q:$Q,$A5,STATUS!$D:$D,G$1,STATUS!$U:$U,"ВОЗВРАТ")</f>
        <v>1</v>
      </c>
      <c r="H6" s="582">
        <f>SUM(C6:G6)</f>
        <v>8</v>
      </c>
      <c r="I6" s="407">
        <f>COUNTIFS(STATUS!$Q:$Q,$A5,STATUS!$D:$D,I$1,STATUS!$U:$U,"ВОЗВРАТ")</f>
        <v>1</v>
      </c>
      <c r="J6" s="309">
        <f>COUNTIFS(STATUS!$Q:$Q,$A5,STATUS!$D:$D,J$1,STATUS!$U:$U,"ВОЗВРАТ")</f>
        <v>0</v>
      </c>
      <c r="K6" s="309">
        <f>COUNTIFS(STATUS!$Q:$Q,$A5,STATUS!$D:$D,K$1,STATUS!$U:$U,"ВОЗВРАТ")</f>
        <v>0</v>
      </c>
      <c r="L6" s="309">
        <f>COUNTIFS(STATUS!$Q:$Q,$A5,STATUS!$D:$D,L$1,STATUS!$U:$U,"ВОЗВРАТ")</f>
        <v>0</v>
      </c>
      <c r="M6" s="446">
        <f>COUNTIFS(STATUS!$Q:$Q,$A5,STATUS!$D:$D,M$1,STATUS!$U:$U,"ВОЗВРАТ")</f>
        <v>0</v>
      </c>
      <c r="N6" s="582">
        <f>SUM(I6:M6)</f>
        <v>1</v>
      </c>
      <c r="O6" s="407">
        <f>COUNTIFS(STATUS!$Q:$Q,$A5,STATUS!$D:$D,O$1,STATUS!$U:$U,"ВОЗВРАТ")</f>
        <v>1</v>
      </c>
      <c r="P6" s="309">
        <f>COUNTIFS(STATUS!$Q:$Q,$A5,STATUS!$D:$D,P$1,STATUS!$U:$U,"ВОЗВРАТ")</f>
        <v>1</v>
      </c>
      <c r="Q6" s="309">
        <f>COUNTIFS(STATUS!$Q:$Q,$A5,STATUS!$D:$D,Q$1,STATUS!$U:$U,"ВОЗВРАТ")</f>
        <v>2</v>
      </c>
      <c r="R6" s="582">
        <f>SUM(O6:Q6)</f>
        <v>4</v>
      </c>
      <c r="S6" s="309">
        <f>COUNTIFS(STATUS!$Q:$Q,$A5,STATUS!$D:$D,S$1,STATUS!$U:$U,"ВОЗВРАТ")</f>
        <v>1</v>
      </c>
      <c r="T6" s="309">
        <f>COUNTIFS(STATUS!$Q:$Q,$A5,STATUS!$D:$D,T$1,STATUS!$U:$U,"ВОЗВРАТ")</f>
        <v>0</v>
      </c>
      <c r="U6" s="309">
        <f>COUNTIFS(STATUS!$Q:$Q,$A5,STATUS!$D:$D,U$1,STATUS!$U:$U,"ВОЗВРАТ")</f>
        <v>0</v>
      </c>
      <c r="V6" s="446">
        <f>COUNTIFS(STATUS!$Q:$Q,$A5,STATUS!$D:$D,V$1,STATUS!$U:$U,"ВОЗВРАТ")</f>
        <v>0</v>
      </c>
      <c r="W6" s="582">
        <f>SUM(S6:V6)</f>
        <v>1</v>
      </c>
      <c r="X6" s="309">
        <f>COUNTIFS(STATUS!$Q:$Q,$A5,STATUS!$D:$D,X$1,STATUS!$U:$U,"ВОЗВРАТ")</f>
        <v>2</v>
      </c>
      <c r="Y6" s="309">
        <f>COUNTIFS(STATUS!$Q:$Q,$A5,STATUS!$D:$D,Y$1,STATUS!$U:$U,"ВОЗВРАТ")</f>
        <v>0</v>
      </c>
      <c r="Z6" s="309">
        <f>COUNTIFS(STATUS!$Q:$Q,$A5,STATUS!$D:$D,Z$1,STATUS!$U:$U,"ВОЗВРАТ")</f>
        <v>2</v>
      </c>
      <c r="AA6" s="446">
        <f>COUNTIFS(STATUS!$Q:$Q,$A5,STATUS!$D:$D,AA$1,STATUS!$U:$U,"ВОЗВРАТ")</f>
        <v>1</v>
      </c>
      <c r="AB6" s="446">
        <f>COUNTIFS(STATUS!$Q:$Q,$A5,STATUS!$D:$D,AB$1,STATUS!$U:$U,"ВОЗВРАТ")</f>
        <v>2</v>
      </c>
      <c r="AC6" s="582">
        <f>SUM(X6:AB6)</f>
        <v>7</v>
      </c>
      <c r="AD6" s="309">
        <f>COUNTIFS(STATUS!$Q:$Q,$A5,STATUS!$D:$D,AD$1,STATUS!$U:$U,"ВОЗВРАТ")</f>
        <v>3</v>
      </c>
      <c r="AE6" s="309">
        <f>COUNTIFS(STATUS!$Q:$Q,$A5,STATUS!$D:$D,AE$1,STATUS!$U:$U,"ВОЗВРАТ")</f>
        <v>1</v>
      </c>
      <c r="AF6" s="309">
        <f>COUNTIFS(STATUS!$Q:$Q,$A5,STATUS!$D:$D,AF$1,STATUS!$U:$U,"ВОЗВРАТ")</f>
        <v>3</v>
      </c>
      <c r="AG6" s="446">
        <f>COUNTIFS(STATUS!$Q:$Q,$A5,STATUS!$D:$D,AG$1,STATUS!$U:$U,"ВОЗВРАТ")</f>
        <v>0</v>
      </c>
      <c r="AH6" s="446">
        <f>COUNTIFS(STATUS!$Q:$Q,$A5,STATUS!$D:$D,AH$1,STATUS!$U:$U,"ВОЗВРАТ")</f>
        <v>0</v>
      </c>
      <c r="AI6" s="582">
        <f>SUM(AD6:AH6)</f>
        <v>7</v>
      </c>
      <c r="AJ6" s="309">
        <f>COUNTIFS(STATUS!$Q:$Q,$A5,STATUS!$D:$D,AJ$1,STATUS!$U:$U,"ВОЗВРАТ")</f>
        <v>7</v>
      </c>
      <c r="AK6" s="309">
        <f>COUNTIFS(STATUS!$Q:$Q,$A5,STATUS!$D:$D,AK$1,STATUS!$U:$U,"ВОЗВРАТ")</f>
        <v>1</v>
      </c>
      <c r="AL6" s="309">
        <f>COUNTIFS(STATUS!$Q:$Q,$A5,STATUS!$D:$D,AL$1,STATUS!$U:$U,"ВОЗВРАТ")</f>
        <v>1</v>
      </c>
      <c r="AM6" s="446">
        <f>COUNTIFS(STATUS!$Q:$Q,$A5,STATUS!$D:$D,AM$1,STATUS!$U:$U,"ВОЗВРАТ")</f>
        <v>2</v>
      </c>
      <c r="AN6" s="446">
        <f>COUNTIFS(STATUS!$Q:$Q,$A5,STATUS!$D:$D,AN$1,STATUS!$U:$U,"ВОЗВРАТ")</f>
        <v>1</v>
      </c>
      <c r="AO6" s="582">
        <f>SUM(AJ6:AN6)</f>
        <v>12</v>
      </c>
      <c r="AP6" s="309">
        <f>COUNTIFS(STATUS!$Q:$Q,$A5,STATUS!$D:$D,AP$1,STATUS!$U:$U,"ВОЗВРАТ")</f>
        <v>0</v>
      </c>
      <c r="AQ6" s="309">
        <f>COUNTIFS(STATUS!$Q:$Q,$A5,STATUS!$D:$D,AQ$1,STATUS!$U:$U,"ВОЗВРАТ")</f>
        <v>2</v>
      </c>
      <c r="AR6" s="309">
        <f>COUNTIFS(STATUS!$Q:$Q,$A5,STATUS!$D:$D,AR$1,STATUS!$U:$U,"ВОЗВРАТ")</f>
        <v>2</v>
      </c>
      <c r="AS6" s="446">
        <f>COUNTIFS(STATUS!$Q:$Q,$A5,STATUS!$D:$D,AS$1,STATUS!$U:$U,"ВОЗВРАТ")</f>
        <v>1</v>
      </c>
      <c r="AT6" s="446">
        <f>COUNTIFS(STATUS!$Q:$Q,$A5,STATUS!$D:$D,AT$1,STATUS!$U:$U,"ВОЗВРАТ")</f>
        <v>0</v>
      </c>
      <c r="AU6" s="582">
        <f>SUM(AP6:AT6)</f>
        <v>5</v>
      </c>
      <c r="AV6" s="309">
        <f>COUNTIFS(STATUS!$Q:$Q,$A5,STATUS!$D:$D,AV$1,STATUS!$U:$U,"ВОЗВРАТ")</f>
        <v>0</v>
      </c>
      <c r="AW6" s="309">
        <f>COUNTIFS(STATUS!$Q:$Q,$A5,STATUS!$D:$D,AW$1,STATUS!$U:$U,"ВОЗВРАТ")</f>
        <v>4</v>
      </c>
      <c r="AX6" s="309">
        <f>COUNTIFS(STATUS!$Q:$Q,$A5,STATUS!$D:$D,AX$1,STATUS!$U:$U,"ВОЗВРАТ")</f>
        <v>0</v>
      </c>
      <c r="AY6" s="446">
        <f>COUNTIFS(STATUS!$Q:$Q,$A5,STATUS!$D:$D,AY$1,STATUS!$U:$U,"ВОЗВРАТ")</f>
        <v>2</v>
      </c>
      <c r="AZ6" s="446">
        <f>COUNTIFS(STATUS!$Q:$Q,$A5,STATUS!$D:$D,AZ$1,STATUS!$U:$U,"ВОЗВРАТ")</f>
        <v>1</v>
      </c>
      <c r="BA6" s="582">
        <f>SUM(AV6:AZ6)</f>
        <v>7</v>
      </c>
      <c r="BB6" s="309">
        <f>COUNTIFS(STATUS!$Q:$Q,$A5,STATUS!$D:$D,BB$1,STATUS!$U:$U,"ВОЗВРАТ")</f>
        <v>0</v>
      </c>
      <c r="BC6" s="309">
        <f>COUNTIFS(STATUS!$Q:$Q,$A5,STATUS!$D:$D,BC$1,STATUS!$U:$U,"ВОЗВРАТ")</f>
        <v>2</v>
      </c>
      <c r="BD6" s="309">
        <f>COUNTIFS(STATUS!$Q:$Q,$A5,STATUS!$D:$D,BD$1,STATUS!$U:$U,"ВОЗВРАТ")</f>
        <v>0</v>
      </c>
      <c r="BE6" s="446">
        <f>COUNTIFS(STATUS!$Q:$Q,$A5,STATUS!$D:$D,BE$1,STATUS!$U:$U,"ВОЗВРАТ")</f>
        <v>1</v>
      </c>
      <c r="BF6" s="446">
        <f>COUNTIFS(STATUS!$Q:$Q,$A5,STATUS!$D:$D,BF$1,STATUS!$U:$U,"ВОЗВРАТ")</f>
        <v>3</v>
      </c>
      <c r="BG6" s="582">
        <f>SUM(BB6:BF6)</f>
        <v>6</v>
      </c>
    </row>
    <row r="7" spans="1:59" ht="21.5" thickBot="1" x14ac:dyDescent="0.4">
      <c r="A7" s="871"/>
      <c r="B7" s="440">
        <f>B6/B5</f>
        <v>0.2810810810810811</v>
      </c>
      <c r="C7" s="403">
        <f>IFERROR(C6/C5,0)</f>
        <v>0.4</v>
      </c>
      <c r="D7" s="403">
        <f t="shared" ref="D7" si="9">IFERROR(D6/D5,0)</f>
        <v>0.5</v>
      </c>
      <c r="E7" s="403">
        <f t="shared" ref="E7" si="10">IFERROR(E6/E5,0)</f>
        <v>0</v>
      </c>
      <c r="F7" s="403">
        <f t="shared" ref="F7" si="11">IFERROR(F6/F5,0)</f>
        <v>1</v>
      </c>
      <c r="G7" s="447">
        <f t="shared" ref="G7:H7" si="12">IFERROR(G6/G5,0)</f>
        <v>0.5</v>
      </c>
      <c r="H7" s="583">
        <f t="shared" si="12"/>
        <v>0.47058823529411764</v>
      </c>
      <c r="I7" s="450">
        <f t="shared" ref="I7" si="13">IFERROR(I6/I5,0)</f>
        <v>0.25</v>
      </c>
      <c r="J7" s="403">
        <f t="shared" ref="J7" si="14">IFERROR(J6/J5,0)</f>
        <v>0</v>
      </c>
      <c r="K7" s="403">
        <f t="shared" ref="K7" si="15">IFERROR(K6/K5,0)</f>
        <v>0</v>
      </c>
      <c r="L7" s="403">
        <f t="shared" ref="L7" si="16">IFERROR(L6/L5,0)</f>
        <v>0</v>
      </c>
      <c r="M7" s="447">
        <f t="shared" ref="M7:N7" si="17">IFERROR(M6/M5,0)</f>
        <v>0</v>
      </c>
      <c r="N7" s="583">
        <f t="shared" si="17"/>
        <v>0.14285714285714285</v>
      </c>
      <c r="O7" s="450">
        <f t="shared" ref="O7" si="18">IFERROR(O6/O5,0)</f>
        <v>1</v>
      </c>
      <c r="P7" s="403">
        <f t="shared" ref="P7" si="19">IFERROR(P6/P5,0)</f>
        <v>1</v>
      </c>
      <c r="Q7" s="403">
        <f t="shared" ref="Q7:S7" si="20">IFERROR(Q6/Q5,0)</f>
        <v>0.66666666666666663</v>
      </c>
      <c r="R7" s="583">
        <f t="shared" si="20"/>
        <v>0.8</v>
      </c>
      <c r="S7" s="403">
        <f t="shared" si="20"/>
        <v>0.2</v>
      </c>
      <c r="T7" s="403">
        <f>IFERROR(T6/T5,0)</f>
        <v>0</v>
      </c>
      <c r="U7" s="403">
        <f>IFERROR(U6/U5,0)</f>
        <v>0</v>
      </c>
      <c r="V7" s="447">
        <f t="shared" ref="V7:W7" si="21">IFERROR(V6/V5,0)</f>
        <v>0</v>
      </c>
      <c r="W7" s="583">
        <f t="shared" si="21"/>
        <v>6.6666666666666666E-2</v>
      </c>
      <c r="X7" s="403">
        <f>IFERROR(X6/X5,0)</f>
        <v>0.66666666666666663</v>
      </c>
      <c r="Y7" s="403">
        <f>IFERROR(Y6/Y5,0)</f>
        <v>0</v>
      </c>
      <c r="Z7" s="403">
        <f>IFERROR(Z6/Z5,0)</f>
        <v>0.33333333333333331</v>
      </c>
      <c r="AA7" s="447">
        <f t="shared" ref="AA7:AB7" si="22">IFERROR(AA6/AA5,0)</f>
        <v>0.2</v>
      </c>
      <c r="AB7" s="447">
        <f t="shared" si="22"/>
        <v>0.4</v>
      </c>
      <c r="AC7" s="583">
        <f>IFERROR(AC6/AC5,0)</f>
        <v>0.29166666666666669</v>
      </c>
      <c r="AD7" s="403">
        <f>IFERROR(AD6/AD5,0)</f>
        <v>0.5</v>
      </c>
      <c r="AE7" s="403">
        <f>IFERROR(AE6/AE5,0)</f>
        <v>0.5</v>
      </c>
      <c r="AF7" s="403">
        <f>IFERROR(AF6/AF5,0)</f>
        <v>0.17647058823529413</v>
      </c>
      <c r="AG7" s="447">
        <f t="shared" ref="AG7:AH7" si="23">IFERROR(AG6/AG5,0)</f>
        <v>0</v>
      </c>
      <c r="AH7" s="447">
        <f t="shared" si="23"/>
        <v>0</v>
      </c>
      <c r="AI7" s="583">
        <f>IFERROR(AI6/AI5,0)</f>
        <v>0.28000000000000003</v>
      </c>
      <c r="AJ7" s="403">
        <f>IFERROR(AJ6/AJ5,0)</f>
        <v>0.46666666666666667</v>
      </c>
      <c r="AK7" s="403">
        <f>IFERROR(AK6/AK5,0)</f>
        <v>0.2</v>
      </c>
      <c r="AL7" s="403">
        <f>IFERROR(AL6/AL5,0)</f>
        <v>0.2</v>
      </c>
      <c r="AM7" s="447">
        <f t="shared" ref="AM7:AN7" si="24">IFERROR(AM6/AM5,0)</f>
        <v>0.66666666666666663</v>
      </c>
      <c r="AN7" s="447">
        <f t="shared" si="24"/>
        <v>0.33333333333333331</v>
      </c>
      <c r="AO7" s="583">
        <f>IFERROR(AO6/AO5,0)</f>
        <v>0.38709677419354838</v>
      </c>
      <c r="AP7" s="403">
        <f>IFERROR(AP6/AP5,0)</f>
        <v>0</v>
      </c>
      <c r="AQ7" s="403">
        <f>IFERROR(AQ6/AQ5,0)</f>
        <v>0.4</v>
      </c>
      <c r="AR7" s="403">
        <f>IFERROR(AR6/AR5,0)</f>
        <v>0.4</v>
      </c>
      <c r="AS7" s="447">
        <f t="shared" ref="AS7:AT7" si="25">IFERROR(AS6/AS5,0)</f>
        <v>0.25</v>
      </c>
      <c r="AT7" s="447">
        <f t="shared" si="25"/>
        <v>0</v>
      </c>
      <c r="AU7" s="583">
        <f>IFERROR(AU6/AU5,0)</f>
        <v>0.33333333333333331</v>
      </c>
      <c r="AV7" s="403">
        <f>IFERROR(AV6/AV5,0)</f>
        <v>0</v>
      </c>
      <c r="AW7" s="403">
        <f>IFERROR(AW6/AW5,0)</f>
        <v>0.10810810810810811</v>
      </c>
      <c r="AX7" s="403">
        <f>IFERROR(AX6/AX5,0)</f>
        <v>0</v>
      </c>
      <c r="AY7" s="447">
        <f t="shared" ref="AY7:AZ7" si="26">IFERROR(AY6/AY5,0)</f>
        <v>0.66666666666666663</v>
      </c>
      <c r="AZ7" s="447">
        <f t="shared" si="26"/>
        <v>1</v>
      </c>
      <c r="BA7" s="583">
        <f>IFERROR(BA6/BA5,0)</f>
        <v>0.15217391304347827</v>
      </c>
      <c r="BB7" s="403">
        <f>IFERROR(BB6/BB5,0)</f>
        <v>0</v>
      </c>
      <c r="BC7" s="403">
        <f>IFERROR(BC6/BC5,0)</f>
        <v>0</v>
      </c>
      <c r="BD7" s="403">
        <f>IFERROR(BD6/BD5,0)</f>
        <v>0</v>
      </c>
      <c r="BE7" s="447">
        <f t="shared" ref="BE7:BF7" si="27">IFERROR(BE6/BE5,0)</f>
        <v>0</v>
      </c>
      <c r="BF7" s="447">
        <f t="shared" si="27"/>
        <v>0</v>
      </c>
      <c r="BG7" s="583">
        <f>IFERROR(BG6/BG5,0)</f>
        <v>0</v>
      </c>
    </row>
    <row r="8" spans="1:59" ht="15" thickTop="1" x14ac:dyDescent="0.35">
      <c r="A8" s="866" t="s">
        <v>2163</v>
      </c>
      <c r="B8" s="434">
        <f>SUM(H8,N8,R8,W8,AC8,AI8,AO8,AU8,BA8)</f>
        <v>204</v>
      </c>
      <c r="C8" s="412">
        <f>COUNTIFS(STATUS!$Q:$Q,$A8,STATUS!$D:$D,C$1,STATUS!$K:$K,"РЕШ УВ DONE")</f>
        <v>6</v>
      </c>
      <c r="D8" s="412">
        <f>COUNTIFS(STATUS!$Q:$Q,$A8,STATUS!$D:$D,D$1,STATUS!$K:$K,"РЕШ УВ DONE")</f>
        <v>3</v>
      </c>
      <c r="E8" s="412">
        <f>COUNTIFS(STATUS!$Q:$Q,$A8,STATUS!$D:$D,E$1,STATUS!$K:$K,"РЕШ УВ DONE")</f>
        <v>4</v>
      </c>
      <c r="F8" s="412">
        <f>COUNTIFS(STATUS!$Q:$Q,$A8,STATUS!$D:$D,F$1,STATUS!$K:$K,"РЕШ УВ DONE")</f>
        <v>4</v>
      </c>
      <c r="G8" s="445">
        <f>COUNTIFS(STATUS!$Q:$Q,$A8,STATUS!$D:$D,G$1,STATUS!$K:$K,"РЕШ УВ DONE")</f>
        <v>5</v>
      </c>
      <c r="H8" s="582">
        <f>SUM(C8:G8)</f>
        <v>22</v>
      </c>
      <c r="I8" s="449">
        <f>COUNTIFS(STATUS!$Q:$Q,$A8,STATUS!$D:$D,I$1,STATUS!$K:$K,"РЕШ УВ DONE")</f>
        <v>4</v>
      </c>
      <c r="J8" s="412">
        <f>COUNTIFS(STATUS!$Q:$Q,$A8,STATUS!$D:$D,J$1,STATUS!$K:$K,"РЕШ УВ DONE")</f>
        <v>6</v>
      </c>
      <c r="K8" s="412">
        <f>COUNTIFS(STATUS!$Q:$Q,$A8,STATUS!$D:$D,K$1,STATUS!$K:$K,"РЕШ УВ DONE")</f>
        <v>6</v>
      </c>
      <c r="L8" s="412">
        <f>COUNTIFS(STATUS!$Q:$Q,$A8,STATUS!$D:$D,L$1,STATUS!$K:$K,"РЕШ УВ DONE")</f>
        <v>0</v>
      </c>
      <c r="M8" s="445">
        <f>COUNTIFS(STATUS!$Q:$Q,$A8,STATUS!$D:$D,M$1,STATUS!$K:$K,"РЕШ УВ DONE")</f>
        <v>0</v>
      </c>
      <c r="N8" s="582">
        <f>SUM(I8:M8)</f>
        <v>16</v>
      </c>
      <c r="O8" s="449">
        <f>COUNTIFS(STATUS!$Q:$Q,$A8,STATUS!$D:$D,O$1,STATUS!$K:$K,"РЕШ УВ DONE")</f>
        <v>0</v>
      </c>
      <c r="P8" s="412">
        <f>COUNTIFS(STATUS!$Q:$Q,$A8,STATUS!$D:$D,P$1,STATUS!$K:$K,"РЕШ УВ DONE")</f>
        <v>0</v>
      </c>
      <c r="Q8" s="412">
        <f>COUNTIFS(STATUS!$Q:$Q,$A8,STATUS!$D:$D,Q$1,STATUS!$K:$K,"РЕШ УВ DONE")</f>
        <v>0</v>
      </c>
      <c r="R8" s="581">
        <f>SUM(O8:Q8)</f>
        <v>0</v>
      </c>
      <c r="S8" s="412">
        <f>COUNTIFS(STATUS!$Q:$Q,$A8,STATUS!$D:$D,S$1,STATUS!$K:$K,"РЕШ УВ DONE")</f>
        <v>5</v>
      </c>
      <c r="T8" s="412">
        <f>COUNTIFS(STATUS!$Q:$Q,$A8,STATUS!$D:$D,T$1,STATUS!$K:$K,"РЕШ УВ DONE")</f>
        <v>7</v>
      </c>
      <c r="U8" s="412">
        <f>COUNTIFS(STATUS!$Q:$Q,$A8,STATUS!$D:$D,U$1,STATUS!$K:$K,"РЕШ УВ DONE")</f>
        <v>5</v>
      </c>
      <c r="V8" s="445">
        <f>COUNTIFS(STATUS!$Q:$Q,$A8,STATUS!$D:$D,V$1,STATUS!$K:$K,"РЕШ УВ DONE")</f>
        <v>3</v>
      </c>
      <c r="W8" s="581">
        <f>SUM(S8:V8)</f>
        <v>20</v>
      </c>
      <c r="X8" s="412">
        <f>COUNTIFS(STATUS!$Q:$Q,$A8,STATUS!$D:$D,X$1,STATUS!$K:$K,"РЕШ УВ DONE")</f>
        <v>6</v>
      </c>
      <c r="Y8" s="412">
        <f>COUNTIFS(STATUS!$Q:$Q,$A8,STATUS!$D:$D,Y$1,STATUS!$K:$K,"РЕШ УВ DONE")</f>
        <v>7</v>
      </c>
      <c r="Z8" s="412">
        <f>COUNTIFS(STATUS!$Q:$Q,$A8,STATUS!$D:$D,Z$1,STATUS!$K:$K,"РЕШ УВ DONE")</f>
        <v>5</v>
      </c>
      <c r="AA8" s="445">
        <f>COUNTIFS(STATUS!$Q:$Q,$A8,STATUS!$D:$D,AA$1,STATUS!$K:$K,"РЕШ УВ DONE")</f>
        <v>6</v>
      </c>
      <c r="AB8" s="445">
        <f>COUNTIFS(STATUS!$Q:$Q,$A8,STATUS!$D:$D,AB$1,STATUS!$K:$K,"РЕШ УВ DONE")</f>
        <v>4</v>
      </c>
      <c r="AC8" s="581">
        <f>SUM(X8:AB8)</f>
        <v>28</v>
      </c>
      <c r="AD8" s="412">
        <f>COUNTIFS(STATUS!$Q:$Q,$A8,STATUS!$D:$D,AD$1,STATUS!$K:$K,"РЕШ УВ DONE")</f>
        <v>3</v>
      </c>
      <c r="AE8" s="412">
        <f>COUNTIFS(STATUS!$Q:$Q,$A8,STATUS!$D:$D,AE$1,STATUS!$K:$K,"РЕШ УВ DONE")</f>
        <v>3</v>
      </c>
      <c r="AF8" s="412">
        <f>COUNTIFS(STATUS!$Q:$Q,$A8,STATUS!$D:$D,AF$1,STATUS!$K:$K,"РЕШ УВ DONE")</f>
        <v>12</v>
      </c>
      <c r="AG8" s="445">
        <f>COUNTIFS(STATUS!$Q:$Q,$A8,STATUS!$D:$D,AG$1,STATUS!$K:$K,"РЕШ УВ DONE")</f>
        <v>1</v>
      </c>
      <c r="AH8" s="445">
        <f>COUNTIFS(STATUS!$Q:$Q,$A8,STATUS!$D:$D,AH$1,STATUS!$K:$K,"РЕШ УВ DONE")</f>
        <v>1</v>
      </c>
      <c r="AI8" s="581">
        <f>SUM(AD8:AH8)</f>
        <v>20</v>
      </c>
      <c r="AJ8" s="412">
        <f>COUNTIFS(STATUS!$Q:$Q,$A8,STATUS!$D:$D,AJ$1,STATUS!$K:$K,"РЕШ УВ DONE")</f>
        <v>21</v>
      </c>
      <c r="AK8" s="412">
        <f>COUNTIFS(STATUS!$Q:$Q,$A8,STATUS!$D:$D,AK$1,STATUS!$K:$K,"РЕШ УВ DONE")</f>
        <v>1</v>
      </c>
      <c r="AL8" s="412">
        <f>COUNTIFS(STATUS!$Q:$Q,$A8,STATUS!$D:$D,AL$1,STATUS!$K:$K,"РЕШ УВ DONE")</f>
        <v>2</v>
      </c>
      <c r="AM8" s="445">
        <f>COUNTIFS(STATUS!$Q:$Q,$A8,STATUS!$D:$D,AM$1,STATUS!$K:$K,"РЕШ УВ DONE")</f>
        <v>4</v>
      </c>
      <c r="AN8" s="445">
        <f>COUNTIFS(STATUS!$Q:$Q,$A8,STATUS!$D:$D,AN$1,STATUS!$K:$K,"РЕШ УВ DONE")</f>
        <v>3</v>
      </c>
      <c r="AO8" s="581">
        <f>SUM(AJ8:AN8)</f>
        <v>31</v>
      </c>
      <c r="AP8" s="412">
        <f>COUNTIFS(STATUS!$Q:$Q,$A8,STATUS!$D:$D,AP$1,STATUS!$K:$K,"РЕШ УВ DONE")</f>
        <v>7</v>
      </c>
      <c r="AQ8" s="412">
        <f>COUNTIFS(STATUS!$Q:$Q,$A8,STATUS!$D:$D,AQ$1,STATUS!$K:$K,"РЕШ УВ DONE")</f>
        <v>3</v>
      </c>
      <c r="AR8" s="412">
        <f>COUNTIFS(STATUS!$Q:$Q,$A8,STATUS!$D:$D,AR$1,STATUS!$K:$K,"РЕШ УВ DONE")</f>
        <v>3</v>
      </c>
      <c r="AS8" s="445">
        <f>COUNTIFS(STATUS!$Q:$Q,$A8,STATUS!$D:$D,AS$1,STATUS!$K:$K,"РЕШ УВ DONE")</f>
        <v>2</v>
      </c>
      <c r="AT8" s="445">
        <f>COUNTIFS(STATUS!$Q:$Q,$A8,STATUS!$D:$D,AT$1,STATUS!$K:$K,"РЕШ УВ DONE")</f>
        <v>0</v>
      </c>
      <c r="AU8" s="581">
        <f>SUM(AP8:AT8)</f>
        <v>15</v>
      </c>
      <c r="AV8" s="412">
        <f>COUNTIFS(STATUS!$Q:$Q,$A8,STATUS!$D:$D,AV$1,STATUS!$K:$K,"РЕШ УВ DONE")</f>
        <v>3</v>
      </c>
      <c r="AW8" s="412">
        <f>COUNTIFS(STATUS!$Q:$Q,$A8,STATUS!$D:$D,AW$1,STATUS!$K:$K,"РЕШ УВ DONE")</f>
        <v>41</v>
      </c>
      <c r="AX8" s="412">
        <f>COUNTIFS(STATUS!$Q:$Q,$A8,STATUS!$D:$D,AX$1,STATUS!$K:$K,"РЕШ УВ DONE")</f>
        <v>3</v>
      </c>
      <c r="AY8" s="445">
        <f>COUNTIFS(STATUS!$Q:$Q,$A8,STATUS!$D:$D,AY$1,STATUS!$K:$K,"РЕШ УВ DONE")</f>
        <v>1</v>
      </c>
      <c r="AZ8" s="445">
        <f>COUNTIFS(STATUS!$Q:$Q,$A8,STATUS!$D:$D,AZ$1,STATUS!$K:$K,"РЕШ УВ DONE")</f>
        <v>4</v>
      </c>
      <c r="BA8" s="581">
        <f>SUM(AV8:AZ8)</f>
        <v>52</v>
      </c>
      <c r="BB8" s="412">
        <f>COUNTIFS(STATUS!$Q:$Q,$A8,STATUS!$D:$D,BB$1,STATUS!$K:$K,"РЕШ УВ DONE")</f>
        <v>0</v>
      </c>
      <c r="BC8" s="412">
        <f>COUNTIFS(STATUS!$Q:$Q,$A8,STATUS!$D:$D,BC$1,STATUS!$K:$K,"РЕШ УВ DONE")</f>
        <v>0</v>
      </c>
      <c r="BD8" s="412">
        <f>COUNTIFS(STATUS!$Q:$Q,$A8,STATUS!$D:$D,BD$1,STATUS!$K:$K,"РЕШ УВ DONE")</f>
        <v>0</v>
      </c>
      <c r="BE8" s="445">
        <f>COUNTIFS(STATUS!$Q:$Q,$A8,STATUS!$D:$D,BE$1,STATUS!$K:$K,"РЕШ УВ DONE")</f>
        <v>0</v>
      </c>
      <c r="BF8" s="445">
        <f>COUNTIFS(STATUS!$Q:$Q,$A8,STATUS!$D:$D,BF$1,STATUS!$K:$K,"РЕШ УВ DONE")</f>
        <v>0</v>
      </c>
      <c r="BG8" s="581">
        <f>SUM(BB8:BF8)</f>
        <v>0</v>
      </c>
    </row>
    <row r="9" spans="1:59" x14ac:dyDescent="0.35">
      <c r="A9" s="867"/>
      <c r="B9" s="434">
        <f>SUM(H9,N9,R9,W9,AC9,AI9,AO9,AU9,BA9)</f>
        <v>11</v>
      </c>
      <c r="C9" s="309">
        <f>COUNTIFS(STATUS!$Q:$Q,$A8,STATUS!$D:$D,C$1,STATUS!$U:$U,"ВОЗВРАТ")</f>
        <v>1</v>
      </c>
      <c r="D9" s="309">
        <f>COUNTIFS(STATUS!$Q:$Q,$A8,STATUS!$D:$D,D$1,STATUS!$U:$U,"ВОЗВРАТ")</f>
        <v>0</v>
      </c>
      <c r="E9" s="309">
        <f>COUNTIFS(STATUS!$Q:$Q,$A8,STATUS!$D:$D,E$1,STATUS!$U:$U,"ВОЗВРАТ")</f>
        <v>0</v>
      </c>
      <c r="F9" s="309">
        <f>COUNTIFS(STATUS!$Q:$Q,$A8,STATUS!$D:$D,F$1,STATUS!$U:$U,"ВОЗВРАТ")</f>
        <v>0</v>
      </c>
      <c r="G9" s="446">
        <f>COUNTIFS(STATUS!$Q:$Q,$A8,STATUS!$D:$D,G$1,STATUS!$U:$U,"ВОЗВРАТ")</f>
        <v>0</v>
      </c>
      <c r="H9" s="582">
        <f>SUM(C9:G9)</f>
        <v>1</v>
      </c>
      <c r="I9" s="407">
        <f>COUNTIFS(STATUS!$Q:$Q,$A8,STATUS!$D:$D,I$1,STATUS!$U:$U,"ВОЗВРАТ")</f>
        <v>1</v>
      </c>
      <c r="J9" s="309">
        <f>COUNTIFS(STATUS!$Q:$Q,$A8,STATUS!$D:$D,J$1,STATUS!$U:$U,"ВОЗВРАТ")</f>
        <v>0</v>
      </c>
      <c r="K9" s="309">
        <f>COUNTIFS(STATUS!$Q:$Q,$A8,STATUS!$D:$D,K$1,STATUS!$U:$U,"ВОЗВРАТ")</f>
        <v>0</v>
      </c>
      <c r="L9" s="309">
        <f>COUNTIFS(STATUS!$Q:$Q,$A8,STATUS!$D:$D,L$1,STATUS!$U:$U,"ВОЗВРАТ")</f>
        <v>0</v>
      </c>
      <c r="M9" s="446">
        <f>COUNTIFS(STATUS!$Q:$Q,$A8,STATUS!$D:$D,M$1,STATUS!$U:$U,"ВОЗВРАТ")</f>
        <v>0</v>
      </c>
      <c r="N9" s="582">
        <f>SUM(I9:M9)</f>
        <v>1</v>
      </c>
      <c r="O9" s="407">
        <f>COUNTIFS(STATUS!$Q:$Q,$A8,STATUS!$D:$D,O$1,STATUS!$U:$U,"ВОЗВРАТ")</f>
        <v>0</v>
      </c>
      <c r="P9" s="309">
        <f>COUNTIFS(STATUS!$Q:$Q,$A8,STATUS!$D:$D,P$1,STATUS!$U:$U,"ВОЗВРАТ")</f>
        <v>0</v>
      </c>
      <c r="Q9" s="309">
        <f>COUNTIFS(STATUS!$Q:$Q,$A8,STATUS!$D:$D,Q$1,STATUS!$U:$U,"ВОЗВРАТ")</f>
        <v>0</v>
      </c>
      <c r="R9" s="582">
        <f>SUM(O9:Q9)</f>
        <v>0</v>
      </c>
      <c r="S9" s="309">
        <f>COUNTIFS(STATUS!$Q:$Q,$A8,STATUS!$D:$D,S$1,STATUS!$U:$U,"ВОЗВРАТ")</f>
        <v>0</v>
      </c>
      <c r="T9" s="309">
        <f>COUNTIFS(STATUS!$Q:$Q,$A8,STATUS!$D:$D,T$1,STATUS!$U:$U,"ВОЗВРАТ")</f>
        <v>1</v>
      </c>
      <c r="U9" s="309">
        <f>COUNTIFS(STATUS!$Q:$Q,$A8,STATUS!$D:$D,U$1,STATUS!$U:$U,"ВОЗВРАТ")</f>
        <v>0</v>
      </c>
      <c r="V9" s="446">
        <f>COUNTIFS(STATUS!$Q:$Q,$A8,STATUS!$D:$D,V$1,STATUS!$U:$U,"ВОЗВРАТ")</f>
        <v>1</v>
      </c>
      <c r="W9" s="582">
        <f>SUM(S9:V9)</f>
        <v>2</v>
      </c>
      <c r="X9" s="309">
        <f>COUNTIFS(STATUS!$Q:$Q,$A8,STATUS!$D:$D,X$1,STATUS!$U:$U,"ВОЗВРАТ")</f>
        <v>1</v>
      </c>
      <c r="Y9" s="309">
        <f>COUNTIFS(STATUS!$Q:$Q,$A8,STATUS!$D:$D,Y$1,STATUS!$U:$U,"ВОЗВРАТ")</f>
        <v>0</v>
      </c>
      <c r="Z9" s="309">
        <f>COUNTIFS(STATUS!$Q:$Q,$A8,STATUS!$D:$D,Z$1,STATUS!$U:$U,"ВОЗВРАТ")</f>
        <v>0</v>
      </c>
      <c r="AA9" s="446">
        <f>COUNTIFS(STATUS!$Q:$Q,$A8,STATUS!$D:$D,AA$1,STATUS!$U:$U,"ВОЗВРАТ")</f>
        <v>0</v>
      </c>
      <c r="AB9" s="446">
        <f>COUNTIFS(STATUS!$Q:$Q,$A8,STATUS!$D:$D,AB$1,STATUS!$U:$U,"ВОЗВРАТ")</f>
        <v>0</v>
      </c>
      <c r="AC9" s="582">
        <f>SUM(X9:AB9)</f>
        <v>1</v>
      </c>
      <c r="AD9" s="309">
        <f>COUNTIFS(STATUS!$Q:$Q,$A8,STATUS!$D:$D,AD$1,STATUS!$U:$U,"ВОЗВРАТ")</f>
        <v>0</v>
      </c>
      <c r="AE9" s="309">
        <f>COUNTIFS(STATUS!$Q:$Q,$A8,STATUS!$D:$D,AE$1,STATUS!$U:$U,"ВОЗВРАТ")</f>
        <v>0</v>
      </c>
      <c r="AF9" s="309">
        <f>COUNTIFS(STATUS!$Q:$Q,$A8,STATUS!$D:$D,AF$1,STATUS!$U:$U,"ВОЗВРАТ")</f>
        <v>0</v>
      </c>
      <c r="AG9" s="446">
        <f>COUNTIFS(STATUS!$Q:$Q,$A8,STATUS!$D:$D,AG$1,STATUS!$U:$U,"ВОЗВРАТ")</f>
        <v>0</v>
      </c>
      <c r="AH9" s="446">
        <f>COUNTIFS(STATUS!$Q:$Q,$A8,STATUS!$D:$D,AH$1,STATUS!$U:$U,"ВОЗВРАТ")</f>
        <v>0</v>
      </c>
      <c r="AI9" s="582">
        <f>SUM(AD9:AH9)</f>
        <v>0</v>
      </c>
      <c r="AJ9" s="309">
        <f>COUNTIFS(STATUS!$Q:$Q,$A8,STATUS!$D:$D,AJ$1,STATUS!$U:$U,"ВОЗВРАТ")</f>
        <v>1</v>
      </c>
      <c r="AK9" s="309">
        <f>COUNTIFS(STATUS!$Q:$Q,$A8,STATUS!$D:$D,AK$1,STATUS!$U:$U,"ВОЗВРАТ")</f>
        <v>0</v>
      </c>
      <c r="AL9" s="309">
        <f>COUNTIFS(STATUS!$Q:$Q,$A8,STATUS!$D:$D,AL$1,STATUS!$U:$U,"ВОЗВРАТ")</f>
        <v>0</v>
      </c>
      <c r="AM9" s="446">
        <f>COUNTIFS(STATUS!$Q:$Q,$A8,STATUS!$D:$D,AM$1,STATUS!$U:$U,"ВОЗВРАТ")</f>
        <v>0</v>
      </c>
      <c r="AN9" s="446">
        <f>COUNTIFS(STATUS!$Q:$Q,$A8,STATUS!$D:$D,AN$1,STATUS!$U:$U,"ВОЗВРАТ")</f>
        <v>1</v>
      </c>
      <c r="AO9" s="582">
        <f>SUM(AJ9:AN9)</f>
        <v>2</v>
      </c>
      <c r="AP9" s="309">
        <f>COUNTIFS(STATUS!$Q:$Q,$A8,STATUS!$D:$D,AP$1,STATUS!$U:$U,"ВОЗВРАТ")</f>
        <v>0</v>
      </c>
      <c r="AQ9" s="309">
        <f>COUNTIFS(STATUS!$Q:$Q,$A8,STATUS!$D:$D,AQ$1,STATUS!$U:$U,"ВОЗВРАТ")</f>
        <v>0</v>
      </c>
      <c r="AR9" s="309">
        <f>COUNTIFS(STATUS!$Q:$Q,$A8,STATUS!$D:$D,AR$1,STATUS!$U:$U,"ВОЗВРАТ")</f>
        <v>1</v>
      </c>
      <c r="AS9" s="446">
        <f>COUNTIFS(STATUS!$Q:$Q,$A8,STATUS!$D:$D,AS$1,STATUS!$U:$U,"ВОЗВРАТ")</f>
        <v>0</v>
      </c>
      <c r="AT9" s="446">
        <f>COUNTIFS(STATUS!$Q:$Q,$A8,STATUS!$D:$D,AT$1,STATUS!$U:$U,"ВОЗВРАТ")</f>
        <v>0</v>
      </c>
      <c r="AU9" s="582">
        <f>SUM(AP9:AT9)</f>
        <v>1</v>
      </c>
      <c r="AV9" s="309">
        <f>COUNTIFS(STATUS!$Q:$Q,$A8,STATUS!$D:$D,AV$1,STATUS!$U:$U,"ВОЗВРАТ")</f>
        <v>0</v>
      </c>
      <c r="AW9" s="309">
        <f>COUNTIFS(STATUS!$Q:$Q,$A8,STATUS!$D:$D,AW$1,STATUS!$U:$U,"ВОЗВРАТ")</f>
        <v>2</v>
      </c>
      <c r="AX9" s="309">
        <f>COUNTIFS(STATUS!$Q:$Q,$A8,STATUS!$D:$D,AX$1,STATUS!$U:$U,"ВОЗВРАТ")</f>
        <v>0</v>
      </c>
      <c r="AY9" s="446">
        <f>COUNTIFS(STATUS!$Q:$Q,$A8,STATUS!$D:$D,AY$1,STATUS!$U:$U,"ВОЗВРАТ")</f>
        <v>0</v>
      </c>
      <c r="AZ9" s="446">
        <f>COUNTIFS(STATUS!$Q:$Q,$A8,STATUS!$D:$D,AZ$1,STATUS!$U:$U,"ВОЗВРАТ")</f>
        <v>1</v>
      </c>
      <c r="BA9" s="582">
        <f>SUM(AV9:AZ9)</f>
        <v>3</v>
      </c>
      <c r="BB9" s="309">
        <f>COUNTIFS(STATUS!$Q:$Q,$A8,STATUS!$D:$D,BB$1,STATUS!$U:$U,"ВОЗВРАТ")</f>
        <v>0</v>
      </c>
      <c r="BC9" s="309">
        <f>COUNTIFS(STATUS!$Q:$Q,$A8,STATUS!$D:$D,BC$1,STATUS!$U:$U,"ВОЗВРАТ")</f>
        <v>0</v>
      </c>
      <c r="BD9" s="309">
        <f>COUNTIFS(STATUS!$Q:$Q,$A8,STATUS!$D:$D,BD$1,STATUS!$U:$U,"ВОЗВРАТ")</f>
        <v>0</v>
      </c>
      <c r="BE9" s="446">
        <f>COUNTIFS(STATUS!$Q:$Q,$A8,STATUS!$D:$D,BE$1,STATUS!$U:$U,"ВОЗВРАТ")</f>
        <v>2</v>
      </c>
      <c r="BF9" s="446">
        <f>COUNTIFS(STATUS!$Q:$Q,$A8,STATUS!$D:$D,BF$1,STATUS!$U:$U,"ВОЗВРАТ")</f>
        <v>1</v>
      </c>
      <c r="BG9" s="582">
        <f>SUM(BB9:BF9)</f>
        <v>3</v>
      </c>
    </row>
    <row r="10" spans="1:59" ht="21.5" thickBot="1" x14ac:dyDescent="0.4">
      <c r="A10" s="868"/>
      <c r="B10" s="440">
        <f>B9/B8</f>
        <v>5.3921568627450983E-2</v>
      </c>
      <c r="C10" s="403">
        <f>IFERROR(C9/C8,0)</f>
        <v>0.16666666666666666</v>
      </c>
      <c r="D10" s="403">
        <f t="shared" ref="D10" si="28">IFERROR(D9/D8,0)</f>
        <v>0</v>
      </c>
      <c r="E10" s="403">
        <f t="shared" ref="E10" si="29">IFERROR(E9/E8,0)</f>
        <v>0</v>
      </c>
      <c r="F10" s="403">
        <f t="shared" ref="F10" si="30">IFERROR(F9/F8,0)</f>
        <v>0</v>
      </c>
      <c r="G10" s="447">
        <f t="shared" ref="G10:H10" si="31">IFERROR(G9/G8,0)</f>
        <v>0</v>
      </c>
      <c r="H10" s="583">
        <f t="shared" si="31"/>
        <v>4.5454545454545456E-2</v>
      </c>
      <c r="I10" s="450">
        <f t="shared" ref="I10" si="32">IFERROR(I9/I8,0)</f>
        <v>0.25</v>
      </c>
      <c r="J10" s="403">
        <f t="shared" ref="J10" si="33">IFERROR(J9/J8,0)</f>
        <v>0</v>
      </c>
      <c r="K10" s="403">
        <f t="shared" ref="K10" si="34">IFERROR(K9/K8,0)</f>
        <v>0</v>
      </c>
      <c r="L10" s="403">
        <f t="shared" ref="L10" si="35">IFERROR(L9/L8,0)</f>
        <v>0</v>
      </c>
      <c r="M10" s="447">
        <f t="shared" ref="M10:N10" si="36">IFERROR(M9/M8,0)</f>
        <v>0</v>
      </c>
      <c r="N10" s="583">
        <f t="shared" si="36"/>
        <v>6.25E-2</v>
      </c>
      <c r="O10" s="450">
        <f t="shared" ref="O10" si="37">IFERROR(O9/O8,0)</f>
        <v>0</v>
      </c>
      <c r="P10" s="403">
        <f t="shared" ref="P10" si="38">IFERROR(P9/P8,0)</f>
        <v>0</v>
      </c>
      <c r="Q10" s="403">
        <f t="shared" ref="Q10:S10" si="39">IFERROR(Q9/Q8,0)</f>
        <v>0</v>
      </c>
      <c r="R10" s="583">
        <f t="shared" si="39"/>
        <v>0</v>
      </c>
      <c r="S10" s="403">
        <f t="shared" si="39"/>
        <v>0</v>
      </c>
      <c r="T10" s="403">
        <f>IFERROR(T9/T8,0)</f>
        <v>0.14285714285714285</v>
      </c>
      <c r="U10" s="403">
        <f>IFERROR(U9/U8,0)</f>
        <v>0</v>
      </c>
      <c r="V10" s="447">
        <f t="shared" ref="V10:W10" si="40">IFERROR(V9/V8,0)</f>
        <v>0.33333333333333331</v>
      </c>
      <c r="W10" s="583">
        <f t="shared" si="40"/>
        <v>0.1</v>
      </c>
      <c r="X10" s="403">
        <f>IFERROR(X9/X8,0)</f>
        <v>0.16666666666666666</v>
      </c>
      <c r="Y10" s="403">
        <f>IFERROR(Y9/Y8,0)</f>
        <v>0</v>
      </c>
      <c r="Z10" s="403">
        <f>IFERROR(Z9/Z8,0)</f>
        <v>0</v>
      </c>
      <c r="AA10" s="447">
        <f t="shared" ref="AA10:AB10" si="41">IFERROR(AA9/AA8,0)</f>
        <v>0</v>
      </c>
      <c r="AB10" s="447">
        <f t="shared" si="41"/>
        <v>0</v>
      </c>
      <c r="AC10" s="583">
        <f>IFERROR(AC9/AC8,0)</f>
        <v>3.5714285714285712E-2</v>
      </c>
      <c r="AD10" s="403">
        <f>IFERROR(AD9/AD8,0)</f>
        <v>0</v>
      </c>
      <c r="AE10" s="403">
        <f>IFERROR(AE9/AE8,0)</f>
        <v>0</v>
      </c>
      <c r="AF10" s="403">
        <f>IFERROR(AF9/AF8,0)</f>
        <v>0</v>
      </c>
      <c r="AG10" s="447">
        <f t="shared" ref="AG10:AH10" si="42">IFERROR(AG9/AG8,0)</f>
        <v>0</v>
      </c>
      <c r="AH10" s="447">
        <f t="shared" si="42"/>
        <v>0</v>
      </c>
      <c r="AI10" s="583">
        <f>IFERROR(AI9/AI8,0)</f>
        <v>0</v>
      </c>
      <c r="AJ10" s="403">
        <f>IFERROR(AJ9/AJ8,0)</f>
        <v>4.7619047619047616E-2</v>
      </c>
      <c r="AK10" s="403">
        <f>IFERROR(AK9/AK8,0)</f>
        <v>0</v>
      </c>
      <c r="AL10" s="403">
        <f>IFERROR(AL9/AL8,0)</f>
        <v>0</v>
      </c>
      <c r="AM10" s="447">
        <f t="shared" ref="AM10:AN10" si="43">IFERROR(AM9/AM8,0)</f>
        <v>0</v>
      </c>
      <c r="AN10" s="447">
        <f t="shared" si="43"/>
        <v>0.33333333333333331</v>
      </c>
      <c r="AO10" s="583">
        <f>IFERROR(AO9/AO8,0)</f>
        <v>6.4516129032258063E-2</v>
      </c>
      <c r="AP10" s="403">
        <f>IFERROR(AP9/AP8,0)</f>
        <v>0</v>
      </c>
      <c r="AQ10" s="403">
        <f>IFERROR(AQ9/AQ8,0)</f>
        <v>0</v>
      </c>
      <c r="AR10" s="403">
        <f>IFERROR(AR9/AR8,0)</f>
        <v>0.33333333333333331</v>
      </c>
      <c r="AS10" s="447">
        <f t="shared" ref="AS10:AT10" si="44">IFERROR(AS9/AS8,0)</f>
        <v>0</v>
      </c>
      <c r="AT10" s="447">
        <f t="shared" si="44"/>
        <v>0</v>
      </c>
      <c r="AU10" s="583">
        <f>IFERROR(AU9/AU8,0)</f>
        <v>6.6666666666666666E-2</v>
      </c>
      <c r="AV10" s="403">
        <f>IFERROR(AV9/AV8,0)</f>
        <v>0</v>
      </c>
      <c r="AW10" s="403">
        <f>IFERROR(AW9/AW8,0)</f>
        <v>4.878048780487805E-2</v>
      </c>
      <c r="AX10" s="403">
        <f>IFERROR(AX9/AX8,0)</f>
        <v>0</v>
      </c>
      <c r="AY10" s="447">
        <f t="shared" ref="AY10:AZ10" si="45">IFERROR(AY9/AY8,0)</f>
        <v>0</v>
      </c>
      <c r="AZ10" s="447">
        <f t="shared" si="45"/>
        <v>0.25</v>
      </c>
      <c r="BA10" s="583">
        <f>IFERROR(BA9/BA8,0)</f>
        <v>5.7692307692307696E-2</v>
      </c>
      <c r="BB10" s="403">
        <f>IFERROR(BB9/BB8,0)</f>
        <v>0</v>
      </c>
      <c r="BC10" s="403">
        <f>IFERROR(BC9/BC8,0)</f>
        <v>0</v>
      </c>
      <c r="BD10" s="403">
        <f>IFERROR(BD9/BD8,0)</f>
        <v>0</v>
      </c>
      <c r="BE10" s="447">
        <f t="shared" ref="BE10:BF10" si="46">IFERROR(BE9/BE8,0)</f>
        <v>0</v>
      </c>
      <c r="BF10" s="447">
        <f t="shared" si="46"/>
        <v>0</v>
      </c>
      <c r="BG10" s="583">
        <f>IFERROR(BG9/BG8,0)</f>
        <v>0</v>
      </c>
    </row>
    <row r="11" spans="1:59" ht="15" thickTop="1" x14ac:dyDescent="0.35">
      <c r="A11" s="866" t="s">
        <v>2130</v>
      </c>
      <c r="B11" s="434">
        <f>SUM(H11,N11,R11,W11,AC11,AI11,AO11,AU11,BA11)</f>
        <v>173</v>
      </c>
      <c r="C11" s="412">
        <f>COUNTIFS(STATUS!$Q:$Q,$A11,STATUS!$D:$D,C$1,STATUS!$K:$K,"РЕШ УВ DONE")</f>
        <v>4</v>
      </c>
      <c r="D11" s="412">
        <f>COUNTIFS(STATUS!$Q:$Q,$A11,STATUS!$D:$D,D$1,STATUS!$K:$K,"РЕШ УВ DONE")</f>
        <v>2</v>
      </c>
      <c r="E11" s="412">
        <f>COUNTIFS(STATUS!$Q:$Q,$A11,STATUS!$D:$D,E$1,STATUS!$K:$K,"РЕШ УВ DONE")</f>
        <v>5</v>
      </c>
      <c r="F11" s="412">
        <f>COUNTIFS(STATUS!$Q:$Q,$A11,STATUS!$D:$D,F$1,STATUS!$K:$K,"РЕШ УВ DONE")</f>
        <v>4</v>
      </c>
      <c r="G11" s="445">
        <f>COUNTIFS(STATUS!$Q:$Q,$A11,STATUS!$D:$D,G$1,STATUS!$K:$K,"РЕШ УВ DONE")</f>
        <v>2</v>
      </c>
      <c r="H11" s="582">
        <f>SUM(C11:G11)</f>
        <v>17</v>
      </c>
      <c r="I11" s="449">
        <f>COUNTIFS(STATUS!$Q:$Q,$A11,STATUS!$D:$D,I$1,STATUS!$K:$K,"РЕШ УВ DONE")</f>
        <v>3</v>
      </c>
      <c r="J11" s="412">
        <f>COUNTIFS(STATUS!$Q:$Q,$A11,STATUS!$D:$D,J$1,STATUS!$K:$K,"РЕШ УВ DONE")</f>
        <v>4</v>
      </c>
      <c r="K11" s="412">
        <f>COUNTIFS(STATUS!$Q:$Q,$A11,STATUS!$D:$D,K$1,STATUS!$K:$K,"РЕШ УВ DONE")</f>
        <v>1</v>
      </c>
      <c r="L11" s="412">
        <f>COUNTIFS(STATUS!$Q:$Q,$A11,STATUS!$D:$D,L$1,STATUS!$K:$K,"РЕШ УВ DONE")</f>
        <v>2</v>
      </c>
      <c r="M11" s="445">
        <f>COUNTIFS(STATUS!$Q:$Q,$A11,STATUS!$D:$D,M$1,STATUS!$K:$K,"РЕШ УВ DONE")</f>
        <v>0</v>
      </c>
      <c r="N11" s="582">
        <f>SUM(I11:M11)</f>
        <v>10</v>
      </c>
      <c r="O11" s="449">
        <f>COUNTIFS(STATUS!$Q:$Q,$A11,STATUS!$D:$D,O$1,STATUS!$K:$K,"РЕШ УВ DONE")</f>
        <v>2</v>
      </c>
      <c r="P11" s="412">
        <f>COUNTIFS(STATUS!$Q:$Q,$A11,STATUS!$D:$D,P$1,STATUS!$K:$K,"РЕШ УВ DONE")</f>
        <v>1</v>
      </c>
      <c r="Q11" s="412">
        <f>COUNTIFS(STATUS!$Q:$Q,$A11,STATUS!$D:$D,Q$1,STATUS!$K:$K,"РЕШ УВ DONE")</f>
        <v>2</v>
      </c>
      <c r="R11" s="581">
        <f>SUM(O11:Q11)</f>
        <v>5</v>
      </c>
      <c r="S11" s="412">
        <f>COUNTIFS(STATUS!$Q:$Q,$A11,STATUS!$D:$D,S$1,STATUS!$K:$K,"РЕШ УВ DONE")</f>
        <v>3</v>
      </c>
      <c r="T11" s="412">
        <f>COUNTIFS(STATUS!$Q:$Q,$A11,STATUS!$D:$D,T$1,STATUS!$K:$K,"РЕШ УВ DONE")</f>
        <v>6</v>
      </c>
      <c r="U11" s="412">
        <f>COUNTIFS(STATUS!$Q:$Q,$A11,STATUS!$D:$D,U$1,STATUS!$K:$K,"РЕШ УВ DONE")</f>
        <v>4</v>
      </c>
      <c r="V11" s="445">
        <f>COUNTIFS(STATUS!$Q:$Q,$A11,STATUS!$D:$D,V$1,STATUS!$K:$K,"РЕШ УВ DONE")</f>
        <v>3</v>
      </c>
      <c r="W11" s="581">
        <f>SUM(S11:V11)</f>
        <v>16</v>
      </c>
      <c r="X11" s="412">
        <f>COUNTIFS(STATUS!$Q:$Q,$A11,STATUS!$D:$D,X$1,STATUS!$K:$K,"РЕШ УВ DONE")</f>
        <v>6</v>
      </c>
      <c r="Y11" s="412">
        <f>COUNTIFS(STATUS!$Q:$Q,$A11,STATUS!$D:$D,Y$1,STATUS!$K:$K,"РЕШ УВ DONE")</f>
        <v>5</v>
      </c>
      <c r="Z11" s="412">
        <f>COUNTIFS(STATUS!$Q:$Q,$A11,STATUS!$D:$D,Z$1,STATUS!$K:$K,"РЕШ УВ DONE")</f>
        <v>3</v>
      </c>
      <c r="AA11" s="445">
        <f>COUNTIFS(STATUS!$Q:$Q,$A11,STATUS!$D:$D,AA$1,STATUS!$K:$K,"РЕШ УВ DONE")</f>
        <v>4</v>
      </c>
      <c r="AB11" s="445">
        <f>COUNTIFS(STATUS!$Q:$Q,$A11,STATUS!$D:$D,AB$1,STATUS!$K:$K,"РЕШ УВ DONE")</f>
        <v>4</v>
      </c>
      <c r="AC11" s="581">
        <f>SUM(X11:AB11)</f>
        <v>22</v>
      </c>
      <c r="AD11" s="412">
        <f>COUNTIFS(STATUS!$Q:$Q,$A11,STATUS!$D:$D,AD$1,STATUS!$K:$K,"РЕШ УВ DONE")</f>
        <v>1</v>
      </c>
      <c r="AE11" s="412">
        <f>COUNTIFS(STATUS!$Q:$Q,$A11,STATUS!$D:$D,AE$1,STATUS!$K:$K,"РЕШ УВ DONE")</f>
        <v>5</v>
      </c>
      <c r="AF11" s="412">
        <f>COUNTIFS(STATUS!$Q:$Q,$A11,STATUS!$D:$D,AF$1,STATUS!$K:$K,"РЕШ УВ DONE")</f>
        <v>4</v>
      </c>
      <c r="AG11" s="445">
        <f>COUNTIFS(STATUS!$Q:$Q,$A11,STATUS!$D:$D,AG$1,STATUS!$K:$K,"РЕШ УВ DONE")</f>
        <v>3</v>
      </c>
      <c r="AH11" s="445">
        <f>COUNTIFS(STATUS!$Q:$Q,$A11,STATUS!$D:$D,AH$1,STATUS!$K:$K,"РЕШ УВ DONE")</f>
        <v>0</v>
      </c>
      <c r="AI11" s="581">
        <f>SUM(AD11:AH11)</f>
        <v>13</v>
      </c>
      <c r="AJ11" s="412">
        <f>COUNTIFS(STATUS!$Q:$Q,$A11,STATUS!$D:$D,AJ$1,STATUS!$K:$K,"РЕШ УВ DONE")</f>
        <v>16</v>
      </c>
      <c r="AK11" s="412">
        <f>COUNTIFS(STATUS!$Q:$Q,$A11,STATUS!$D:$D,AK$1,STATUS!$K:$K,"РЕШ УВ DONE")</f>
        <v>4</v>
      </c>
      <c r="AL11" s="412">
        <f>COUNTIFS(STATUS!$Q:$Q,$A11,STATUS!$D:$D,AL$1,STATUS!$K:$K,"РЕШ УВ DONE")</f>
        <v>1</v>
      </c>
      <c r="AM11" s="445">
        <f>COUNTIFS(STATUS!$Q:$Q,$A11,STATUS!$D:$D,AM$1,STATUS!$K:$K,"РЕШ УВ DONE")</f>
        <v>3</v>
      </c>
      <c r="AN11" s="445">
        <f>COUNTIFS(STATUS!$Q:$Q,$A11,STATUS!$D:$D,AN$1,STATUS!$K:$K,"РЕШ УВ DONE")</f>
        <v>2</v>
      </c>
      <c r="AO11" s="581">
        <f>SUM(AJ11:AN11)</f>
        <v>26</v>
      </c>
      <c r="AP11" s="412">
        <f>COUNTIFS(STATUS!$Q:$Q,$A11,STATUS!$D:$D,AP$1,STATUS!$K:$K,"РЕШ УВ DONE")</f>
        <v>5</v>
      </c>
      <c r="AQ11" s="412">
        <f>COUNTIFS(STATUS!$Q:$Q,$A11,STATUS!$D:$D,AQ$1,STATUS!$K:$K,"РЕШ УВ DONE")</f>
        <v>3</v>
      </c>
      <c r="AR11" s="412">
        <f>COUNTIFS(STATUS!$Q:$Q,$A11,STATUS!$D:$D,AR$1,STATUS!$K:$K,"РЕШ УВ DONE")</f>
        <v>3</v>
      </c>
      <c r="AS11" s="445">
        <f>COUNTIFS(STATUS!$Q:$Q,$A11,STATUS!$D:$D,AS$1,STATUS!$K:$K,"РЕШ УВ DONE")</f>
        <v>2</v>
      </c>
      <c r="AT11" s="445">
        <f>COUNTIFS(STATUS!$Q:$Q,$A11,STATUS!$D:$D,AT$1,STATUS!$K:$K,"РЕШ УВ DONE")</f>
        <v>0</v>
      </c>
      <c r="AU11" s="581">
        <f>SUM(AP11:AT11)</f>
        <v>13</v>
      </c>
      <c r="AV11" s="412">
        <f>COUNTIFS(STATUS!$Q:$Q,$A11,STATUS!$D:$D,AV$1,STATUS!$K:$K,"РЕШ УВ DONE")</f>
        <v>3</v>
      </c>
      <c r="AW11" s="412">
        <f>COUNTIFS(STATUS!$Q:$Q,$A11,STATUS!$D:$D,AW$1,STATUS!$K:$K,"РЕШ УВ DONE")</f>
        <v>41</v>
      </c>
      <c r="AX11" s="412">
        <f>COUNTIFS(STATUS!$Q:$Q,$A11,STATUS!$D:$D,AX$1,STATUS!$K:$K,"РЕШ УВ DONE")</f>
        <v>1</v>
      </c>
      <c r="AY11" s="445">
        <f>COUNTIFS(STATUS!$Q:$Q,$A11,STATUS!$D:$D,AY$1,STATUS!$K:$K,"РЕШ УВ DONE")</f>
        <v>2</v>
      </c>
      <c r="AZ11" s="445">
        <f>COUNTIFS(STATUS!$Q:$Q,$A11,STATUS!$D:$D,AZ$1,STATUS!$K:$K,"РЕШ УВ DONE")</f>
        <v>4</v>
      </c>
      <c r="BA11" s="581">
        <f>SUM(AV11:AZ11)</f>
        <v>51</v>
      </c>
      <c r="BB11" s="412">
        <f>COUNTIFS(STATUS!$Q:$Q,$A11,STATUS!$D:$D,BB$1,STATUS!$K:$K,"РЕШ УВ DONE")</f>
        <v>0</v>
      </c>
      <c r="BC11" s="412">
        <f>COUNTIFS(STATUS!$Q:$Q,$A11,STATUS!$D:$D,BC$1,STATUS!$K:$K,"РЕШ УВ DONE")</f>
        <v>0</v>
      </c>
      <c r="BD11" s="412">
        <f>COUNTIFS(STATUS!$Q:$Q,$A11,STATUS!$D:$D,BD$1,STATUS!$K:$K,"РЕШ УВ DONE")</f>
        <v>0</v>
      </c>
      <c r="BE11" s="445">
        <f>COUNTIFS(STATUS!$Q:$Q,$A11,STATUS!$D:$D,BE$1,STATUS!$K:$K,"РЕШ УВ DONE")</f>
        <v>0</v>
      </c>
      <c r="BF11" s="445">
        <f>COUNTIFS(STATUS!$Q:$Q,$A11,STATUS!$D:$D,BF$1,STATUS!$K:$K,"РЕШ УВ DONE")</f>
        <v>0</v>
      </c>
      <c r="BG11" s="581">
        <f>SUM(BB11:BF11)</f>
        <v>0</v>
      </c>
    </row>
    <row r="12" spans="1:59" x14ac:dyDescent="0.35">
      <c r="A12" s="867"/>
      <c r="B12" s="434">
        <f>SUM(H12,N12,R12,W12,AC12,AI12,AO12,AU12,BA12)</f>
        <v>45</v>
      </c>
      <c r="C12" s="309">
        <f>COUNTIFS(STATUS!$Q:$Q,$A11,STATUS!$D:$D,C$1,STATUS!$U:$U,"ВОЗВРАТ")</f>
        <v>0</v>
      </c>
      <c r="D12" s="309">
        <f>COUNTIFS(STATUS!$Q:$Q,$A11,STATUS!$D:$D,D$1,STATUS!$U:$U,"ВОЗВРАТ")</f>
        <v>1</v>
      </c>
      <c r="E12" s="309">
        <f>COUNTIFS(STATUS!$Q:$Q,$A11,STATUS!$D:$D,E$1,STATUS!$U:$U,"ВОЗВРАТ")</f>
        <v>1</v>
      </c>
      <c r="F12" s="309">
        <f>COUNTIFS(STATUS!$Q:$Q,$A11,STATUS!$D:$D,F$1,STATUS!$U:$U,"ВОЗВРАТ")</f>
        <v>3</v>
      </c>
      <c r="G12" s="446">
        <f>COUNTIFS(STATUS!$Q:$Q,$A11,STATUS!$D:$D,G$1,STATUS!$U:$U,"ВОЗВРАТ")</f>
        <v>2</v>
      </c>
      <c r="H12" s="582">
        <f>SUM(C12:G12)</f>
        <v>7</v>
      </c>
      <c r="I12" s="407">
        <f>COUNTIFS(STATUS!$Q:$Q,$A11,STATUS!$D:$D,I$1,STATUS!$U:$U,"ВОЗВРАТ")</f>
        <v>0</v>
      </c>
      <c r="J12" s="309">
        <f>COUNTIFS(STATUS!$Q:$Q,$A11,STATUS!$D:$D,J$1,STATUS!$U:$U,"ВОЗВРАТ")</f>
        <v>0</v>
      </c>
      <c r="K12" s="309">
        <f>COUNTIFS(STATUS!$Q:$Q,$A11,STATUS!$D:$D,K$1,STATUS!$U:$U,"ВОЗВРАТ")</f>
        <v>0</v>
      </c>
      <c r="L12" s="309">
        <f>COUNTIFS(STATUS!$Q:$Q,$A11,STATUS!$D:$D,L$1,STATUS!$U:$U,"ВОЗВРАТ")</f>
        <v>0</v>
      </c>
      <c r="M12" s="446">
        <f>COUNTIFS(STATUS!$Q:$Q,$A11,STATUS!$D:$D,M$1,STATUS!$U:$U,"ВОЗВРАТ")</f>
        <v>0</v>
      </c>
      <c r="N12" s="582">
        <f>SUM(I12:M12)</f>
        <v>0</v>
      </c>
      <c r="O12" s="407">
        <f>COUNTIFS(STATUS!$Q:$Q,$A11,STATUS!$D:$D,O$1,STATUS!$U:$U,"ВОЗВРАТ")</f>
        <v>2</v>
      </c>
      <c r="P12" s="309">
        <f>COUNTIFS(STATUS!$Q:$Q,$A11,STATUS!$D:$D,P$1,STATUS!$U:$U,"ВОЗВРАТ")</f>
        <v>0</v>
      </c>
      <c r="Q12" s="309">
        <f>COUNTIFS(STATUS!$Q:$Q,$A11,STATUS!$D:$D,Q$1,STATUS!$U:$U,"ВОЗВРАТ")</f>
        <v>0</v>
      </c>
      <c r="R12" s="582">
        <f>SUM(O12:Q12)</f>
        <v>2</v>
      </c>
      <c r="S12" s="309">
        <f>COUNTIFS(STATUS!$Q:$Q,$A11,STATUS!$D:$D,S$1,STATUS!$U:$U,"ВОЗВРАТ")</f>
        <v>1</v>
      </c>
      <c r="T12" s="309">
        <f>COUNTIFS(STATUS!$Q:$Q,$A11,STATUS!$D:$D,T$1,STATUS!$U:$U,"ВОЗВРАТ")</f>
        <v>2</v>
      </c>
      <c r="U12" s="309">
        <f>COUNTIFS(STATUS!$Q:$Q,$A11,STATUS!$D:$D,U$1,STATUS!$U:$U,"ВОЗВРАТ")</f>
        <v>0</v>
      </c>
      <c r="V12" s="446">
        <f>COUNTIFS(STATUS!$Q:$Q,$A11,STATUS!$D:$D,V$1,STATUS!$U:$U,"ВОЗВРАТ")</f>
        <v>0</v>
      </c>
      <c r="W12" s="582">
        <f>SUM(S12:V12)</f>
        <v>3</v>
      </c>
      <c r="X12" s="309">
        <f>COUNTIFS(STATUS!$Q:$Q,$A11,STATUS!$D:$D,X$1,STATUS!$U:$U,"ВОЗВРАТ")</f>
        <v>2</v>
      </c>
      <c r="Y12" s="309">
        <f>COUNTIFS(STATUS!$Q:$Q,$A11,STATUS!$D:$D,Y$1,STATUS!$U:$U,"ВОЗВРАТ")</f>
        <v>2</v>
      </c>
      <c r="Z12" s="309">
        <f>COUNTIFS(STATUS!$Q:$Q,$A11,STATUS!$D:$D,Z$1,STATUS!$U:$U,"ВОЗВРАТ")</f>
        <v>1</v>
      </c>
      <c r="AA12" s="446">
        <f>COUNTIFS(STATUS!$Q:$Q,$A11,STATUS!$D:$D,AA$1,STATUS!$U:$U,"ВОЗВРАТ")</f>
        <v>0</v>
      </c>
      <c r="AB12" s="446">
        <f>COUNTIFS(STATUS!$Q:$Q,$A11,STATUS!$D:$D,AB$1,STATUS!$U:$U,"ВОЗВРАТ")</f>
        <v>1</v>
      </c>
      <c r="AC12" s="582">
        <f>SUM(X12:AB12)</f>
        <v>6</v>
      </c>
      <c r="AD12" s="309">
        <f>COUNTIFS(STATUS!$Q:$Q,$A11,STATUS!$D:$D,AD$1,STATUS!$U:$U,"ВОЗВРАТ")</f>
        <v>0</v>
      </c>
      <c r="AE12" s="309">
        <f>COUNTIFS(STATUS!$Q:$Q,$A11,STATUS!$D:$D,AE$1,STATUS!$U:$U,"ВОЗВРАТ")</f>
        <v>4</v>
      </c>
      <c r="AF12" s="309">
        <f>COUNTIFS(STATUS!$Q:$Q,$A11,STATUS!$D:$D,AF$1,STATUS!$U:$U,"ВОЗВРАТ")</f>
        <v>1</v>
      </c>
      <c r="AG12" s="446">
        <f>COUNTIFS(STATUS!$Q:$Q,$A11,STATUS!$D:$D,AG$1,STATUS!$U:$U,"ВОЗВРАТ")</f>
        <v>2</v>
      </c>
      <c r="AH12" s="446">
        <f>COUNTIFS(STATUS!$Q:$Q,$A11,STATUS!$D:$D,AH$1,STATUS!$U:$U,"ВОЗВРАТ")</f>
        <v>0</v>
      </c>
      <c r="AI12" s="582">
        <f>SUM(AD12:AH12)</f>
        <v>7</v>
      </c>
      <c r="AJ12" s="309">
        <f>COUNTIFS(STATUS!$Q:$Q,$A11,STATUS!$D:$D,AJ$1,STATUS!$U:$U,"ВОЗВРАТ")</f>
        <v>8</v>
      </c>
      <c r="AK12" s="309">
        <f>COUNTIFS(STATUS!$Q:$Q,$A11,STATUS!$D:$D,AK$1,STATUS!$U:$U,"ВОЗВРАТ")</f>
        <v>0</v>
      </c>
      <c r="AL12" s="309">
        <f>COUNTIFS(STATUS!$Q:$Q,$A11,STATUS!$D:$D,AL$1,STATUS!$U:$U,"ВОЗВРАТ")</f>
        <v>1</v>
      </c>
      <c r="AM12" s="446">
        <f>COUNTIFS(STATUS!$Q:$Q,$A11,STATUS!$D:$D,AM$1,STATUS!$U:$U,"ВОЗВРАТ")</f>
        <v>0</v>
      </c>
      <c r="AN12" s="446">
        <f>COUNTIFS(STATUS!$Q:$Q,$A11,STATUS!$D:$D,AN$1,STATUS!$U:$U,"ВОЗВРАТ")</f>
        <v>0</v>
      </c>
      <c r="AO12" s="582">
        <f>SUM(AJ12:AN12)</f>
        <v>9</v>
      </c>
      <c r="AP12" s="309">
        <f>COUNTIFS(STATUS!$Q:$Q,$A11,STATUS!$D:$D,AP$1,STATUS!$U:$U,"ВОЗВРАТ")</f>
        <v>0</v>
      </c>
      <c r="AQ12" s="309">
        <f>COUNTIFS(STATUS!$Q:$Q,$A11,STATUS!$D:$D,AQ$1,STATUS!$U:$U,"ВОЗВРАТ")</f>
        <v>0</v>
      </c>
      <c r="AR12" s="309">
        <f>COUNTIFS(STATUS!$Q:$Q,$A11,STATUS!$D:$D,AR$1,STATUS!$U:$U,"ВОЗВРАТ")</f>
        <v>1</v>
      </c>
      <c r="AS12" s="446">
        <f>COUNTIFS(STATUS!$Q:$Q,$A11,STATUS!$D:$D,AS$1,STATUS!$U:$U,"ВОЗВРАТ")</f>
        <v>0</v>
      </c>
      <c r="AT12" s="446">
        <f>COUNTIFS(STATUS!$Q:$Q,$A11,STATUS!$D:$D,AT$1,STATUS!$U:$U,"ВОЗВРАТ")</f>
        <v>0</v>
      </c>
      <c r="AU12" s="582">
        <f>SUM(AP12:AT12)</f>
        <v>1</v>
      </c>
      <c r="AV12" s="309">
        <f>COUNTIFS(STATUS!$Q:$Q,$A11,STATUS!$D:$D,AV$1,STATUS!$U:$U,"ВОЗВРАТ")</f>
        <v>1</v>
      </c>
      <c r="AW12" s="309">
        <f>COUNTIFS(STATUS!$Q:$Q,$A11,STATUS!$D:$D,AW$1,STATUS!$U:$U,"ВОЗВРАТ")</f>
        <v>9</v>
      </c>
      <c r="AX12" s="309">
        <f>COUNTIFS(STATUS!$Q:$Q,$A11,STATUS!$D:$D,AX$1,STATUS!$U:$U,"ВОЗВРАТ")</f>
        <v>0</v>
      </c>
      <c r="AY12" s="446">
        <f>COUNTIFS(STATUS!$Q:$Q,$A11,STATUS!$D:$D,AY$1,STATUS!$U:$U,"ВОЗВРАТ")</f>
        <v>0</v>
      </c>
      <c r="AZ12" s="446">
        <f>COUNTIFS(STATUS!$Q:$Q,$A11,STATUS!$D:$D,AZ$1,STATUS!$U:$U,"ВОЗВРАТ")</f>
        <v>0</v>
      </c>
      <c r="BA12" s="582">
        <f>SUM(AV12:AZ12)</f>
        <v>10</v>
      </c>
      <c r="BB12" s="309">
        <f>COUNTIFS(STATUS!$Q:$Q,$A11,STATUS!$D:$D,BB$1,STATUS!$U:$U,"ВОЗВРАТ")</f>
        <v>0</v>
      </c>
      <c r="BC12" s="309">
        <f>COUNTIFS(STATUS!$Q:$Q,$A11,STATUS!$D:$D,BC$1,STATUS!$U:$U,"ВОЗВРАТ")</f>
        <v>2</v>
      </c>
      <c r="BD12" s="309">
        <f>COUNTIFS(STATUS!$Q:$Q,$A11,STATUS!$D:$D,BD$1,STATUS!$U:$U,"ВОЗВРАТ")</f>
        <v>0</v>
      </c>
      <c r="BE12" s="446">
        <f>COUNTIFS(STATUS!$Q:$Q,$A11,STATUS!$D:$D,BE$1,STATUS!$U:$U,"ВОЗВРАТ")</f>
        <v>3</v>
      </c>
      <c r="BF12" s="446">
        <f>COUNTIFS(STATUS!$Q:$Q,$A11,STATUS!$D:$D,BF$1,STATUS!$U:$U,"ВОЗВРАТ")</f>
        <v>2</v>
      </c>
      <c r="BG12" s="582">
        <f>SUM(BB12:BF12)</f>
        <v>7</v>
      </c>
    </row>
    <row r="13" spans="1:59" ht="21.5" thickBot="1" x14ac:dyDescent="0.4">
      <c r="A13" s="868"/>
      <c r="B13" s="440">
        <f>B12/B11</f>
        <v>0.26011560693641617</v>
      </c>
      <c r="C13" s="403">
        <f>IFERROR(C12/C11,0)</f>
        <v>0</v>
      </c>
      <c r="D13" s="403">
        <f t="shared" ref="D13" si="47">IFERROR(D12/D11,0)</f>
        <v>0.5</v>
      </c>
      <c r="E13" s="403">
        <f t="shared" ref="E13" si="48">IFERROR(E12/E11,0)</f>
        <v>0.2</v>
      </c>
      <c r="F13" s="403">
        <f t="shared" ref="F13" si="49">IFERROR(F12/F11,0)</f>
        <v>0.75</v>
      </c>
      <c r="G13" s="447">
        <f t="shared" ref="G13:H13" si="50">IFERROR(G12/G11,0)</f>
        <v>1</v>
      </c>
      <c r="H13" s="583">
        <f t="shared" si="50"/>
        <v>0.41176470588235292</v>
      </c>
      <c r="I13" s="450">
        <f t="shared" ref="I13" si="51">IFERROR(I12/I11,0)</f>
        <v>0</v>
      </c>
      <c r="J13" s="403">
        <f t="shared" ref="J13" si="52">IFERROR(J12/J11,0)</f>
        <v>0</v>
      </c>
      <c r="K13" s="403">
        <f t="shared" ref="K13" si="53">IFERROR(K12/K11,0)</f>
        <v>0</v>
      </c>
      <c r="L13" s="403">
        <f t="shared" ref="L13" si="54">IFERROR(L12/L11,0)</f>
        <v>0</v>
      </c>
      <c r="M13" s="447">
        <f t="shared" ref="M13:N13" si="55">IFERROR(M12/M11,0)</f>
        <v>0</v>
      </c>
      <c r="N13" s="583">
        <f t="shared" si="55"/>
        <v>0</v>
      </c>
      <c r="O13" s="450">
        <f t="shared" ref="O13" si="56">IFERROR(O12/O11,0)</f>
        <v>1</v>
      </c>
      <c r="P13" s="403">
        <f t="shared" ref="P13" si="57">IFERROR(P12/P11,0)</f>
        <v>0</v>
      </c>
      <c r="Q13" s="403">
        <f t="shared" ref="Q13:S13" si="58">IFERROR(Q12/Q11,0)</f>
        <v>0</v>
      </c>
      <c r="R13" s="583">
        <f t="shared" si="58"/>
        <v>0.4</v>
      </c>
      <c r="S13" s="403">
        <f t="shared" si="58"/>
        <v>0.33333333333333331</v>
      </c>
      <c r="T13" s="403">
        <f>IFERROR(T12/T11,0)</f>
        <v>0.33333333333333331</v>
      </c>
      <c r="U13" s="403">
        <f>IFERROR(U12/U11,0)</f>
        <v>0</v>
      </c>
      <c r="V13" s="447">
        <f t="shared" ref="V13:W13" si="59">IFERROR(V12/V11,0)</f>
        <v>0</v>
      </c>
      <c r="W13" s="583">
        <f t="shared" si="59"/>
        <v>0.1875</v>
      </c>
      <c r="X13" s="403">
        <f>IFERROR(X12/X11,0)</f>
        <v>0.33333333333333331</v>
      </c>
      <c r="Y13" s="403">
        <f>IFERROR(Y12/Y11,0)</f>
        <v>0.4</v>
      </c>
      <c r="Z13" s="403">
        <f>IFERROR(Z12/Z11,0)</f>
        <v>0.33333333333333331</v>
      </c>
      <c r="AA13" s="447">
        <f t="shared" ref="AA13:AB13" si="60">IFERROR(AA12/AA11,0)</f>
        <v>0</v>
      </c>
      <c r="AB13" s="447">
        <f t="shared" si="60"/>
        <v>0.25</v>
      </c>
      <c r="AC13" s="583">
        <f>IFERROR(AC12/AC11,0)</f>
        <v>0.27272727272727271</v>
      </c>
      <c r="AD13" s="403">
        <f>IFERROR(AD12/AD11,0)</f>
        <v>0</v>
      </c>
      <c r="AE13" s="403">
        <f>IFERROR(AE12/AE11,0)</f>
        <v>0.8</v>
      </c>
      <c r="AF13" s="403">
        <f>IFERROR(AF12/AF11,0)</f>
        <v>0.25</v>
      </c>
      <c r="AG13" s="447">
        <f t="shared" ref="AG13:AH13" si="61">IFERROR(AG12/AG11,0)</f>
        <v>0.66666666666666663</v>
      </c>
      <c r="AH13" s="447">
        <f t="shared" si="61"/>
        <v>0</v>
      </c>
      <c r="AI13" s="583">
        <f>IFERROR(AI12/AI11,0)</f>
        <v>0.53846153846153844</v>
      </c>
      <c r="AJ13" s="403">
        <f>IFERROR(AJ12/AJ11,0)</f>
        <v>0.5</v>
      </c>
      <c r="AK13" s="403">
        <f>IFERROR(AK12/AK11,0)</f>
        <v>0</v>
      </c>
      <c r="AL13" s="403">
        <f>IFERROR(AL12/AL11,0)</f>
        <v>1</v>
      </c>
      <c r="AM13" s="447">
        <f t="shared" ref="AM13:AN13" si="62">IFERROR(AM12/AM11,0)</f>
        <v>0</v>
      </c>
      <c r="AN13" s="447">
        <f t="shared" si="62"/>
        <v>0</v>
      </c>
      <c r="AO13" s="583">
        <f>IFERROR(AO12/AO11,0)</f>
        <v>0.34615384615384615</v>
      </c>
      <c r="AP13" s="403">
        <f>IFERROR(AP12/AP11,0)</f>
        <v>0</v>
      </c>
      <c r="AQ13" s="403">
        <f>IFERROR(AQ12/AQ11,0)</f>
        <v>0</v>
      </c>
      <c r="AR13" s="403">
        <f>IFERROR(AR12/AR11,0)</f>
        <v>0.33333333333333331</v>
      </c>
      <c r="AS13" s="447">
        <f t="shared" ref="AS13:AT13" si="63">IFERROR(AS12/AS11,0)</f>
        <v>0</v>
      </c>
      <c r="AT13" s="447">
        <f t="shared" si="63"/>
        <v>0</v>
      </c>
      <c r="AU13" s="583">
        <f>IFERROR(AU12/AU11,0)</f>
        <v>7.6923076923076927E-2</v>
      </c>
      <c r="AV13" s="403">
        <f>IFERROR(AV12/AV11,0)</f>
        <v>0.33333333333333331</v>
      </c>
      <c r="AW13" s="403">
        <f>IFERROR(AW12/AW11,0)</f>
        <v>0.21951219512195122</v>
      </c>
      <c r="AX13" s="403">
        <f>IFERROR(AX12/AX11,0)</f>
        <v>0</v>
      </c>
      <c r="AY13" s="447">
        <f t="shared" ref="AY13:AZ13" si="64">IFERROR(AY12/AY11,0)</f>
        <v>0</v>
      </c>
      <c r="AZ13" s="447">
        <f t="shared" si="64"/>
        <v>0</v>
      </c>
      <c r="BA13" s="583">
        <f>IFERROR(BA12/BA11,0)</f>
        <v>0.19607843137254902</v>
      </c>
      <c r="BB13" s="403">
        <f>IFERROR(BB12/BB11,0)</f>
        <v>0</v>
      </c>
      <c r="BC13" s="403">
        <f>IFERROR(BC12/BC11,0)</f>
        <v>0</v>
      </c>
      <c r="BD13" s="403">
        <f>IFERROR(BD12/BD11,0)</f>
        <v>0</v>
      </c>
      <c r="BE13" s="447">
        <f t="shared" ref="BE13:BF13" si="65">IFERROR(BE12/BE11,0)</f>
        <v>0</v>
      </c>
      <c r="BF13" s="447">
        <f t="shared" si="65"/>
        <v>0</v>
      </c>
      <c r="BG13" s="583">
        <f>IFERROR(BG12/BG11,0)</f>
        <v>0</v>
      </c>
    </row>
    <row r="14" spans="1:59" ht="15" thickTop="1" x14ac:dyDescent="0.35">
      <c r="A14" s="872" t="s">
        <v>2447</v>
      </c>
      <c r="B14" s="434">
        <f>SUM(H14,N14,R14,W14,AC14,AI14,AO14,AU14,BA14)</f>
        <v>165</v>
      </c>
      <c r="C14" s="584">
        <f>COUNTIFS(STATUS!$Q:$Q,$A14,STATUS!$D:$D,C$1,STATUS!$K:$K,"РЕШ УВ DONE")</f>
        <v>0</v>
      </c>
      <c r="D14" s="584">
        <f>COUNTIFS(STATUS!$Q:$Q,$A14,STATUS!$D:$D,D$1,STATUS!$K:$K,"РЕШ УВ DONE")</f>
        <v>0</v>
      </c>
      <c r="E14" s="584">
        <f>COUNTIFS(STATUS!$Q:$Q,$A14,STATUS!$D:$D,E$1,STATUS!$K:$K,"РЕШ УВ DONE")</f>
        <v>0</v>
      </c>
      <c r="F14" s="584">
        <f>COUNTIFS(STATUS!$Q:$Q,$A14,STATUS!$D:$D,F$1,STATUS!$K:$K,"РЕШ УВ DONE")</f>
        <v>0</v>
      </c>
      <c r="G14" s="585">
        <f>COUNTIFS(STATUS!$Q:$Q,$A14,STATUS!$D:$D,G$1,STATUS!$K:$K,"РЕШ УВ DONE")</f>
        <v>0</v>
      </c>
      <c r="H14" s="586">
        <f>SUM(C14:G14)</f>
        <v>0</v>
      </c>
      <c r="I14" s="449">
        <f>COUNTIFS(STATUS!$Q:$Q,$A14,STATUS!$D:$D,I$1,STATUS!$K:$K,"РЕШ УВ DONE")</f>
        <v>7</v>
      </c>
      <c r="J14" s="412">
        <f>COUNTIFS(STATUS!$Q:$Q,$A14,STATUS!$D:$D,J$1,STATUS!$K:$K,"РЕШ УВ DONE")</f>
        <v>2</v>
      </c>
      <c r="K14" s="412">
        <f>COUNTIFS(STATUS!$Q:$Q,$A14,STATUS!$D:$D,K$1,STATUS!$K:$K,"РЕШ УВ DONE")</f>
        <v>4</v>
      </c>
      <c r="L14" s="412">
        <f>COUNTIFS(STATUS!$Q:$Q,$A14,STATUS!$D:$D,L$1,STATUS!$K:$K,"РЕШ УВ DONE")</f>
        <v>2</v>
      </c>
      <c r="M14" s="445">
        <f>COUNTIFS(STATUS!$Q:$Q,$A14,STATUS!$D:$D,M$1,STATUS!$K:$K,"РЕШ УВ DONE")</f>
        <v>0</v>
      </c>
      <c r="N14" s="582">
        <f>SUM(I14:M14)</f>
        <v>15</v>
      </c>
      <c r="O14" s="449">
        <f>COUNTIFS(STATUS!$Q:$Q,$A14,STATUS!$D:$D,O$1,STATUS!$K:$K,"РЕШ УВ DONE")</f>
        <v>1</v>
      </c>
      <c r="P14" s="412">
        <f>COUNTIFS(STATUS!$Q:$Q,$A14,STATUS!$D:$D,P$1,STATUS!$K:$K,"РЕШ УВ DONE")</f>
        <v>2</v>
      </c>
      <c r="Q14" s="412">
        <f>COUNTIFS(STATUS!$Q:$Q,$A14,STATUS!$D:$D,Q$1,STATUS!$K:$K,"РЕШ УВ DONE")</f>
        <v>1</v>
      </c>
      <c r="R14" s="581">
        <f>SUM(O14:Q14)</f>
        <v>4</v>
      </c>
      <c r="S14" s="412">
        <f>COUNTIFS(STATUS!$Q:$Q,$A14,STATUS!$D:$D,S$1,STATUS!$K:$K,"РЕШ УВ DONE")</f>
        <v>5</v>
      </c>
      <c r="T14" s="412">
        <f>COUNTIFS(STATUS!$Q:$Q,$A14,STATUS!$D:$D,T$1,STATUS!$K:$K,"РЕШ УВ DONE")</f>
        <v>5</v>
      </c>
      <c r="U14" s="412">
        <f>COUNTIFS(STATUS!$Q:$Q,$A14,STATUS!$D:$D,U$1,STATUS!$K:$K,"РЕШ УВ DONE")</f>
        <v>2</v>
      </c>
      <c r="V14" s="445">
        <f>COUNTIFS(STATUS!$Q:$Q,$A14,STATUS!$D:$D,V$1,STATUS!$K:$K,"РЕШ УВ DONE")</f>
        <v>3</v>
      </c>
      <c r="W14" s="581">
        <f>SUM(S14:V14)</f>
        <v>15</v>
      </c>
      <c r="X14" s="412">
        <f>COUNTIFS(STATUS!$Q:$Q,$A14,STATUS!$D:$D,X$1,STATUS!$K:$K,"РЕШ УВ DONE")</f>
        <v>5</v>
      </c>
      <c r="Y14" s="412">
        <f>COUNTIFS(STATUS!$Q:$Q,$A14,STATUS!$D:$D,Y$1,STATUS!$K:$K,"РЕШ УВ DONE")</f>
        <v>4</v>
      </c>
      <c r="Z14" s="412">
        <f>COUNTIFS(STATUS!$Q:$Q,$A14,STATUS!$D:$D,Z$1,STATUS!$K:$K,"РЕШ УВ DONE")</f>
        <v>4</v>
      </c>
      <c r="AA14" s="445">
        <f>COUNTIFS(STATUS!$Q:$Q,$A14,STATUS!$D:$D,AA$1,STATUS!$K:$K,"РЕШ УВ DONE")</f>
        <v>2</v>
      </c>
      <c r="AB14" s="445">
        <f>COUNTIFS(STATUS!$Q:$Q,$A14,STATUS!$D:$D,AB$1,STATUS!$K:$K,"РЕШ УВ DONE")</f>
        <v>3</v>
      </c>
      <c r="AC14" s="581">
        <f>SUM(X14:AB14)</f>
        <v>18</v>
      </c>
      <c r="AD14" s="412">
        <f>COUNTIFS(STATUS!$Q:$Q,$A14,STATUS!$D:$D,AD$1,STATUS!$K:$K,"РЕШ УВ DONE")</f>
        <v>6</v>
      </c>
      <c r="AE14" s="412">
        <f>COUNTIFS(STATUS!$Q:$Q,$A14,STATUS!$D:$D,AE$1,STATUS!$K:$K,"РЕШ УВ DONE")</f>
        <v>2</v>
      </c>
      <c r="AF14" s="412">
        <f>COUNTIFS(STATUS!$Q:$Q,$A14,STATUS!$D:$D,AF$1,STATUS!$K:$K,"РЕШ УВ DONE")</f>
        <v>0</v>
      </c>
      <c r="AG14" s="445">
        <f>COUNTIFS(STATUS!$Q:$Q,$A14,STATUS!$D:$D,AG$1,STATUS!$K:$K,"РЕШ УВ DONE")</f>
        <v>0</v>
      </c>
      <c r="AH14" s="445">
        <f>COUNTIFS(STATUS!$Q:$Q,$A14,STATUS!$D:$D,AH$1,STATUS!$K:$K,"РЕШ УВ DONE")</f>
        <v>0</v>
      </c>
      <c r="AI14" s="581">
        <f>SUM(AD14:AH14)</f>
        <v>8</v>
      </c>
      <c r="AJ14" s="412">
        <f>COUNTIFS(STATUS!$Q:$Q,$A14,STATUS!$D:$D,AJ$1,STATUS!$K:$K,"РЕШ УВ DONE")</f>
        <v>15</v>
      </c>
      <c r="AK14" s="412">
        <f>COUNTIFS(STATUS!$Q:$Q,$A14,STATUS!$D:$D,AK$1,STATUS!$K:$K,"РЕШ УВ DONE")</f>
        <v>3</v>
      </c>
      <c r="AL14" s="412">
        <f>COUNTIFS(STATUS!$Q:$Q,$A14,STATUS!$D:$D,AL$1,STATUS!$K:$K,"РЕШ УВ DONE")</f>
        <v>2</v>
      </c>
      <c r="AM14" s="445">
        <f>COUNTIFS(STATUS!$Q:$Q,$A14,STATUS!$D:$D,AM$1,STATUS!$K:$K,"РЕШ УВ DONE")</f>
        <v>5</v>
      </c>
      <c r="AN14" s="445">
        <f>COUNTIFS(STATUS!$Q:$Q,$A14,STATUS!$D:$D,AN$1,STATUS!$K:$K,"РЕШ УВ DONE")</f>
        <v>3</v>
      </c>
      <c r="AO14" s="581">
        <f>SUM(AJ14:AN14)</f>
        <v>28</v>
      </c>
      <c r="AP14" s="412">
        <f>COUNTIFS(STATUS!$Q:$Q,$A14,STATUS!$D:$D,AP$1,STATUS!$K:$K,"РЕШ УВ DONE")</f>
        <v>5</v>
      </c>
      <c r="AQ14" s="412">
        <f>COUNTIFS(STATUS!$Q:$Q,$A14,STATUS!$D:$D,AQ$1,STATUS!$K:$K,"РЕШ УВ DONE")</f>
        <v>2</v>
      </c>
      <c r="AR14" s="412">
        <f>COUNTIFS(STATUS!$Q:$Q,$A14,STATUS!$D:$D,AR$1,STATUS!$K:$K,"РЕШ УВ DONE")</f>
        <v>4</v>
      </c>
      <c r="AS14" s="445">
        <f>COUNTIFS(STATUS!$Q:$Q,$A14,STATUS!$D:$D,AS$1,STATUS!$K:$K,"РЕШ УВ DONE")</f>
        <v>3</v>
      </c>
      <c r="AT14" s="445">
        <f>COUNTIFS(STATUS!$Q:$Q,$A14,STATUS!$D:$D,AT$1,STATUS!$K:$K,"РЕШ УВ DONE")</f>
        <v>0</v>
      </c>
      <c r="AU14" s="581">
        <f>SUM(AP14:AT14)</f>
        <v>14</v>
      </c>
      <c r="AV14" s="412">
        <f>COUNTIFS(STATUS!$Q:$Q,$A14,STATUS!$D:$D,AV$1,STATUS!$K:$K,"РЕШ УВ DONE")</f>
        <v>3</v>
      </c>
      <c r="AW14" s="412">
        <f>COUNTIFS(STATUS!$Q:$Q,$A14,STATUS!$D:$D,AW$1,STATUS!$K:$K,"РЕШ УВ DONE")</f>
        <v>49</v>
      </c>
      <c r="AX14" s="412">
        <f>COUNTIFS(STATUS!$Q:$Q,$A14,STATUS!$D:$D,AX$1,STATUS!$K:$K,"РЕШ УВ DONE")</f>
        <v>4</v>
      </c>
      <c r="AY14" s="445">
        <f>COUNTIFS(STATUS!$Q:$Q,$A14,STATUS!$D:$D,AY$1,STATUS!$K:$K,"РЕШ УВ DONE")</f>
        <v>4</v>
      </c>
      <c r="AZ14" s="445">
        <f>COUNTIFS(STATUS!$Q:$Q,$A14,STATUS!$D:$D,AZ$1,STATUS!$K:$K,"РЕШ УВ DONE")</f>
        <v>3</v>
      </c>
      <c r="BA14" s="581">
        <f>SUM(AV14:AZ14)</f>
        <v>63</v>
      </c>
      <c r="BB14" s="412">
        <f>COUNTIFS(STATUS!$Q:$Q,$A14,STATUS!$D:$D,BB$1,STATUS!$K:$K,"РЕШ УВ DONE")</f>
        <v>0</v>
      </c>
      <c r="BC14" s="412">
        <f>COUNTIFS(STATUS!$Q:$Q,$A14,STATUS!$D:$D,BC$1,STATUS!$K:$K,"РЕШ УВ DONE")</f>
        <v>0</v>
      </c>
      <c r="BD14" s="412">
        <f>COUNTIFS(STATUS!$Q:$Q,$A14,STATUS!$D:$D,BD$1,STATUS!$K:$K,"РЕШ УВ DONE")</f>
        <v>0</v>
      </c>
      <c r="BE14" s="445">
        <f>COUNTIFS(STATUS!$Q:$Q,$A14,STATUS!$D:$D,BE$1,STATUS!$K:$K,"РЕШ УВ DONE")</f>
        <v>0</v>
      </c>
      <c r="BF14" s="445">
        <f>COUNTIFS(STATUS!$Q:$Q,$A14,STATUS!$D:$D,BF$1,STATUS!$K:$K,"РЕШ УВ DONE")</f>
        <v>0</v>
      </c>
      <c r="BG14" s="581">
        <f>SUM(BB14:BF14)</f>
        <v>0</v>
      </c>
    </row>
    <row r="15" spans="1:59" x14ac:dyDescent="0.35">
      <c r="A15" s="873"/>
      <c r="B15" s="434">
        <f>SUM(H15,N15,R15,W15,AC15,AI15,AO15,AU15,BA15)</f>
        <v>16</v>
      </c>
      <c r="C15" s="587">
        <f>COUNTIFS(STATUS!$Q:$Q,$A14,STATUS!$D:$D,C$1,STATUS!$U:$U,"ВОЗВРАТ")</f>
        <v>0</v>
      </c>
      <c r="D15" s="587">
        <f>COUNTIFS(STATUS!$Q:$Q,$A14,STATUS!$D:$D,D$1,STATUS!$U:$U,"ВОЗВРАТ")</f>
        <v>0</v>
      </c>
      <c r="E15" s="587">
        <f>COUNTIFS(STATUS!$Q:$Q,$A14,STATUS!$D:$D,E$1,STATUS!$U:$U,"ВОЗВРАТ")</f>
        <v>0</v>
      </c>
      <c r="F15" s="587">
        <f>COUNTIFS(STATUS!$Q:$Q,$A14,STATUS!$D:$D,F$1,STATUS!$U:$U,"ВОЗВРАТ")</f>
        <v>0</v>
      </c>
      <c r="G15" s="588">
        <f>COUNTIFS(STATUS!$Q:$Q,$A14,STATUS!$D:$D,G$1,STATUS!$U:$U,"ВОЗВРАТ")</f>
        <v>0</v>
      </c>
      <c r="H15" s="586">
        <f>SUM(C15:G15)</f>
        <v>0</v>
      </c>
      <c r="I15" s="407">
        <f>COUNTIFS(STATUS!$Q:$Q,$A14,STATUS!$D:$D,I$1,STATUS!$U:$U,"ВОЗВРАТ")</f>
        <v>0</v>
      </c>
      <c r="J15" s="309">
        <f>COUNTIFS(STATUS!$Q:$Q,$A14,STATUS!$D:$D,J$1,STATUS!$U:$U,"ВОЗВРАТ")</f>
        <v>2</v>
      </c>
      <c r="K15" s="309">
        <f>COUNTIFS(STATUS!$Q:$Q,$A14,STATUS!$D:$D,K$1,STATUS!$U:$U,"ВОЗВРАТ")</f>
        <v>1</v>
      </c>
      <c r="L15" s="309">
        <f>COUNTIFS(STATUS!$Q:$Q,$A14,STATUS!$D:$D,L$1,STATUS!$U:$U,"ВОЗВРАТ")</f>
        <v>1</v>
      </c>
      <c r="M15" s="446">
        <f>COUNTIFS(STATUS!$Q:$Q,$A14,STATUS!$D:$D,M$1,STATUS!$U:$U,"ВОЗВРАТ")</f>
        <v>0</v>
      </c>
      <c r="N15" s="582">
        <f>SUM(I15:M15)</f>
        <v>4</v>
      </c>
      <c r="O15" s="407">
        <f>COUNTIFS(STATUS!$Q:$Q,$A14,STATUS!$D:$D,O$1,STATUS!$U:$U,"ВОЗВРАТ")</f>
        <v>0</v>
      </c>
      <c r="P15" s="309">
        <f>COUNTIFS(STATUS!$Q:$Q,$A14,STATUS!$D:$D,P$1,STATUS!$U:$U,"ВОЗВРАТ")</f>
        <v>0</v>
      </c>
      <c r="Q15" s="309">
        <f>COUNTIFS(STATUS!$Q:$Q,$A14,STATUS!$D:$D,Q$1,STATUS!$U:$U,"ВОЗВРАТ")</f>
        <v>0</v>
      </c>
      <c r="R15" s="582">
        <f>SUM(O15:Q15)</f>
        <v>0</v>
      </c>
      <c r="S15" s="309">
        <f>COUNTIFS(STATUS!$Q:$Q,$A14,STATUS!$D:$D,S$1,STATUS!$U:$U,"ВОЗВРАТ")</f>
        <v>0</v>
      </c>
      <c r="T15" s="309">
        <f>COUNTIFS(STATUS!$Q:$Q,$A14,STATUS!$D:$D,T$1,STATUS!$U:$U,"ВОЗВРАТ")</f>
        <v>1</v>
      </c>
      <c r="U15" s="309">
        <f>COUNTIFS(STATUS!$Q:$Q,$A14,STATUS!$D:$D,U$1,STATUS!$U:$U,"ВОЗВРАТ")</f>
        <v>0</v>
      </c>
      <c r="V15" s="446">
        <f>COUNTIFS(STATUS!$Q:$Q,$A14,STATUS!$D:$D,V$1,STATUS!$U:$U,"ВОЗВРАТ")</f>
        <v>0</v>
      </c>
      <c r="W15" s="582">
        <f>SUM(S15:V15)</f>
        <v>1</v>
      </c>
      <c r="X15" s="309">
        <f>COUNTIFS(STATUS!$Q:$Q,$A14,STATUS!$D:$D,X$1,STATUS!$U:$U,"ВОЗВРАТ")</f>
        <v>0</v>
      </c>
      <c r="Y15" s="309">
        <f>COUNTIFS(STATUS!$Q:$Q,$A14,STATUS!$D:$D,Y$1,STATUS!$U:$U,"ВОЗВРАТ")</f>
        <v>0</v>
      </c>
      <c r="Z15" s="309">
        <f>COUNTIFS(STATUS!$Q:$Q,$A14,STATUS!$D:$D,Z$1,STATUS!$U:$U,"ВОЗВРАТ")</f>
        <v>0</v>
      </c>
      <c r="AA15" s="446">
        <f>COUNTIFS(STATUS!$Q:$Q,$A14,STATUS!$D:$D,AA$1,STATUS!$U:$U,"ВОЗВРАТ")</f>
        <v>0</v>
      </c>
      <c r="AB15" s="446">
        <f>COUNTIFS(STATUS!$Q:$Q,$A14,STATUS!$D:$D,AB$1,STATUS!$U:$U,"ВОЗВРАТ")</f>
        <v>0</v>
      </c>
      <c r="AC15" s="582">
        <f>SUM(X15:AB15)</f>
        <v>0</v>
      </c>
      <c r="AD15" s="309">
        <f>COUNTIFS(STATUS!$Q:$Q,$A14,STATUS!$D:$D,AD$1,STATUS!$U:$U,"ВОЗВРАТ")</f>
        <v>1</v>
      </c>
      <c r="AE15" s="309">
        <f>COUNTIFS(STATUS!$Q:$Q,$A14,STATUS!$D:$D,AE$1,STATUS!$U:$U,"ВОЗВРАТ")</f>
        <v>1</v>
      </c>
      <c r="AF15" s="309">
        <f>COUNTIFS(STATUS!$Q:$Q,$A14,STATUS!$D:$D,AF$1,STATUS!$U:$U,"ВОЗВРАТ")</f>
        <v>0</v>
      </c>
      <c r="AG15" s="446">
        <f>COUNTIFS(STATUS!$Q:$Q,$A14,STATUS!$D:$D,AG$1,STATUS!$U:$U,"ВОЗВРАТ")</f>
        <v>0</v>
      </c>
      <c r="AH15" s="446">
        <f>COUNTIFS(STATUS!$Q:$Q,$A14,STATUS!$D:$D,AH$1,STATUS!$U:$U,"ВОЗВРАТ")</f>
        <v>0</v>
      </c>
      <c r="AI15" s="582">
        <f>SUM(AD15:AH15)</f>
        <v>2</v>
      </c>
      <c r="AJ15" s="309">
        <f>COUNTIFS(STATUS!$Q:$Q,$A14,STATUS!$D:$D,AJ$1,STATUS!$U:$U,"ВОЗВРАТ")</f>
        <v>1</v>
      </c>
      <c r="AK15" s="309">
        <f>COUNTIFS(STATUS!$Q:$Q,$A14,STATUS!$D:$D,AK$1,STATUS!$U:$U,"ВОЗВРАТ")</f>
        <v>0</v>
      </c>
      <c r="AL15" s="309">
        <f>COUNTIFS(STATUS!$Q:$Q,$A14,STATUS!$D:$D,AL$1,STATUS!$U:$U,"ВОЗВРАТ")</f>
        <v>1</v>
      </c>
      <c r="AM15" s="446">
        <f>COUNTIFS(STATUS!$Q:$Q,$A14,STATUS!$D:$D,AM$1,STATUS!$U:$U,"ВОЗВРАТ")</f>
        <v>1</v>
      </c>
      <c r="AN15" s="446">
        <f>COUNTIFS(STATUS!$Q:$Q,$A14,STATUS!$D:$D,AN$1,STATUS!$U:$U,"ВОЗВРАТ")</f>
        <v>0</v>
      </c>
      <c r="AO15" s="582">
        <f>SUM(AJ15:AN15)</f>
        <v>3</v>
      </c>
      <c r="AP15" s="309">
        <f>COUNTIFS(STATUS!$Q:$Q,$A14,STATUS!$D:$D,AP$1,STATUS!$U:$U,"ВОЗВРАТ")</f>
        <v>0</v>
      </c>
      <c r="AQ15" s="309">
        <f>COUNTIFS(STATUS!$Q:$Q,$A14,STATUS!$D:$D,AQ$1,STATUS!$U:$U,"ВОЗВРАТ")</f>
        <v>0</v>
      </c>
      <c r="AR15" s="309">
        <f>COUNTIFS(STATUS!$Q:$Q,$A14,STATUS!$D:$D,AR$1,STATUS!$U:$U,"ВОЗВРАТ")</f>
        <v>2</v>
      </c>
      <c r="AS15" s="446">
        <f>COUNTIFS(STATUS!$Q:$Q,$A14,STATUS!$D:$D,AS$1,STATUS!$U:$U,"ВОЗВРАТ")</f>
        <v>0</v>
      </c>
      <c r="AT15" s="446">
        <f>COUNTIFS(STATUS!$Q:$Q,$A14,STATUS!$D:$D,AT$1,STATUS!$U:$U,"ВОЗВРАТ")</f>
        <v>0</v>
      </c>
      <c r="AU15" s="582">
        <f>SUM(AP15:AT15)</f>
        <v>2</v>
      </c>
      <c r="AV15" s="309">
        <f>COUNTIFS(STATUS!$Q:$Q,$A14,STATUS!$D:$D,AV$1,STATUS!$U:$U,"ВОЗВРАТ")</f>
        <v>0</v>
      </c>
      <c r="AW15" s="309">
        <f>COUNTIFS(STATUS!$Q:$Q,$A14,STATUS!$D:$D,AW$1,STATUS!$U:$U,"ВОЗВРАТ")</f>
        <v>3</v>
      </c>
      <c r="AX15" s="309">
        <f>COUNTIFS(STATUS!$Q:$Q,$A14,STATUS!$D:$D,AX$1,STATUS!$U:$U,"ВОЗВРАТ")</f>
        <v>0</v>
      </c>
      <c r="AY15" s="446">
        <f>COUNTIFS(STATUS!$Q:$Q,$A14,STATUS!$D:$D,AY$1,STATUS!$U:$U,"ВОЗВРАТ")</f>
        <v>1</v>
      </c>
      <c r="AZ15" s="446">
        <f>COUNTIFS(STATUS!$Q:$Q,$A14,STATUS!$D:$D,AZ$1,STATUS!$U:$U,"ВОЗВРАТ")</f>
        <v>0</v>
      </c>
      <c r="BA15" s="582">
        <f>SUM(AV15:AZ15)</f>
        <v>4</v>
      </c>
      <c r="BB15" s="309">
        <f>COUNTIFS(STATUS!$Q:$Q,$A14,STATUS!$D:$D,BB$1,STATUS!$U:$U,"ВОЗВРАТ")</f>
        <v>0</v>
      </c>
      <c r="BC15" s="309">
        <f>COUNTIFS(STATUS!$Q:$Q,$A14,STATUS!$D:$D,BC$1,STATUS!$U:$U,"ВОЗВРАТ")</f>
        <v>0</v>
      </c>
      <c r="BD15" s="309">
        <f>COUNTIFS(STATUS!$Q:$Q,$A14,STATUS!$D:$D,BD$1,STATUS!$U:$U,"ВОЗВРАТ")</f>
        <v>0</v>
      </c>
      <c r="BE15" s="446">
        <f>COUNTIFS(STATUS!$Q:$Q,$A14,STATUS!$D:$D,BE$1,STATUS!$U:$U,"ВОЗВРАТ")</f>
        <v>1</v>
      </c>
      <c r="BF15" s="446">
        <f>COUNTIFS(STATUS!$Q:$Q,$A14,STATUS!$D:$D,BF$1,STATUS!$U:$U,"ВОЗВРАТ")</f>
        <v>0</v>
      </c>
      <c r="BG15" s="582">
        <f>SUM(BB15:BF15)</f>
        <v>1</v>
      </c>
    </row>
    <row r="16" spans="1:59" ht="21.5" thickBot="1" x14ac:dyDescent="0.4">
      <c r="A16" s="874"/>
      <c r="B16" s="440">
        <f>IFERROR(B15/B14,0)</f>
        <v>9.696969696969697E-2</v>
      </c>
      <c r="C16" s="589">
        <f>IFERROR(C15/C14,0)</f>
        <v>0</v>
      </c>
      <c r="D16" s="589">
        <f t="shared" ref="D16:W16" si="66">IFERROR(D15/D14,0)</f>
        <v>0</v>
      </c>
      <c r="E16" s="589">
        <f t="shared" si="66"/>
        <v>0</v>
      </c>
      <c r="F16" s="589">
        <f t="shared" si="66"/>
        <v>0</v>
      </c>
      <c r="G16" s="590">
        <f t="shared" si="66"/>
        <v>0</v>
      </c>
      <c r="H16" s="591">
        <f t="shared" si="66"/>
        <v>0</v>
      </c>
      <c r="I16" s="450">
        <f t="shared" si="66"/>
        <v>0</v>
      </c>
      <c r="J16" s="403">
        <f t="shared" si="66"/>
        <v>1</v>
      </c>
      <c r="K16" s="403">
        <f t="shared" si="66"/>
        <v>0.25</v>
      </c>
      <c r="L16" s="403">
        <f t="shared" si="66"/>
        <v>0.5</v>
      </c>
      <c r="M16" s="447">
        <f t="shared" si="66"/>
        <v>0</v>
      </c>
      <c r="N16" s="583">
        <f t="shared" si="66"/>
        <v>0.26666666666666666</v>
      </c>
      <c r="O16" s="450">
        <f t="shared" si="66"/>
        <v>0</v>
      </c>
      <c r="P16" s="403">
        <f t="shared" si="66"/>
        <v>0</v>
      </c>
      <c r="Q16" s="403">
        <f t="shared" si="66"/>
        <v>0</v>
      </c>
      <c r="R16" s="583">
        <f t="shared" ref="R16" si="67">IFERROR(R15/R14,0)</f>
        <v>0</v>
      </c>
      <c r="S16" s="403">
        <f t="shared" si="66"/>
        <v>0</v>
      </c>
      <c r="T16" s="403">
        <f>IFERROR(T15/T14,0)</f>
        <v>0.2</v>
      </c>
      <c r="U16" s="403">
        <f>IFERROR(U15/U14,0)</f>
        <v>0</v>
      </c>
      <c r="V16" s="447">
        <f t="shared" si="66"/>
        <v>0</v>
      </c>
      <c r="W16" s="583">
        <f t="shared" si="66"/>
        <v>6.6666666666666666E-2</v>
      </c>
      <c r="X16" s="403">
        <f>IFERROR(X15/X14,0)</f>
        <v>0</v>
      </c>
      <c r="Y16" s="403">
        <f>IFERROR(Y15/Y14,0)</f>
        <v>0</v>
      </c>
      <c r="Z16" s="403">
        <f>IFERROR(Z15/Z14,0)</f>
        <v>0</v>
      </c>
      <c r="AA16" s="447">
        <f t="shared" ref="AA16:AB16" si="68">IFERROR(AA15/AA14,0)</f>
        <v>0</v>
      </c>
      <c r="AB16" s="447">
        <f t="shared" si="68"/>
        <v>0</v>
      </c>
      <c r="AC16" s="583">
        <f>IFERROR(AC15/AC14,0)</f>
        <v>0</v>
      </c>
      <c r="AD16" s="403">
        <f>IFERROR(AD15/AD14,0)</f>
        <v>0.16666666666666666</v>
      </c>
      <c r="AE16" s="403">
        <f>IFERROR(AE15/AE14,0)</f>
        <v>0.5</v>
      </c>
      <c r="AF16" s="403">
        <f>IFERROR(AF15/AF14,0)</f>
        <v>0</v>
      </c>
      <c r="AG16" s="447">
        <f t="shared" ref="AG16:AH16" si="69">IFERROR(AG15/AG14,0)</f>
        <v>0</v>
      </c>
      <c r="AH16" s="447">
        <f t="shared" si="69"/>
        <v>0</v>
      </c>
      <c r="AI16" s="583">
        <f>IFERROR(AI15/AI14,0)</f>
        <v>0.25</v>
      </c>
      <c r="AJ16" s="403">
        <f>IFERROR(AJ15/AJ14,0)</f>
        <v>6.6666666666666666E-2</v>
      </c>
      <c r="AK16" s="403">
        <f>IFERROR(AK15/AK14,0)</f>
        <v>0</v>
      </c>
      <c r="AL16" s="403">
        <f>IFERROR(AL15/AL14,0)</f>
        <v>0.5</v>
      </c>
      <c r="AM16" s="447">
        <f t="shared" ref="AM16:AN16" si="70">IFERROR(AM15/AM14,0)</f>
        <v>0.2</v>
      </c>
      <c r="AN16" s="447">
        <f t="shared" si="70"/>
        <v>0</v>
      </c>
      <c r="AO16" s="583">
        <f>IFERROR(AO15/AO14,0)</f>
        <v>0.10714285714285714</v>
      </c>
      <c r="AP16" s="403">
        <f>IFERROR(AP15/AP14,0)</f>
        <v>0</v>
      </c>
      <c r="AQ16" s="403">
        <f>IFERROR(AQ15/AQ14,0)</f>
        <v>0</v>
      </c>
      <c r="AR16" s="403">
        <f>IFERROR(AR15/AR14,0)</f>
        <v>0.5</v>
      </c>
      <c r="AS16" s="447">
        <f t="shared" ref="AS16:AT16" si="71">IFERROR(AS15/AS14,0)</f>
        <v>0</v>
      </c>
      <c r="AT16" s="447">
        <f t="shared" si="71"/>
        <v>0</v>
      </c>
      <c r="AU16" s="583">
        <f>IFERROR(AU15/AU14,0)</f>
        <v>0.14285714285714285</v>
      </c>
      <c r="AV16" s="403">
        <f>IFERROR(AV15/AV14,0)</f>
        <v>0</v>
      </c>
      <c r="AW16" s="403">
        <f>IFERROR(AW15/AW14,0)</f>
        <v>6.1224489795918366E-2</v>
      </c>
      <c r="AX16" s="403">
        <f>IFERROR(AX15/AX14,0)</f>
        <v>0</v>
      </c>
      <c r="AY16" s="447">
        <f t="shared" ref="AY16:AZ16" si="72">IFERROR(AY15/AY14,0)</f>
        <v>0.25</v>
      </c>
      <c r="AZ16" s="447">
        <f t="shared" si="72"/>
        <v>0</v>
      </c>
      <c r="BA16" s="583">
        <f>IFERROR(BA15/BA14,0)</f>
        <v>6.3492063492063489E-2</v>
      </c>
      <c r="BB16" s="403">
        <f>IFERROR(BB15/BB14,0)</f>
        <v>0</v>
      </c>
      <c r="BC16" s="403">
        <f>IFERROR(BC15/BC14,0)</f>
        <v>0</v>
      </c>
      <c r="BD16" s="403">
        <f>IFERROR(BD15/BD14,0)</f>
        <v>0</v>
      </c>
      <c r="BE16" s="447">
        <f t="shared" ref="BE16:BF16" si="73">IFERROR(BE15/BE14,0)</f>
        <v>0</v>
      </c>
      <c r="BF16" s="447">
        <f t="shared" si="73"/>
        <v>0</v>
      </c>
      <c r="BG16" s="583">
        <f>IFERROR(BG15/BG14,0)</f>
        <v>0</v>
      </c>
    </row>
    <row r="17" spans="1:59" ht="15" thickTop="1" x14ac:dyDescent="0.35">
      <c r="A17" s="863" t="s">
        <v>47</v>
      </c>
      <c r="B17" s="436">
        <f>SUM(B2,B5,B8,B11,B14)</f>
        <v>914</v>
      </c>
      <c r="C17" s="412">
        <f t="shared" ref="C17:G18" si="74">SUM(C2,C5,C8,C11,C14)</f>
        <v>19</v>
      </c>
      <c r="D17" s="412">
        <f t="shared" si="74"/>
        <v>12</v>
      </c>
      <c r="E17" s="412">
        <f t="shared" si="74"/>
        <v>17</v>
      </c>
      <c r="F17" s="412">
        <f t="shared" si="74"/>
        <v>16</v>
      </c>
      <c r="G17" s="412">
        <f t="shared" si="74"/>
        <v>14</v>
      </c>
      <c r="H17" s="582">
        <f>SUM(C17:G17)</f>
        <v>78</v>
      </c>
      <c r="I17" s="412">
        <f t="shared" ref="I17:M18" si="75">SUM(I2,I5,I8,I11,I14)</f>
        <v>22</v>
      </c>
      <c r="J17" s="412">
        <f t="shared" si="75"/>
        <v>17</v>
      </c>
      <c r="K17" s="412">
        <f t="shared" si="75"/>
        <v>17</v>
      </c>
      <c r="L17" s="412">
        <f t="shared" si="75"/>
        <v>5</v>
      </c>
      <c r="M17" s="412">
        <f t="shared" si="75"/>
        <v>0</v>
      </c>
      <c r="N17" s="582">
        <f>SUM(I17:M17)</f>
        <v>61</v>
      </c>
      <c r="O17" s="412">
        <f t="shared" ref="O17:Q18" si="76">SUM(O2,O5,O8,O11,O14)</f>
        <v>6</v>
      </c>
      <c r="P17" s="412">
        <f t="shared" si="76"/>
        <v>4</v>
      </c>
      <c r="Q17" s="412">
        <f t="shared" si="76"/>
        <v>6</v>
      </c>
      <c r="R17" s="581">
        <f>SUM(O17:Q17)</f>
        <v>16</v>
      </c>
      <c r="S17" s="412">
        <f t="shared" ref="S17:V18" si="77">SUM(S2,S5,S8,S11,S14)</f>
        <v>21</v>
      </c>
      <c r="T17" s="412">
        <f t="shared" si="77"/>
        <v>26</v>
      </c>
      <c r="U17" s="412">
        <f t="shared" si="77"/>
        <v>18</v>
      </c>
      <c r="V17" s="412">
        <f t="shared" si="77"/>
        <v>16</v>
      </c>
      <c r="W17" s="581">
        <f>SUM(S17:V17)</f>
        <v>81</v>
      </c>
      <c r="X17" s="412">
        <f t="shared" ref="X17:AB17" si="78">SUM(X2,X5,X8,X11,X14)</f>
        <v>25</v>
      </c>
      <c r="Y17" s="412">
        <f t="shared" si="78"/>
        <v>26</v>
      </c>
      <c r="Z17" s="412">
        <f t="shared" si="78"/>
        <v>23</v>
      </c>
      <c r="AA17" s="412">
        <f t="shared" si="78"/>
        <v>22</v>
      </c>
      <c r="AB17" s="412">
        <f t="shared" si="78"/>
        <v>20</v>
      </c>
      <c r="AC17" s="581">
        <f>SUM(X17:AB17)</f>
        <v>116</v>
      </c>
      <c r="AD17" s="412">
        <f t="shared" ref="AD17:AH17" si="79">SUM(AD2,AD5,AD8,AD11,AD14)</f>
        <v>19</v>
      </c>
      <c r="AE17" s="412">
        <f t="shared" si="79"/>
        <v>15</v>
      </c>
      <c r="AF17" s="412">
        <f t="shared" si="79"/>
        <v>44</v>
      </c>
      <c r="AG17" s="412">
        <f t="shared" si="79"/>
        <v>4</v>
      </c>
      <c r="AH17" s="412">
        <f t="shared" si="79"/>
        <v>1</v>
      </c>
      <c r="AI17" s="581">
        <f>SUM(AD17:AH17)</f>
        <v>83</v>
      </c>
      <c r="AJ17" s="412">
        <f t="shared" ref="AJ17:AN17" si="80">SUM(AJ2,AJ5,AJ8,AJ11,AJ14)</f>
        <v>84</v>
      </c>
      <c r="AK17" s="412">
        <f t="shared" si="80"/>
        <v>15</v>
      </c>
      <c r="AL17" s="412">
        <f t="shared" si="80"/>
        <v>11</v>
      </c>
      <c r="AM17" s="412">
        <f t="shared" si="80"/>
        <v>18</v>
      </c>
      <c r="AN17" s="412">
        <f t="shared" si="80"/>
        <v>14</v>
      </c>
      <c r="AO17" s="581">
        <f>SUM(AJ17:AN17)</f>
        <v>142</v>
      </c>
      <c r="AP17" s="412">
        <f t="shared" ref="AP17:AT17" si="81">SUM(AP2,AP5,AP8,AP11,AP14)</f>
        <v>21</v>
      </c>
      <c r="AQ17" s="412">
        <f t="shared" si="81"/>
        <v>18</v>
      </c>
      <c r="AR17" s="412">
        <f t="shared" si="81"/>
        <v>18</v>
      </c>
      <c r="AS17" s="412">
        <f t="shared" si="81"/>
        <v>15</v>
      </c>
      <c r="AT17" s="412">
        <f t="shared" si="81"/>
        <v>0</v>
      </c>
      <c r="AU17" s="581">
        <f>SUM(AP17:AT17)</f>
        <v>72</v>
      </c>
      <c r="AV17" s="412">
        <f t="shared" ref="AV17:AZ17" si="82">SUM(AV2,AV5,AV8,AV11,AV14)</f>
        <v>14</v>
      </c>
      <c r="AW17" s="412">
        <f t="shared" si="82"/>
        <v>210</v>
      </c>
      <c r="AX17" s="412">
        <f t="shared" si="82"/>
        <v>13</v>
      </c>
      <c r="AY17" s="412">
        <f t="shared" si="82"/>
        <v>12</v>
      </c>
      <c r="AZ17" s="412">
        <f t="shared" si="82"/>
        <v>16</v>
      </c>
      <c r="BA17" s="581">
        <f>SUM(AV17:AZ17)</f>
        <v>265</v>
      </c>
      <c r="BB17" s="412">
        <f t="shared" ref="BB17:BF17" si="83">SUM(BB2,BB5,BB8,BB11,BB14)</f>
        <v>0</v>
      </c>
      <c r="BC17" s="412">
        <f t="shared" si="83"/>
        <v>0</v>
      </c>
      <c r="BD17" s="412">
        <f t="shared" si="83"/>
        <v>0</v>
      </c>
      <c r="BE17" s="412">
        <f t="shared" si="83"/>
        <v>0</v>
      </c>
      <c r="BF17" s="412">
        <f t="shared" si="83"/>
        <v>0</v>
      </c>
      <c r="BG17" s="581">
        <f>SUM(BB17:BF17)</f>
        <v>0</v>
      </c>
    </row>
    <row r="18" spans="1:59" x14ac:dyDescent="0.35">
      <c r="A18" s="864"/>
      <c r="B18" s="434">
        <f>SUM(B3,B6,B9,B12,B15)</f>
        <v>160</v>
      </c>
      <c r="C18" s="309">
        <f t="shared" si="74"/>
        <v>3</v>
      </c>
      <c r="D18" s="309">
        <f t="shared" si="74"/>
        <v>4</v>
      </c>
      <c r="E18" s="309">
        <f t="shared" si="74"/>
        <v>2</v>
      </c>
      <c r="F18" s="309">
        <f t="shared" si="74"/>
        <v>8</v>
      </c>
      <c r="G18" s="309">
        <f t="shared" si="74"/>
        <v>4</v>
      </c>
      <c r="H18" s="582">
        <f>SUM(C18:G18)</f>
        <v>21</v>
      </c>
      <c r="I18" s="309">
        <f t="shared" si="75"/>
        <v>3</v>
      </c>
      <c r="J18" s="309">
        <f t="shared" si="75"/>
        <v>2</v>
      </c>
      <c r="K18" s="309">
        <f t="shared" si="75"/>
        <v>2</v>
      </c>
      <c r="L18" s="309">
        <f t="shared" si="75"/>
        <v>1</v>
      </c>
      <c r="M18" s="309">
        <f t="shared" si="75"/>
        <v>0</v>
      </c>
      <c r="N18" s="582">
        <f>SUM(I18:M18)</f>
        <v>8</v>
      </c>
      <c r="O18" s="309">
        <f t="shared" si="76"/>
        <v>4</v>
      </c>
      <c r="P18" s="309">
        <f t="shared" si="76"/>
        <v>1</v>
      </c>
      <c r="Q18" s="309">
        <f t="shared" si="76"/>
        <v>2</v>
      </c>
      <c r="R18" s="582">
        <f>SUM(O18:Q18)</f>
        <v>7</v>
      </c>
      <c r="S18" s="309">
        <f t="shared" si="77"/>
        <v>3</v>
      </c>
      <c r="T18" s="309">
        <f t="shared" si="77"/>
        <v>7</v>
      </c>
      <c r="U18" s="309">
        <f t="shared" si="77"/>
        <v>0</v>
      </c>
      <c r="V18" s="309">
        <f t="shared" si="77"/>
        <v>2</v>
      </c>
      <c r="W18" s="582">
        <f>SUM(S18:V18)</f>
        <v>12</v>
      </c>
      <c r="X18" s="309">
        <f t="shared" ref="X18:AB18" si="84">SUM(X3,X6,X9,X12,X15)</f>
        <v>7</v>
      </c>
      <c r="Y18" s="309">
        <f t="shared" si="84"/>
        <v>3</v>
      </c>
      <c r="Z18" s="309">
        <f t="shared" si="84"/>
        <v>4</v>
      </c>
      <c r="AA18" s="309">
        <f t="shared" si="84"/>
        <v>1</v>
      </c>
      <c r="AB18" s="309">
        <f t="shared" si="84"/>
        <v>3</v>
      </c>
      <c r="AC18" s="582">
        <f>SUM(X18:AB18)</f>
        <v>18</v>
      </c>
      <c r="AD18" s="309">
        <f t="shared" ref="AD18:AH18" si="85">SUM(AD3,AD6,AD9,AD12,AD15)</f>
        <v>5</v>
      </c>
      <c r="AE18" s="309">
        <f t="shared" si="85"/>
        <v>7</v>
      </c>
      <c r="AF18" s="309">
        <f t="shared" si="85"/>
        <v>5</v>
      </c>
      <c r="AG18" s="309">
        <f t="shared" si="85"/>
        <v>2</v>
      </c>
      <c r="AH18" s="309">
        <f t="shared" si="85"/>
        <v>0</v>
      </c>
      <c r="AI18" s="582">
        <f>SUM(AD18:AH18)</f>
        <v>19</v>
      </c>
      <c r="AJ18" s="309">
        <f t="shared" ref="AJ18:AN18" si="86">SUM(AJ3,AJ6,AJ9,AJ12,AJ15)</f>
        <v>20</v>
      </c>
      <c r="AK18" s="309">
        <f t="shared" si="86"/>
        <v>1</v>
      </c>
      <c r="AL18" s="309">
        <f t="shared" si="86"/>
        <v>3</v>
      </c>
      <c r="AM18" s="309">
        <f t="shared" si="86"/>
        <v>3</v>
      </c>
      <c r="AN18" s="309">
        <f t="shared" si="86"/>
        <v>3</v>
      </c>
      <c r="AO18" s="582">
        <f>SUM(AJ18:AN18)</f>
        <v>30</v>
      </c>
      <c r="AP18" s="309">
        <f t="shared" ref="AP18:AT18" si="87">SUM(AP3,AP6,AP9,AP12,AP15)</f>
        <v>0</v>
      </c>
      <c r="AQ18" s="309">
        <f t="shared" si="87"/>
        <v>4</v>
      </c>
      <c r="AR18" s="309">
        <f t="shared" si="87"/>
        <v>7</v>
      </c>
      <c r="AS18" s="309">
        <f t="shared" si="87"/>
        <v>3</v>
      </c>
      <c r="AT18" s="309">
        <f t="shared" si="87"/>
        <v>0</v>
      </c>
      <c r="AU18" s="582">
        <f>SUM(AP18:AT18)</f>
        <v>14</v>
      </c>
      <c r="AV18" s="309">
        <f t="shared" ref="AV18:AZ18" si="88">SUM(AV3,AV6,AV9,AV12,AV15)</f>
        <v>1</v>
      </c>
      <c r="AW18" s="309">
        <f t="shared" si="88"/>
        <v>23</v>
      </c>
      <c r="AX18" s="309">
        <f t="shared" si="88"/>
        <v>0</v>
      </c>
      <c r="AY18" s="309">
        <f t="shared" si="88"/>
        <v>4</v>
      </c>
      <c r="AZ18" s="309">
        <f t="shared" si="88"/>
        <v>3</v>
      </c>
      <c r="BA18" s="582">
        <f>SUM(AV18:AZ18)</f>
        <v>31</v>
      </c>
      <c r="BB18" s="309">
        <f t="shared" ref="BB18:BF18" si="89">SUM(BB3,BB6,BB9,BB12,BB15)</f>
        <v>0</v>
      </c>
      <c r="BC18" s="309">
        <f t="shared" si="89"/>
        <v>4</v>
      </c>
      <c r="BD18" s="309">
        <f t="shared" si="89"/>
        <v>0</v>
      </c>
      <c r="BE18" s="309">
        <f t="shared" si="89"/>
        <v>7</v>
      </c>
      <c r="BF18" s="309">
        <f t="shared" si="89"/>
        <v>6</v>
      </c>
      <c r="BG18" s="582">
        <f>SUM(BB18:BF18)</f>
        <v>17</v>
      </c>
    </row>
    <row r="19" spans="1:59" ht="21.5" thickBot="1" x14ac:dyDescent="0.4">
      <c r="A19" s="865"/>
      <c r="B19" s="440">
        <f>B18/B17</f>
        <v>0.17505470459518599</v>
      </c>
      <c r="C19" s="403">
        <f>IFERROR(C18/C17,0)</f>
        <v>0.15789473684210525</v>
      </c>
      <c r="D19" s="403">
        <f t="shared" ref="D19:R19" si="90">IFERROR(D18/D17,0)</f>
        <v>0.33333333333333331</v>
      </c>
      <c r="E19" s="403">
        <f t="shared" si="90"/>
        <v>0.11764705882352941</v>
      </c>
      <c r="F19" s="403">
        <f t="shared" si="90"/>
        <v>0.5</v>
      </c>
      <c r="G19" s="447">
        <f t="shared" si="90"/>
        <v>0.2857142857142857</v>
      </c>
      <c r="H19" s="583">
        <f>IFERROR(H18/H17,0)</f>
        <v>0.26923076923076922</v>
      </c>
      <c r="I19" s="450">
        <f t="shared" si="90"/>
        <v>0.13636363636363635</v>
      </c>
      <c r="J19" s="403">
        <f t="shared" si="90"/>
        <v>0.11764705882352941</v>
      </c>
      <c r="K19" s="403">
        <f t="shared" si="90"/>
        <v>0.11764705882352941</v>
      </c>
      <c r="L19" s="403">
        <f t="shared" si="90"/>
        <v>0.2</v>
      </c>
      <c r="M19" s="447">
        <f t="shared" si="90"/>
        <v>0</v>
      </c>
      <c r="N19" s="583">
        <f t="shared" ref="N19" si="91">IFERROR(N18/N17,0)</f>
        <v>0.13114754098360656</v>
      </c>
      <c r="O19" s="450">
        <f t="shared" si="90"/>
        <v>0.66666666666666663</v>
      </c>
      <c r="P19" s="403">
        <f t="shared" si="90"/>
        <v>0.25</v>
      </c>
      <c r="Q19" s="403">
        <f t="shared" si="90"/>
        <v>0.33333333333333331</v>
      </c>
      <c r="R19" s="583">
        <f t="shared" si="90"/>
        <v>0.4375</v>
      </c>
      <c r="S19" s="403">
        <f t="shared" ref="S19:T19" si="92">IFERROR(S18/S17,0)</f>
        <v>0.14285714285714285</v>
      </c>
      <c r="T19" s="403">
        <f t="shared" si="92"/>
        <v>0.26923076923076922</v>
      </c>
      <c r="U19" s="403">
        <f t="shared" ref="U19" si="93">IFERROR(U18/U17,0)</f>
        <v>0</v>
      </c>
      <c r="V19" s="447">
        <f t="shared" ref="V19" si="94">IFERROR(V18/V17,0)</f>
        <v>0.125</v>
      </c>
      <c r="W19" s="583">
        <f>IFERROR(W18/W17,0)</f>
        <v>0.14814814814814814</v>
      </c>
      <c r="X19" s="403">
        <f t="shared" ref="X19:AB19" si="95">IFERROR(X18/X17,0)</f>
        <v>0.28000000000000003</v>
      </c>
      <c r="Y19" s="403">
        <f t="shared" si="95"/>
        <v>0.11538461538461539</v>
      </c>
      <c r="Z19" s="403">
        <f t="shared" si="95"/>
        <v>0.17391304347826086</v>
      </c>
      <c r="AA19" s="403">
        <f t="shared" si="95"/>
        <v>4.5454545454545456E-2</v>
      </c>
      <c r="AB19" s="403">
        <f t="shared" si="95"/>
        <v>0.15</v>
      </c>
      <c r="AC19" s="583">
        <f>IFERROR(AC18/AC17,0)</f>
        <v>0.15517241379310345</v>
      </c>
      <c r="AD19" s="403">
        <f t="shared" ref="AD19:AH19" si="96">IFERROR(AD18/AD17,0)</f>
        <v>0.26315789473684209</v>
      </c>
      <c r="AE19" s="403">
        <f t="shared" si="96"/>
        <v>0.46666666666666667</v>
      </c>
      <c r="AF19" s="403">
        <f t="shared" si="96"/>
        <v>0.11363636363636363</v>
      </c>
      <c r="AG19" s="403">
        <f t="shared" si="96"/>
        <v>0.5</v>
      </c>
      <c r="AH19" s="403">
        <f t="shared" si="96"/>
        <v>0</v>
      </c>
      <c r="AI19" s="583">
        <f>IFERROR(AI18/AI17,0)</f>
        <v>0.2289156626506024</v>
      </c>
      <c r="AJ19" s="403">
        <f t="shared" ref="AJ19:AN19" si="97">IFERROR(AJ18/AJ17,0)</f>
        <v>0.23809523809523808</v>
      </c>
      <c r="AK19" s="403">
        <f t="shared" si="97"/>
        <v>6.6666666666666666E-2</v>
      </c>
      <c r="AL19" s="403">
        <f t="shared" si="97"/>
        <v>0.27272727272727271</v>
      </c>
      <c r="AM19" s="403">
        <f t="shared" si="97"/>
        <v>0.16666666666666666</v>
      </c>
      <c r="AN19" s="403">
        <f t="shared" si="97"/>
        <v>0.21428571428571427</v>
      </c>
      <c r="AO19" s="583">
        <f>IFERROR(AO18/AO17,0)</f>
        <v>0.21126760563380281</v>
      </c>
      <c r="AP19" s="403">
        <f t="shared" ref="AP19:AT19" si="98">IFERROR(AP18/AP17,0)</f>
        <v>0</v>
      </c>
      <c r="AQ19" s="403">
        <f t="shared" si="98"/>
        <v>0.22222222222222221</v>
      </c>
      <c r="AR19" s="403">
        <f t="shared" si="98"/>
        <v>0.3888888888888889</v>
      </c>
      <c r="AS19" s="403">
        <f t="shared" si="98"/>
        <v>0.2</v>
      </c>
      <c r="AT19" s="403">
        <f t="shared" si="98"/>
        <v>0</v>
      </c>
      <c r="AU19" s="583">
        <f>IFERROR(AU18/AU17,0)</f>
        <v>0.19444444444444445</v>
      </c>
      <c r="AV19" s="403">
        <f t="shared" ref="AV19:AZ19" si="99">IFERROR(AV18/AV17,0)</f>
        <v>7.1428571428571425E-2</v>
      </c>
      <c r="AW19" s="403">
        <f t="shared" si="99"/>
        <v>0.10952380952380952</v>
      </c>
      <c r="AX19" s="403">
        <f t="shared" si="99"/>
        <v>0</v>
      </c>
      <c r="AY19" s="403">
        <f t="shared" si="99"/>
        <v>0.33333333333333331</v>
      </c>
      <c r="AZ19" s="403">
        <f t="shared" si="99"/>
        <v>0.1875</v>
      </c>
      <c r="BA19" s="583">
        <f>IFERROR(BA18/BA17,0)</f>
        <v>0.1169811320754717</v>
      </c>
      <c r="BB19" s="403">
        <f t="shared" ref="BB19:BF19" si="100">IFERROR(BB18/BB17,0)</f>
        <v>0</v>
      </c>
      <c r="BC19" s="403">
        <f t="shared" si="100"/>
        <v>0</v>
      </c>
      <c r="BD19" s="403">
        <f t="shared" si="100"/>
        <v>0</v>
      </c>
      <c r="BE19" s="403">
        <f t="shared" si="100"/>
        <v>0</v>
      </c>
      <c r="BF19" s="403">
        <f t="shared" si="100"/>
        <v>0</v>
      </c>
      <c r="BG19" s="583">
        <f>IFERROR(BG18/BG17,0)</f>
        <v>0</v>
      </c>
    </row>
    <row r="20" spans="1:59" ht="15" thickTop="1" x14ac:dyDescent="0.35"/>
  </sheetData>
  <mergeCells count="6">
    <mergeCell ref="A17:A19"/>
    <mergeCell ref="A2:A4"/>
    <mergeCell ref="A5:A7"/>
    <mergeCell ref="A8:A10"/>
    <mergeCell ref="A11:A13"/>
    <mergeCell ref="A14:A16"/>
  </mergeCells>
  <conditionalFormatting sqref="A1:Q1 S1:V1 BH1:XFD1">
    <cfRule type="timePeriod" dxfId="8" priority="220" timePeriod="today">
      <formula>FLOOR(A1,1)=TODAY()</formula>
    </cfRule>
  </conditionalFormatting>
  <conditionalFormatting sqref="B4:Q4 B7:Q7 B10:Q10 B13:Q13 B19:Q19 S19 S13 S10 S7 S4 V4:W4 V7:W7 V10:W10 V13:W13 V19:W19">
    <cfRule type="colorScale" priority="181">
      <colorScale>
        <cfvo type="num" val="0"/>
        <cfvo type="num" val="0.5"/>
        <cfvo type="num" val="1"/>
        <color rgb="FF92D050"/>
        <color rgb="FFFFA709"/>
        <color rgb="FFFF0000"/>
      </colorScale>
    </cfRule>
  </conditionalFormatting>
  <conditionalFormatting sqref="C16:Q16 S16 V16:W16">
    <cfRule type="colorScale" priority="178">
      <colorScale>
        <cfvo type="num" val="0"/>
        <cfvo type="num" val="0.5"/>
        <cfvo type="num" val="1"/>
        <color rgb="FF92D050"/>
        <color rgb="FFFFA709"/>
        <color rgb="FFFF0000"/>
      </colorScale>
    </cfRule>
  </conditionalFormatting>
  <conditionalFormatting sqref="B16">
    <cfRule type="colorScale" priority="179">
      <colorScale>
        <cfvo type="num" val="0"/>
        <cfvo type="num" val="0.5"/>
        <cfvo type="num" val="1"/>
        <color rgb="FF92D050"/>
        <color rgb="FFFFA709"/>
        <color rgb="FFFF0000"/>
      </colorScale>
    </cfRule>
  </conditionalFormatting>
  <conditionalFormatting sqref="R19 R13 R10 R7 R4">
    <cfRule type="colorScale" priority="177">
      <colorScale>
        <cfvo type="num" val="0"/>
        <cfvo type="num" val="0.5"/>
        <cfvo type="num" val="1"/>
        <color rgb="FF92D050"/>
        <color rgb="FFFFA709"/>
        <color rgb="FFFF0000"/>
      </colorScale>
    </cfRule>
  </conditionalFormatting>
  <conditionalFormatting sqref="R16">
    <cfRule type="colorScale" priority="176">
      <colorScale>
        <cfvo type="num" val="0"/>
        <cfvo type="num" val="0.5"/>
        <cfvo type="num" val="1"/>
        <color rgb="FF92D050"/>
        <color rgb="FFFFA709"/>
        <color rgb="FFFF0000"/>
      </colorScale>
    </cfRule>
  </conditionalFormatting>
  <conditionalFormatting sqref="T4">
    <cfRule type="colorScale" priority="175">
      <colorScale>
        <cfvo type="num" val="0"/>
        <cfvo type="num" val="0.5"/>
        <cfvo type="num" val="1"/>
        <color rgb="FF92D050"/>
        <color rgb="FFFFA709"/>
        <color rgb="FFFF0000"/>
      </colorScale>
    </cfRule>
  </conditionalFormatting>
  <conditionalFormatting sqref="U4">
    <cfRule type="colorScale" priority="174">
      <colorScale>
        <cfvo type="num" val="0"/>
        <cfvo type="num" val="0.5"/>
        <cfvo type="num" val="1"/>
        <color rgb="FF92D050"/>
        <color rgb="FFFFA709"/>
        <color rgb="FFFF0000"/>
      </colorScale>
    </cfRule>
  </conditionalFormatting>
  <conditionalFormatting sqref="T7">
    <cfRule type="colorScale" priority="173">
      <colorScale>
        <cfvo type="num" val="0"/>
        <cfvo type="num" val="0.5"/>
        <cfvo type="num" val="1"/>
        <color rgb="FF92D050"/>
        <color rgb="FFFFA709"/>
        <color rgb="FFFF0000"/>
      </colorScale>
    </cfRule>
  </conditionalFormatting>
  <conditionalFormatting sqref="U7">
    <cfRule type="colorScale" priority="172">
      <colorScale>
        <cfvo type="num" val="0"/>
        <cfvo type="num" val="0.5"/>
        <cfvo type="num" val="1"/>
        <color rgb="FF92D050"/>
        <color rgb="FFFFA709"/>
        <color rgb="FFFF0000"/>
      </colorScale>
    </cfRule>
  </conditionalFormatting>
  <conditionalFormatting sqref="T10">
    <cfRule type="colorScale" priority="171">
      <colorScale>
        <cfvo type="num" val="0"/>
        <cfvo type="num" val="0.5"/>
        <cfvo type="num" val="1"/>
        <color rgb="FF92D050"/>
        <color rgb="FFFFA709"/>
        <color rgb="FFFF0000"/>
      </colorScale>
    </cfRule>
  </conditionalFormatting>
  <conditionalFormatting sqref="U10">
    <cfRule type="colorScale" priority="170">
      <colorScale>
        <cfvo type="num" val="0"/>
        <cfvo type="num" val="0.5"/>
        <cfvo type="num" val="1"/>
        <color rgb="FF92D050"/>
        <color rgb="FFFFA709"/>
        <color rgb="FFFF0000"/>
      </colorScale>
    </cfRule>
  </conditionalFormatting>
  <conditionalFormatting sqref="T13">
    <cfRule type="colorScale" priority="169">
      <colorScale>
        <cfvo type="num" val="0"/>
        <cfvo type="num" val="0.5"/>
        <cfvo type="num" val="1"/>
        <color rgb="FF92D050"/>
        <color rgb="FFFFA709"/>
        <color rgb="FFFF0000"/>
      </colorScale>
    </cfRule>
  </conditionalFormatting>
  <conditionalFormatting sqref="U13">
    <cfRule type="colorScale" priority="168">
      <colorScale>
        <cfvo type="num" val="0"/>
        <cfvo type="num" val="0.5"/>
        <cfvo type="num" val="1"/>
        <color rgb="FF92D050"/>
        <color rgb="FFFFA709"/>
        <color rgb="FFFF0000"/>
      </colorScale>
    </cfRule>
  </conditionalFormatting>
  <conditionalFormatting sqref="T16">
    <cfRule type="colorScale" priority="167">
      <colorScale>
        <cfvo type="num" val="0"/>
        <cfvo type="num" val="0.5"/>
        <cfvo type="num" val="1"/>
        <color rgb="FF92D050"/>
        <color rgb="FFFFA709"/>
        <color rgb="FFFF0000"/>
      </colorScale>
    </cfRule>
  </conditionalFormatting>
  <conditionalFormatting sqref="U16">
    <cfRule type="colorScale" priority="166">
      <colorScale>
        <cfvo type="num" val="0"/>
        <cfvo type="num" val="0.5"/>
        <cfvo type="num" val="1"/>
        <color rgb="FF92D050"/>
        <color rgb="FFFFA709"/>
        <color rgb="FFFF0000"/>
      </colorScale>
    </cfRule>
  </conditionalFormatting>
  <conditionalFormatting sqref="T19">
    <cfRule type="colorScale" priority="165">
      <colorScale>
        <cfvo type="num" val="0"/>
        <cfvo type="num" val="0.5"/>
        <cfvo type="num" val="1"/>
        <color rgb="FF92D050"/>
        <color rgb="FFFFA709"/>
        <color rgb="FFFF0000"/>
      </colorScale>
    </cfRule>
  </conditionalFormatting>
  <conditionalFormatting sqref="U19">
    <cfRule type="colorScale" priority="164">
      <colorScale>
        <cfvo type="num" val="0"/>
        <cfvo type="num" val="0.5"/>
        <cfvo type="num" val="1"/>
        <color rgb="FF92D050"/>
        <color rgb="FFFFA709"/>
        <color rgb="FFFF0000"/>
      </colorScale>
    </cfRule>
  </conditionalFormatting>
  <conditionalFormatting sqref="X1:AB1">
    <cfRule type="timePeriod" dxfId="7" priority="162" timePeriod="today">
      <formula>FLOOR(X1,1)=TODAY()</formula>
    </cfRule>
  </conditionalFormatting>
  <conditionalFormatting sqref="X4 AA4 AC4">
    <cfRule type="colorScale" priority="161">
      <colorScale>
        <cfvo type="num" val="0"/>
        <cfvo type="num" val="0.5"/>
        <cfvo type="num" val="1"/>
        <color rgb="FF92D050"/>
        <color rgb="FFFFA709"/>
        <color rgb="FFFF0000"/>
      </colorScale>
    </cfRule>
  </conditionalFormatting>
  <conditionalFormatting sqref="Y4">
    <cfRule type="colorScale" priority="160">
      <colorScale>
        <cfvo type="num" val="0"/>
        <cfvo type="num" val="0.5"/>
        <cfvo type="num" val="1"/>
        <color rgb="FF92D050"/>
        <color rgb="FFFFA709"/>
        <color rgb="FFFF0000"/>
      </colorScale>
    </cfRule>
  </conditionalFormatting>
  <conditionalFormatting sqref="Z4">
    <cfRule type="colorScale" priority="159">
      <colorScale>
        <cfvo type="num" val="0"/>
        <cfvo type="num" val="0.5"/>
        <cfvo type="num" val="1"/>
        <color rgb="FF92D050"/>
        <color rgb="FFFFA709"/>
        <color rgb="FFFF0000"/>
      </colorScale>
    </cfRule>
  </conditionalFormatting>
  <conditionalFormatting sqref="AB4">
    <cfRule type="colorScale" priority="158">
      <colorScale>
        <cfvo type="num" val="0"/>
        <cfvo type="num" val="0.5"/>
        <cfvo type="num" val="1"/>
        <color rgb="FF92D050"/>
        <color rgb="FFFFA709"/>
        <color rgb="FFFF0000"/>
      </colorScale>
    </cfRule>
  </conditionalFormatting>
  <conditionalFormatting sqref="X7 AA7 AC7">
    <cfRule type="colorScale" priority="157">
      <colorScale>
        <cfvo type="num" val="0"/>
        <cfvo type="num" val="0.5"/>
        <cfvo type="num" val="1"/>
        <color rgb="FF92D050"/>
        <color rgb="FFFFA709"/>
        <color rgb="FFFF0000"/>
      </colorScale>
    </cfRule>
  </conditionalFormatting>
  <conditionalFormatting sqref="Y7">
    <cfRule type="colorScale" priority="156">
      <colorScale>
        <cfvo type="num" val="0"/>
        <cfvo type="num" val="0.5"/>
        <cfvo type="num" val="1"/>
        <color rgb="FF92D050"/>
        <color rgb="FFFFA709"/>
        <color rgb="FFFF0000"/>
      </colorScale>
    </cfRule>
  </conditionalFormatting>
  <conditionalFormatting sqref="Z7">
    <cfRule type="colorScale" priority="155">
      <colorScale>
        <cfvo type="num" val="0"/>
        <cfvo type="num" val="0.5"/>
        <cfvo type="num" val="1"/>
        <color rgb="FF92D050"/>
        <color rgb="FFFFA709"/>
        <color rgb="FFFF0000"/>
      </colorScale>
    </cfRule>
  </conditionalFormatting>
  <conditionalFormatting sqref="AB7">
    <cfRule type="colorScale" priority="154">
      <colorScale>
        <cfvo type="num" val="0"/>
        <cfvo type="num" val="0.5"/>
        <cfvo type="num" val="1"/>
        <color rgb="FF92D050"/>
        <color rgb="FFFFA709"/>
        <color rgb="FFFF0000"/>
      </colorScale>
    </cfRule>
  </conditionalFormatting>
  <conditionalFormatting sqref="X10 AA10 AC10">
    <cfRule type="colorScale" priority="153">
      <colorScale>
        <cfvo type="num" val="0"/>
        <cfvo type="num" val="0.5"/>
        <cfvo type="num" val="1"/>
        <color rgb="FF92D050"/>
        <color rgb="FFFFA709"/>
        <color rgb="FFFF0000"/>
      </colorScale>
    </cfRule>
  </conditionalFormatting>
  <conditionalFormatting sqref="Y10">
    <cfRule type="colorScale" priority="152">
      <colorScale>
        <cfvo type="num" val="0"/>
        <cfvo type="num" val="0.5"/>
        <cfvo type="num" val="1"/>
        <color rgb="FF92D050"/>
        <color rgb="FFFFA709"/>
        <color rgb="FFFF0000"/>
      </colorScale>
    </cfRule>
  </conditionalFormatting>
  <conditionalFormatting sqref="Z10">
    <cfRule type="colorScale" priority="151">
      <colorScale>
        <cfvo type="num" val="0"/>
        <cfvo type="num" val="0.5"/>
        <cfvo type="num" val="1"/>
        <color rgb="FF92D050"/>
        <color rgb="FFFFA709"/>
        <color rgb="FFFF0000"/>
      </colorScale>
    </cfRule>
  </conditionalFormatting>
  <conditionalFormatting sqref="AB10">
    <cfRule type="colorScale" priority="150">
      <colorScale>
        <cfvo type="num" val="0"/>
        <cfvo type="num" val="0.5"/>
        <cfvo type="num" val="1"/>
        <color rgb="FF92D050"/>
        <color rgb="FFFFA709"/>
        <color rgb="FFFF0000"/>
      </colorScale>
    </cfRule>
  </conditionalFormatting>
  <conditionalFormatting sqref="X13 AA13 AC13">
    <cfRule type="colorScale" priority="149">
      <colorScale>
        <cfvo type="num" val="0"/>
        <cfvo type="num" val="0.5"/>
        <cfvo type="num" val="1"/>
        <color rgb="FF92D050"/>
        <color rgb="FFFFA709"/>
        <color rgb="FFFF0000"/>
      </colorScale>
    </cfRule>
  </conditionalFormatting>
  <conditionalFormatting sqref="Y13">
    <cfRule type="colorScale" priority="148">
      <colorScale>
        <cfvo type="num" val="0"/>
        <cfvo type="num" val="0.5"/>
        <cfvo type="num" val="1"/>
        <color rgb="FF92D050"/>
        <color rgb="FFFFA709"/>
        <color rgb="FFFF0000"/>
      </colorScale>
    </cfRule>
  </conditionalFormatting>
  <conditionalFormatting sqref="Z13">
    <cfRule type="colorScale" priority="147">
      <colorScale>
        <cfvo type="num" val="0"/>
        <cfvo type="num" val="0.5"/>
        <cfvo type="num" val="1"/>
        <color rgb="FF92D050"/>
        <color rgb="FFFFA709"/>
        <color rgb="FFFF0000"/>
      </colorScale>
    </cfRule>
  </conditionalFormatting>
  <conditionalFormatting sqref="AB13">
    <cfRule type="colorScale" priority="146">
      <colorScale>
        <cfvo type="num" val="0"/>
        <cfvo type="num" val="0.5"/>
        <cfvo type="num" val="1"/>
        <color rgb="FF92D050"/>
        <color rgb="FFFFA709"/>
        <color rgb="FFFF0000"/>
      </colorScale>
    </cfRule>
  </conditionalFormatting>
  <conditionalFormatting sqref="X16 AA16 AC16">
    <cfRule type="colorScale" priority="145">
      <colorScale>
        <cfvo type="num" val="0"/>
        <cfvo type="num" val="0.5"/>
        <cfvo type="num" val="1"/>
        <color rgb="FF92D050"/>
        <color rgb="FFFFA709"/>
        <color rgb="FFFF0000"/>
      </colorScale>
    </cfRule>
  </conditionalFormatting>
  <conditionalFormatting sqref="Y16">
    <cfRule type="colorScale" priority="144">
      <colorScale>
        <cfvo type="num" val="0"/>
        <cfvo type="num" val="0.5"/>
        <cfvo type="num" val="1"/>
        <color rgb="FF92D050"/>
        <color rgb="FFFFA709"/>
        <color rgb="FFFF0000"/>
      </colorScale>
    </cfRule>
  </conditionalFormatting>
  <conditionalFormatting sqref="Z16">
    <cfRule type="colorScale" priority="143">
      <colorScale>
        <cfvo type="num" val="0"/>
        <cfvo type="num" val="0.5"/>
        <cfvo type="num" val="1"/>
        <color rgb="FF92D050"/>
        <color rgb="FFFFA709"/>
        <color rgb="FFFF0000"/>
      </colorScale>
    </cfRule>
  </conditionalFormatting>
  <conditionalFormatting sqref="AB16">
    <cfRule type="colorScale" priority="142">
      <colorScale>
        <cfvo type="num" val="0"/>
        <cfvo type="num" val="0.5"/>
        <cfvo type="num" val="1"/>
        <color rgb="FF92D050"/>
        <color rgb="FFFFA709"/>
        <color rgb="FFFF0000"/>
      </colorScale>
    </cfRule>
  </conditionalFormatting>
  <conditionalFormatting sqref="X19">
    <cfRule type="colorScale" priority="141">
      <colorScale>
        <cfvo type="num" val="0"/>
        <cfvo type="num" val="0.5"/>
        <cfvo type="num" val="1"/>
        <color rgb="FF92D050"/>
        <color rgb="FFFFA709"/>
        <color rgb="FFFF0000"/>
      </colorScale>
    </cfRule>
  </conditionalFormatting>
  <conditionalFormatting sqref="Y19">
    <cfRule type="colorScale" priority="140">
      <colorScale>
        <cfvo type="num" val="0"/>
        <cfvo type="num" val="0.5"/>
        <cfvo type="num" val="1"/>
        <color rgb="FF92D050"/>
        <color rgb="FFFFA709"/>
        <color rgb="FFFF0000"/>
      </colorScale>
    </cfRule>
  </conditionalFormatting>
  <conditionalFormatting sqref="Z19">
    <cfRule type="colorScale" priority="139">
      <colorScale>
        <cfvo type="num" val="0"/>
        <cfvo type="num" val="0.5"/>
        <cfvo type="num" val="1"/>
        <color rgb="FF92D050"/>
        <color rgb="FFFFA709"/>
        <color rgb="FFFF0000"/>
      </colorScale>
    </cfRule>
  </conditionalFormatting>
  <conditionalFormatting sqref="AA19">
    <cfRule type="colorScale" priority="138">
      <colorScale>
        <cfvo type="num" val="0"/>
        <cfvo type="num" val="0.5"/>
        <cfvo type="num" val="1"/>
        <color rgb="FF92D050"/>
        <color rgb="FFFFA709"/>
        <color rgb="FFFF0000"/>
      </colorScale>
    </cfRule>
  </conditionalFormatting>
  <conditionalFormatting sqref="AB19">
    <cfRule type="colorScale" priority="137">
      <colorScale>
        <cfvo type="num" val="0"/>
        <cfvo type="num" val="0.5"/>
        <cfvo type="num" val="1"/>
        <color rgb="FF92D050"/>
        <color rgb="FFFFA709"/>
        <color rgb="FFFF0000"/>
      </colorScale>
    </cfRule>
  </conditionalFormatting>
  <conditionalFormatting sqref="AC19">
    <cfRule type="colorScale" priority="136">
      <colorScale>
        <cfvo type="num" val="0"/>
        <cfvo type="num" val="0.5"/>
        <cfvo type="num" val="1"/>
        <color rgb="FF92D050"/>
        <color rgb="FFFFA709"/>
        <color rgb="FFFF0000"/>
      </colorScale>
    </cfRule>
  </conditionalFormatting>
  <conditionalFormatting sqref="AD1:AH1">
    <cfRule type="timePeriod" dxfId="6" priority="135" timePeriod="today">
      <formula>FLOOR(AD1,1)=TODAY()</formula>
    </cfRule>
  </conditionalFormatting>
  <conditionalFormatting sqref="AD4 AG4 AI4">
    <cfRule type="colorScale" priority="134">
      <colorScale>
        <cfvo type="num" val="0"/>
        <cfvo type="num" val="0.5"/>
        <cfvo type="num" val="1"/>
        <color rgb="FF92D050"/>
        <color rgb="FFFFA709"/>
        <color rgb="FFFF0000"/>
      </colorScale>
    </cfRule>
  </conditionalFormatting>
  <conditionalFormatting sqref="AE4">
    <cfRule type="colorScale" priority="133">
      <colorScale>
        <cfvo type="num" val="0"/>
        <cfvo type="num" val="0.5"/>
        <cfvo type="num" val="1"/>
        <color rgb="FF92D050"/>
        <color rgb="FFFFA709"/>
        <color rgb="FFFF0000"/>
      </colorScale>
    </cfRule>
  </conditionalFormatting>
  <conditionalFormatting sqref="AF4">
    <cfRule type="colorScale" priority="132">
      <colorScale>
        <cfvo type="num" val="0"/>
        <cfvo type="num" val="0.5"/>
        <cfvo type="num" val="1"/>
        <color rgb="FF92D050"/>
        <color rgb="FFFFA709"/>
        <color rgb="FFFF0000"/>
      </colorScale>
    </cfRule>
  </conditionalFormatting>
  <conditionalFormatting sqref="AH4">
    <cfRule type="colorScale" priority="131">
      <colorScale>
        <cfvo type="num" val="0"/>
        <cfvo type="num" val="0.5"/>
        <cfvo type="num" val="1"/>
        <color rgb="FF92D050"/>
        <color rgb="FFFFA709"/>
        <color rgb="FFFF0000"/>
      </colorScale>
    </cfRule>
  </conditionalFormatting>
  <conditionalFormatting sqref="AD7 AG7 AI7">
    <cfRule type="colorScale" priority="130">
      <colorScale>
        <cfvo type="num" val="0"/>
        <cfvo type="num" val="0.5"/>
        <cfvo type="num" val="1"/>
        <color rgb="FF92D050"/>
        <color rgb="FFFFA709"/>
        <color rgb="FFFF0000"/>
      </colorScale>
    </cfRule>
  </conditionalFormatting>
  <conditionalFormatting sqref="AE7">
    <cfRule type="colorScale" priority="129">
      <colorScale>
        <cfvo type="num" val="0"/>
        <cfvo type="num" val="0.5"/>
        <cfvo type="num" val="1"/>
        <color rgb="FF92D050"/>
        <color rgb="FFFFA709"/>
        <color rgb="FFFF0000"/>
      </colorScale>
    </cfRule>
  </conditionalFormatting>
  <conditionalFormatting sqref="AF7">
    <cfRule type="colorScale" priority="128">
      <colorScale>
        <cfvo type="num" val="0"/>
        <cfvo type="num" val="0.5"/>
        <cfvo type="num" val="1"/>
        <color rgb="FF92D050"/>
        <color rgb="FFFFA709"/>
        <color rgb="FFFF0000"/>
      </colorScale>
    </cfRule>
  </conditionalFormatting>
  <conditionalFormatting sqref="AH7">
    <cfRule type="colorScale" priority="127">
      <colorScale>
        <cfvo type="num" val="0"/>
        <cfvo type="num" val="0.5"/>
        <cfvo type="num" val="1"/>
        <color rgb="FF92D050"/>
        <color rgb="FFFFA709"/>
        <color rgb="FFFF0000"/>
      </colorScale>
    </cfRule>
  </conditionalFormatting>
  <conditionalFormatting sqref="AD10 AG10 AI10">
    <cfRule type="colorScale" priority="126">
      <colorScale>
        <cfvo type="num" val="0"/>
        <cfvo type="num" val="0.5"/>
        <cfvo type="num" val="1"/>
        <color rgb="FF92D050"/>
        <color rgb="FFFFA709"/>
        <color rgb="FFFF0000"/>
      </colorScale>
    </cfRule>
  </conditionalFormatting>
  <conditionalFormatting sqref="AE10">
    <cfRule type="colorScale" priority="125">
      <colorScale>
        <cfvo type="num" val="0"/>
        <cfvo type="num" val="0.5"/>
        <cfvo type="num" val="1"/>
        <color rgb="FF92D050"/>
        <color rgb="FFFFA709"/>
        <color rgb="FFFF0000"/>
      </colorScale>
    </cfRule>
  </conditionalFormatting>
  <conditionalFormatting sqref="AF10">
    <cfRule type="colorScale" priority="124">
      <colorScale>
        <cfvo type="num" val="0"/>
        <cfvo type="num" val="0.5"/>
        <cfvo type="num" val="1"/>
        <color rgb="FF92D050"/>
        <color rgb="FFFFA709"/>
        <color rgb="FFFF0000"/>
      </colorScale>
    </cfRule>
  </conditionalFormatting>
  <conditionalFormatting sqref="AH10">
    <cfRule type="colorScale" priority="123">
      <colorScale>
        <cfvo type="num" val="0"/>
        <cfvo type="num" val="0.5"/>
        <cfvo type="num" val="1"/>
        <color rgb="FF92D050"/>
        <color rgb="FFFFA709"/>
        <color rgb="FFFF0000"/>
      </colorScale>
    </cfRule>
  </conditionalFormatting>
  <conditionalFormatting sqref="AD13 AG13 AI13">
    <cfRule type="colorScale" priority="122">
      <colorScale>
        <cfvo type="num" val="0"/>
        <cfvo type="num" val="0.5"/>
        <cfvo type="num" val="1"/>
        <color rgb="FF92D050"/>
        <color rgb="FFFFA709"/>
        <color rgb="FFFF0000"/>
      </colorScale>
    </cfRule>
  </conditionalFormatting>
  <conditionalFormatting sqref="AE13">
    <cfRule type="colorScale" priority="121">
      <colorScale>
        <cfvo type="num" val="0"/>
        <cfvo type="num" val="0.5"/>
        <cfvo type="num" val="1"/>
        <color rgb="FF92D050"/>
        <color rgb="FFFFA709"/>
        <color rgb="FFFF0000"/>
      </colorScale>
    </cfRule>
  </conditionalFormatting>
  <conditionalFormatting sqref="AF13">
    <cfRule type="colorScale" priority="120">
      <colorScale>
        <cfvo type="num" val="0"/>
        <cfvo type="num" val="0.5"/>
        <cfvo type="num" val="1"/>
        <color rgb="FF92D050"/>
        <color rgb="FFFFA709"/>
        <color rgb="FFFF0000"/>
      </colorScale>
    </cfRule>
  </conditionalFormatting>
  <conditionalFormatting sqref="AH13">
    <cfRule type="colorScale" priority="119">
      <colorScale>
        <cfvo type="num" val="0"/>
        <cfvo type="num" val="0.5"/>
        <cfvo type="num" val="1"/>
        <color rgb="FF92D050"/>
        <color rgb="FFFFA709"/>
        <color rgb="FFFF0000"/>
      </colorScale>
    </cfRule>
  </conditionalFormatting>
  <conditionalFormatting sqref="AD16 AG16 AI16">
    <cfRule type="colorScale" priority="118">
      <colorScale>
        <cfvo type="num" val="0"/>
        <cfvo type="num" val="0.5"/>
        <cfvo type="num" val="1"/>
        <color rgb="FF92D050"/>
        <color rgb="FFFFA709"/>
        <color rgb="FFFF0000"/>
      </colorScale>
    </cfRule>
  </conditionalFormatting>
  <conditionalFormatting sqref="AE16">
    <cfRule type="colorScale" priority="117">
      <colorScale>
        <cfvo type="num" val="0"/>
        <cfvo type="num" val="0.5"/>
        <cfvo type="num" val="1"/>
        <color rgb="FF92D050"/>
        <color rgb="FFFFA709"/>
        <color rgb="FFFF0000"/>
      </colorScale>
    </cfRule>
  </conditionalFormatting>
  <conditionalFormatting sqref="AF16">
    <cfRule type="colorScale" priority="116">
      <colorScale>
        <cfvo type="num" val="0"/>
        <cfvo type="num" val="0.5"/>
        <cfvo type="num" val="1"/>
        <color rgb="FF92D050"/>
        <color rgb="FFFFA709"/>
        <color rgb="FFFF0000"/>
      </colorScale>
    </cfRule>
  </conditionalFormatting>
  <conditionalFormatting sqref="AH16">
    <cfRule type="colorScale" priority="115">
      <colorScale>
        <cfvo type="num" val="0"/>
        <cfvo type="num" val="0.5"/>
        <cfvo type="num" val="1"/>
        <color rgb="FF92D050"/>
        <color rgb="FFFFA709"/>
        <color rgb="FFFF0000"/>
      </colorScale>
    </cfRule>
  </conditionalFormatting>
  <conditionalFormatting sqref="AD19">
    <cfRule type="colorScale" priority="114">
      <colorScale>
        <cfvo type="num" val="0"/>
        <cfvo type="num" val="0.5"/>
        <cfvo type="num" val="1"/>
        <color rgb="FF92D050"/>
        <color rgb="FFFFA709"/>
        <color rgb="FFFF0000"/>
      </colorScale>
    </cfRule>
  </conditionalFormatting>
  <conditionalFormatting sqref="AE19">
    <cfRule type="colorScale" priority="113">
      <colorScale>
        <cfvo type="num" val="0"/>
        <cfvo type="num" val="0.5"/>
        <cfvo type="num" val="1"/>
        <color rgb="FF92D050"/>
        <color rgb="FFFFA709"/>
        <color rgb="FFFF0000"/>
      </colorScale>
    </cfRule>
  </conditionalFormatting>
  <conditionalFormatting sqref="AF19">
    <cfRule type="colorScale" priority="112">
      <colorScale>
        <cfvo type="num" val="0"/>
        <cfvo type="num" val="0.5"/>
        <cfvo type="num" val="1"/>
        <color rgb="FF92D050"/>
        <color rgb="FFFFA709"/>
        <color rgb="FFFF0000"/>
      </colorScale>
    </cfRule>
  </conditionalFormatting>
  <conditionalFormatting sqref="AG19">
    <cfRule type="colorScale" priority="111">
      <colorScale>
        <cfvo type="num" val="0"/>
        <cfvo type="num" val="0.5"/>
        <cfvo type="num" val="1"/>
        <color rgb="FF92D050"/>
        <color rgb="FFFFA709"/>
        <color rgb="FFFF0000"/>
      </colorScale>
    </cfRule>
  </conditionalFormatting>
  <conditionalFormatting sqref="AH19">
    <cfRule type="colorScale" priority="110">
      <colorScale>
        <cfvo type="num" val="0"/>
        <cfvo type="num" val="0.5"/>
        <cfvo type="num" val="1"/>
        <color rgb="FF92D050"/>
        <color rgb="FFFFA709"/>
        <color rgb="FFFF0000"/>
      </colorScale>
    </cfRule>
  </conditionalFormatting>
  <conditionalFormatting sqref="AI19">
    <cfRule type="colorScale" priority="109">
      <colorScale>
        <cfvo type="num" val="0"/>
        <cfvo type="num" val="0.5"/>
        <cfvo type="num" val="1"/>
        <color rgb="FF92D050"/>
        <color rgb="FFFFA709"/>
        <color rgb="FFFF0000"/>
      </colorScale>
    </cfRule>
  </conditionalFormatting>
  <conditionalFormatting sqref="AJ1:AN1">
    <cfRule type="timePeriod" dxfId="5" priority="108" timePeriod="today">
      <formula>FLOOR(AJ1,1)=TODAY()</formula>
    </cfRule>
  </conditionalFormatting>
  <conditionalFormatting sqref="AJ4 AM4 AO4">
    <cfRule type="colorScale" priority="107">
      <colorScale>
        <cfvo type="num" val="0"/>
        <cfvo type="num" val="0.5"/>
        <cfvo type="num" val="1"/>
        <color rgb="FF92D050"/>
        <color rgb="FFFFA709"/>
        <color rgb="FFFF0000"/>
      </colorScale>
    </cfRule>
  </conditionalFormatting>
  <conditionalFormatting sqref="AK4">
    <cfRule type="colorScale" priority="106">
      <colorScale>
        <cfvo type="num" val="0"/>
        <cfvo type="num" val="0.5"/>
        <cfvo type="num" val="1"/>
        <color rgb="FF92D050"/>
        <color rgb="FFFFA709"/>
        <color rgb="FFFF0000"/>
      </colorScale>
    </cfRule>
  </conditionalFormatting>
  <conditionalFormatting sqref="AL4">
    <cfRule type="colorScale" priority="105">
      <colorScale>
        <cfvo type="num" val="0"/>
        <cfvo type="num" val="0.5"/>
        <cfvo type="num" val="1"/>
        <color rgb="FF92D050"/>
        <color rgb="FFFFA709"/>
        <color rgb="FFFF0000"/>
      </colorScale>
    </cfRule>
  </conditionalFormatting>
  <conditionalFormatting sqref="AN4">
    <cfRule type="colorScale" priority="104">
      <colorScale>
        <cfvo type="num" val="0"/>
        <cfvo type="num" val="0.5"/>
        <cfvo type="num" val="1"/>
        <color rgb="FF92D050"/>
        <color rgb="FFFFA709"/>
        <color rgb="FFFF0000"/>
      </colorScale>
    </cfRule>
  </conditionalFormatting>
  <conditionalFormatting sqref="AJ7 AM7 AO7">
    <cfRule type="colorScale" priority="103">
      <colorScale>
        <cfvo type="num" val="0"/>
        <cfvo type="num" val="0.5"/>
        <cfvo type="num" val="1"/>
        <color rgb="FF92D050"/>
        <color rgb="FFFFA709"/>
        <color rgb="FFFF0000"/>
      </colorScale>
    </cfRule>
  </conditionalFormatting>
  <conditionalFormatting sqref="AK7">
    <cfRule type="colorScale" priority="102">
      <colorScale>
        <cfvo type="num" val="0"/>
        <cfvo type="num" val="0.5"/>
        <cfvo type="num" val="1"/>
        <color rgb="FF92D050"/>
        <color rgb="FFFFA709"/>
        <color rgb="FFFF0000"/>
      </colorScale>
    </cfRule>
  </conditionalFormatting>
  <conditionalFormatting sqref="AL7">
    <cfRule type="colorScale" priority="101">
      <colorScale>
        <cfvo type="num" val="0"/>
        <cfvo type="num" val="0.5"/>
        <cfvo type="num" val="1"/>
        <color rgb="FF92D050"/>
        <color rgb="FFFFA709"/>
        <color rgb="FFFF0000"/>
      </colorScale>
    </cfRule>
  </conditionalFormatting>
  <conditionalFormatting sqref="AN7">
    <cfRule type="colorScale" priority="100">
      <colorScale>
        <cfvo type="num" val="0"/>
        <cfvo type="num" val="0.5"/>
        <cfvo type="num" val="1"/>
        <color rgb="FF92D050"/>
        <color rgb="FFFFA709"/>
        <color rgb="FFFF0000"/>
      </colorScale>
    </cfRule>
  </conditionalFormatting>
  <conditionalFormatting sqref="AJ10 AM10 AO10">
    <cfRule type="colorScale" priority="99">
      <colorScale>
        <cfvo type="num" val="0"/>
        <cfvo type="num" val="0.5"/>
        <cfvo type="num" val="1"/>
        <color rgb="FF92D050"/>
        <color rgb="FFFFA709"/>
        <color rgb="FFFF0000"/>
      </colorScale>
    </cfRule>
  </conditionalFormatting>
  <conditionalFormatting sqref="AK10">
    <cfRule type="colorScale" priority="98">
      <colorScale>
        <cfvo type="num" val="0"/>
        <cfvo type="num" val="0.5"/>
        <cfvo type="num" val="1"/>
        <color rgb="FF92D050"/>
        <color rgb="FFFFA709"/>
        <color rgb="FFFF0000"/>
      </colorScale>
    </cfRule>
  </conditionalFormatting>
  <conditionalFormatting sqref="AL10">
    <cfRule type="colorScale" priority="97">
      <colorScale>
        <cfvo type="num" val="0"/>
        <cfvo type="num" val="0.5"/>
        <cfvo type="num" val="1"/>
        <color rgb="FF92D050"/>
        <color rgb="FFFFA709"/>
        <color rgb="FFFF0000"/>
      </colorScale>
    </cfRule>
  </conditionalFormatting>
  <conditionalFormatting sqref="AN10">
    <cfRule type="colorScale" priority="96">
      <colorScale>
        <cfvo type="num" val="0"/>
        <cfvo type="num" val="0.5"/>
        <cfvo type="num" val="1"/>
        <color rgb="FF92D050"/>
        <color rgb="FFFFA709"/>
        <color rgb="FFFF0000"/>
      </colorScale>
    </cfRule>
  </conditionalFormatting>
  <conditionalFormatting sqref="AJ13 AM13 AO13">
    <cfRule type="colorScale" priority="95">
      <colorScale>
        <cfvo type="num" val="0"/>
        <cfvo type="num" val="0.5"/>
        <cfvo type="num" val="1"/>
        <color rgb="FF92D050"/>
        <color rgb="FFFFA709"/>
        <color rgb="FFFF0000"/>
      </colorScale>
    </cfRule>
  </conditionalFormatting>
  <conditionalFormatting sqref="AK13">
    <cfRule type="colorScale" priority="94">
      <colorScale>
        <cfvo type="num" val="0"/>
        <cfvo type="num" val="0.5"/>
        <cfvo type="num" val="1"/>
        <color rgb="FF92D050"/>
        <color rgb="FFFFA709"/>
        <color rgb="FFFF0000"/>
      </colorScale>
    </cfRule>
  </conditionalFormatting>
  <conditionalFormatting sqref="AL13">
    <cfRule type="colorScale" priority="93">
      <colorScale>
        <cfvo type="num" val="0"/>
        <cfvo type="num" val="0.5"/>
        <cfvo type="num" val="1"/>
        <color rgb="FF92D050"/>
        <color rgb="FFFFA709"/>
        <color rgb="FFFF0000"/>
      </colorScale>
    </cfRule>
  </conditionalFormatting>
  <conditionalFormatting sqref="AN13">
    <cfRule type="colorScale" priority="92">
      <colorScale>
        <cfvo type="num" val="0"/>
        <cfvo type="num" val="0.5"/>
        <cfvo type="num" val="1"/>
        <color rgb="FF92D050"/>
        <color rgb="FFFFA709"/>
        <color rgb="FFFF0000"/>
      </colorScale>
    </cfRule>
  </conditionalFormatting>
  <conditionalFormatting sqref="AJ16 AM16 AO16">
    <cfRule type="colorScale" priority="91">
      <colorScale>
        <cfvo type="num" val="0"/>
        <cfvo type="num" val="0.5"/>
        <cfvo type="num" val="1"/>
        <color rgb="FF92D050"/>
        <color rgb="FFFFA709"/>
        <color rgb="FFFF0000"/>
      </colorScale>
    </cfRule>
  </conditionalFormatting>
  <conditionalFormatting sqref="AK16">
    <cfRule type="colorScale" priority="90">
      <colorScale>
        <cfvo type="num" val="0"/>
        <cfvo type="num" val="0.5"/>
        <cfvo type="num" val="1"/>
        <color rgb="FF92D050"/>
        <color rgb="FFFFA709"/>
        <color rgb="FFFF0000"/>
      </colorScale>
    </cfRule>
  </conditionalFormatting>
  <conditionalFormatting sqref="AL16">
    <cfRule type="colorScale" priority="89">
      <colorScale>
        <cfvo type="num" val="0"/>
        <cfvo type="num" val="0.5"/>
        <cfvo type="num" val="1"/>
        <color rgb="FF92D050"/>
        <color rgb="FFFFA709"/>
        <color rgb="FFFF0000"/>
      </colorScale>
    </cfRule>
  </conditionalFormatting>
  <conditionalFormatting sqref="AN16">
    <cfRule type="colorScale" priority="88">
      <colorScale>
        <cfvo type="num" val="0"/>
        <cfvo type="num" val="0.5"/>
        <cfvo type="num" val="1"/>
        <color rgb="FF92D050"/>
        <color rgb="FFFFA709"/>
        <color rgb="FFFF0000"/>
      </colorScale>
    </cfRule>
  </conditionalFormatting>
  <conditionalFormatting sqref="AJ19">
    <cfRule type="colorScale" priority="87">
      <colorScale>
        <cfvo type="num" val="0"/>
        <cfvo type="num" val="0.5"/>
        <cfvo type="num" val="1"/>
        <color rgb="FF92D050"/>
        <color rgb="FFFFA709"/>
        <color rgb="FFFF0000"/>
      </colorScale>
    </cfRule>
  </conditionalFormatting>
  <conditionalFormatting sqref="AK19">
    <cfRule type="colorScale" priority="86">
      <colorScale>
        <cfvo type="num" val="0"/>
        <cfvo type="num" val="0.5"/>
        <cfvo type="num" val="1"/>
        <color rgb="FF92D050"/>
        <color rgb="FFFFA709"/>
        <color rgb="FFFF0000"/>
      </colorScale>
    </cfRule>
  </conditionalFormatting>
  <conditionalFormatting sqref="AL19">
    <cfRule type="colorScale" priority="85">
      <colorScale>
        <cfvo type="num" val="0"/>
        <cfvo type="num" val="0.5"/>
        <cfvo type="num" val="1"/>
        <color rgb="FF92D050"/>
        <color rgb="FFFFA709"/>
        <color rgb="FFFF0000"/>
      </colorScale>
    </cfRule>
  </conditionalFormatting>
  <conditionalFormatting sqref="AM19">
    <cfRule type="colorScale" priority="84">
      <colorScale>
        <cfvo type="num" val="0"/>
        <cfvo type="num" val="0.5"/>
        <cfvo type="num" val="1"/>
        <color rgb="FF92D050"/>
        <color rgb="FFFFA709"/>
        <color rgb="FFFF0000"/>
      </colorScale>
    </cfRule>
  </conditionalFormatting>
  <conditionalFormatting sqref="AN19">
    <cfRule type="colorScale" priority="83">
      <colorScale>
        <cfvo type="num" val="0"/>
        <cfvo type="num" val="0.5"/>
        <cfvo type="num" val="1"/>
        <color rgb="FF92D050"/>
        <color rgb="FFFFA709"/>
        <color rgb="FFFF0000"/>
      </colorScale>
    </cfRule>
  </conditionalFormatting>
  <conditionalFormatting sqref="AO19">
    <cfRule type="colorScale" priority="82">
      <colorScale>
        <cfvo type="num" val="0"/>
        <cfvo type="num" val="0.5"/>
        <cfvo type="num" val="1"/>
        <color rgb="FF92D050"/>
        <color rgb="FFFFA709"/>
        <color rgb="FFFF0000"/>
      </colorScale>
    </cfRule>
  </conditionalFormatting>
  <conditionalFormatting sqref="AP1:AT1">
    <cfRule type="timePeriod" dxfId="4" priority="81" timePeriod="today">
      <formula>FLOOR(AP1,1)=TODAY()</formula>
    </cfRule>
  </conditionalFormatting>
  <conditionalFormatting sqref="AP4 AS4 AU4">
    <cfRule type="colorScale" priority="80">
      <colorScale>
        <cfvo type="num" val="0"/>
        <cfvo type="num" val="0.5"/>
        <cfvo type="num" val="1"/>
        <color rgb="FF92D050"/>
        <color rgb="FFFFA709"/>
        <color rgb="FFFF0000"/>
      </colorScale>
    </cfRule>
  </conditionalFormatting>
  <conditionalFormatting sqref="AQ4">
    <cfRule type="colorScale" priority="79">
      <colorScale>
        <cfvo type="num" val="0"/>
        <cfvo type="num" val="0.5"/>
        <cfvo type="num" val="1"/>
        <color rgb="FF92D050"/>
        <color rgb="FFFFA709"/>
        <color rgb="FFFF0000"/>
      </colorScale>
    </cfRule>
  </conditionalFormatting>
  <conditionalFormatting sqref="AR4">
    <cfRule type="colorScale" priority="78">
      <colorScale>
        <cfvo type="num" val="0"/>
        <cfvo type="num" val="0.5"/>
        <cfvo type="num" val="1"/>
        <color rgb="FF92D050"/>
        <color rgb="FFFFA709"/>
        <color rgb="FFFF0000"/>
      </colorScale>
    </cfRule>
  </conditionalFormatting>
  <conditionalFormatting sqref="AT4">
    <cfRule type="colorScale" priority="77">
      <colorScale>
        <cfvo type="num" val="0"/>
        <cfvo type="num" val="0.5"/>
        <cfvo type="num" val="1"/>
        <color rgb="FF92D050"/>
        <color rgb="FFFFA709"/>
        <color rgb="FFFF0000"/>
      </colorScale>
    </cfRule>
  </conditionalFormatting>
  <conditionalFormatting sqref="AP7 AS7 AU7">
    <cfRule type="colorScale" priority="76">
      <colorScale>
        <cfvo type="num" val="0"/>
        <cfvo type="num" val="0.5"/>
        <cfvo type="num" val="1"/>
        <color rgb="FF92D050"/>
        <color rgb="FFFFA709"/>
        <color rgb="FFFF0000"/>
      </colorScale>
    </cfRule>
  </conditionalFormatting>
  <conditionalFormatting sqref="AQ7">
    <cfRule type="colorScale" priority="75">
      <colorScale>
        <cfvo type="num" val="0"/>
        <cfvo type="num" val="0.5"/>
        <cfvo type="num" val="1"/>
        <color rgb="FF92D050"/>
        <color rgb="FFFFA709"/>
        <color rgb="FFFF0000"/>
      </colorScale>
    </cfRule>
  </conditionalFormatting>
  <conditionalFormatting sqref="AR7">
    <cfRule type="colorScale" priority="74">
      <colorScale>
        <cfvo type="num" val="0"/>
        <cfvo type="num" val="0.5"/>
        <cfvo type="num" val="1"/>
        <color rgb="FF92D050"/>
        <color rgb="FFFFA709"/>
        <color rgb="FFFF0000"/>
      </colorScale>
    </cfRule>
  </conditionalFormatting>
  <conditionalFormatting sqref="AT7">
    <cfRule type="colorScale" priority="73">
      <colorScale>
        <cfvo type="num" val="0"/>
        <cfvo type="num" val="0.5"/>
        <cfvo type="num" val="1"/>
        <color rgb="FF92D050"/>
        <color rgb="FFFFA709"/>
        <color rgb="FFFF0000"/>
      </colorScale>
    </cfRule>
  </conditionalFormatting>
  <conditionalFormatting sqref="AP10 AS10 AU10">
    <cfRule type="colorScale" priority="72">
      <colorScale>
        <cfvo type="num" val="0"/>
        <cfvo type="num" val="0.5"/>
        <cfvo type="num" val="1"/>
        <color rgb="FF92D050"/>
        <color rgb="FFFFA709"/>
        <color rgb="FFFF0000"/>
      </colorScale>
    </cfRule>
  </conditionalFormatting>
  <conditionalFormatting sqref="AQ10">
    <cfRule type="colorScale" priority="71">
      <colorScale>
        <cfvo type="num" val="0"/>
        <cfvo type="num" val="0.5"/>
        <cfvo type="num" val="1"/>
        <color rgb="FF92D050"/>
        <color rgb="FFFFA709"/>
        <color rgb="FFFF0000"/>
      </colorScale>
    </cfRule>
  </conditionalFormatting>
  <conditionalFormatting sqref="AR10">
    <cfRule type="colorScale" priority="70">
      <colorScale>
        <cfvo type="num" val="0"/>
        <cfvo type="num" val="0.5"/>
        <cfvo type="num" val="1"/>
        <color rgb="FF92D050"/>
        <color rgb="FFFFA709"/>
        <color rgb="FFFF0000"/>
      </colorScale>
    </cfRule>
  </conditionalFormatting>
  <conditionalFormatting sqref="AT10">
    <cfRule type="colorScale" priority="69">
      <colorScale>
        <cfvo type="num" val="0"/>
        <cfvo type="num" val="0.5"/>
        <cfvo type="num" val="1"/>
        <color rgb="FF92D050"/>
        <color rgb="FFFFA709"/>
        <color rgb="FFFF0000"/>
      </colorScale>
    </cfRule>
  </conditionalFormatting>
  <conditionalFormatting sqref="AS13 AP13 AU13">
    <cfRule type="colorScale" priority="68">
      <colorScale>
        <cfvo type="num" val="0"/>
        <cfvo type="num" val="0.5"/>
        <cfvo type="num" val="1"/>
        <color rgb="FF92D050"/>
        <color rgb="FFFFA709"/>
        <color rgb="FFFF0000"/>
      </colorScale>
    </cfRule>
  </conditionalFormatting>
  <conditionalFormatting sqref="AQ13">
    <cfRule type="colorScale" priority="67">
      <colorScale>
        <cfvo type="num" val="0"/>
        <cfvo type="num" val="0.5"/>
        <cfvo type="num" val="1"/>
        <color rgb="FF92D050"/>
        <color rgb="FFFFA709"/>
        <color rgb="FFFF0000"/>
      </colorScale>
    </cfRule>
  </conditionalFormatting>
  <conditionalFormatting sqref="AR13">
    <cfRule type="colorScale" priority="66">
      <colorScale>
        <cfvo type="num" val="0"/>
        <cfvo type="num" val="0.5"/>
        <cfvo type="num" val="1"/>
        <color rgb="FF92D050"/>
        <color rgb="FFFFA709"/>
        <color rgb="FFFF0000"/>
      </colorScale>
    </cfRule>
  </conditionalFormatting>
  <conditionalFormatting sqref="AT13">
    <cfRule type="colorScale" priority="65">
      <colorScale>
        <cfvo type="num" val="0"/>
        <cfvo type="num" val="0.5"/>
        <cfvo type="num" val="1"/>
        <color rgb="FF92D050"/>
        <color rgb="FFFFA709"/>
        <color rgb="FFFF0000"/>
      </colorScale>
    </cfRule>
  </conditionalFormatting>
  <conditionalFormatting sqref="AP16 AS16 AU16">
    <cfRule type="colorScale" priority="64">
      <colorScale>
        <cfvo type="num" val="0"/>
        <cfvo type="num" val="0.5"/>
        <cfvo type="num" val="1"/>
        <color rgb="FF92D050"/>
        <color rgb="FFFFA709"/>
        <color rgb="FFFF0000"/>
      </colorScale>
    </cfRule>
  </conditionalFormatting>
  <conditionalFormatting sqref="AQ16">
    <cfRule type="colorScale" priority="63">
      <colorScale>
        <cfvo type="num" val="0"/>
        <cfvo type="num" val="0.5"/>
        <cfvo type="num" val="1"/>
        <color rgb="FF92D050"/>
        <color rgb="FFFFA709"/>
        <color rgb="FFFF0000"/>
      </colorScale>
    </cfRule>
  </conditionalFormatting>
  <conditionalFormatting sqref="AR16">
    <cfRule type="colorScale" priority="62">
      <colorScale>
        <cfvo type="num" val="0"/>
        <cfvo type="num" val="0.5"/>
        <cfvo type="num" val="1"/>
        <color rgb="FF92D050"/>
        <color rgb="FFFFA709"/>
        <color rgb="FFFF0000"/>
      </colorScale>
    </cfRule>
  </conditionalFormatting>
  <conditionalFormatting sqref="AT16">
    <cfRule type="colorScale" priority="61">
      <colorScale>
        <cfvo type="num" val="0"/>
        <cfvo type="num" val="0.5"/>
        <cfvo type="num" val="1"/>
        <color rgb="FF92D050"/>
        <color rgb="FFFFA709"/>
        <color rgb="FFFF0000"/>
      </colorScale>
    </cfRule>
  </conditionalFormatting>
  <conditionalFormatting sqref="AP19">
    <cfRule type="colorScale" priority="60">
      <colorScale>
        <cfvo type="num" val="0"/>
        <cfvo type="num" val="0.5"/>
        <cfvo type="num" val="1"/>
        <color rgb="FF92D050"/>
        <color rgb="FFFFA709"/>
        <color rgb="FFFF0000"/>
      </colorScale>
    </cfRule>
  </conditionalFormatting>
  <conditionalFormatting sqref="AQ19">
    <cfRule type="colorScale" priority="59">
      <colorScale>
        <cfvo type="num" val="0"/>
        <cfvo type="num" val="0.5"/>
        <cfvo type="num" val="1"/>
        <color rgb="FF92D050"/>
        <color rgb="FFFFA709"/>
        <color rgb="FFFF0000"/>
      </colorScale>
    </cfRule>
  </conditionalFormatting>
  <conditionalFormatting sqref="AR19">
    <cfRule type="colorScale" priority="58">
      <colorScale>
        <cfvo type="num" val="0"/>
        <cfvo type="num" val="0.5"/>
        <cfvo type="num" val="1"/>
        <color rgb="FF92D050"/>
        <color rgb="FFFFA709"/>
        <color rgb="FFFF0000"/>
      </colorScale>
    </cfRule>
  </conditionalFormatting>
  <conditionalFormatting sqref="AS19">
    <cfRule type="colorScale" priority="57">
      <colorScale>
        <cfvo type="num" val="0"/>
        <cfvo type="num" val="0.5"/>
        <cfvo type="num" val="1"/>
        <color rgb="FF92D050"/>
        <color rgb="FFFFA709"/>
        <color rgb="FFFF0000"/>
      </colorScale>
    </cfRule>
  </conditionalFormatting>
  <conditionalFormatting sqref="AT19">
    <cfRule type="colorScale" priority="56">
      <colorScale>
        <cfvo type="num" val="0"/>
        <cfvo type="num" val="0.5"/>
        <cfvo type="num" val="1"/>
        <color rgb="FF92D050"/>
        <color rgb="FFFFA709"/>
        <color rgb="FFFF0000"/>
      </colorScale>
    </cfRule>
  </conditionalFormatting>
  <conditionalFormatting sqref="AU19">
    <cfRule type="colorScale" priority="55">
      <colorScale>
        <cfvo type="num" val="0"/>
        <cfvo type="num" val="0.5"/>
        <cfvo type="num" val="1"/>
        <color rgb="FF92D050"/>
        <color rgb="FFFFA709"/>
        <color rgb="FFFF0000"/>
      </colorScale>
    </cfRule>
  </conditionalFormatting>
  <conditionalFormatting sqref="AV1:AZ1">
    <cfRule type="timePeriod" dxfId="3" priority="54" timePeriod="today">
      <formula>FLOOR(AV1,1)=TODAY()</formula>
    </cfRule>
  </conditionalFormatting>
  <conditionalFormatting sqref="AV4 AY4 BA4">
    <cfRule type="colorScale" priority="53">
      <colorScale>
        <cfvo type="num" val="0"/>
        <cfvo type="num" val="0.5"/>
        <cfvo type="num" val="1"/>
        <color rgb="FF92D050"/>
        <color rgb="FFFFA709"/>
        <color rgb="FFFF0000"/>
      </colorScale>
    </cfRule>
  </conditionalFormatting>
  <conditionalFormatting sqref="AW4">
    <cfRule type="colorScale" priority="52">
      <colorScale>
        <cfvo type="num" val="0"/>
        <cfvo type="num" val="0.5"/>
        <cfvo type="num" val="1"/>
        <color rgb="FF92D050"/>
        <color rgb="FFFFA709"/>
        <color rgb="FFFF0000"/>
      </colorScale>
    </cfRule>
  </conditionalFormatting>
  <conditionalFormatting sqref="AX4">
    <cfRule type="colorScale" priority="51">
      <colorScale>
        <cfvo type="num" val="0"/>
        <cfvo type="num" val="0.5"/>
        <cfvo type="num" val="1"/>
        <color rgb="FF92D050"/>
        <color rgb="FFFFA709"/>
        <color rgb="FFFF0000"/>
      </colorScale>
    </cfRule>
  </conditionalFormatting>
  <conditionalFormatting sqref="AZ4">
    <cfRule type="colorScale" priority="50">
      <colorScale>
        <cfvo type="num" val="0"/>
        <cfvo type="num" val="0.5"/>
        <cfvo type="num" val="1"/>
        <color rgb="FF92D050"/>
        <color rgb="FFFFA709"/>
        <color rgb="FFFF0000"/>
      </colorScale>
    </cfRule>
  </conditionalFormatting>
  <conditionalFormatting sqref="AV7 AY7 BA7">
    <cfRule type="colorScale" priority="49">
      <colorScale>
        <cfvo type="num" val="0"/>
        <cfvo type="num" val="0.5"/>
        <cfvo type="num" val="1"/>
        <color rgb="FF92D050"/>
        <color rgb="FFFFA709"/>
        <color rgb="FFFF0000"/>
      </colorScale>
    </cfRule>
  </conditionalFormatting>
  <conditionalFormatting sqref="AW7">
    <cfRule type="colorScale" priority="48">
      <colorScale>
        <cfvo type="num" val="0"/>
        <cfvo type="num" val="0.5"/>
        <cfvo type="num" val="1"/>
        <color rgb="FF92D050"/>
        <color rgb="FFFFA709"/>
        <color rgb="FFFF0000"/>
      </colorScale>
    </cfRule>
  </conditionalFormatting>
  <conditionalFormatting sqref="AX7">
    <cfRule type="colorScale" priority="47">
      <colorScale>
        <cfvo type="num" val="0"/>
        <cfvo type="num" val="0.5"/>
        <cfvo type="num" val="1"/>
        <color rgb="FF92D050"/>
        <color rgb="FFFFA709"/>
        <color rgb="FFFF0000"/>
      </colorScale>
    </cfRule>
  </conditionalFormatting>
  <conditionalFormatting sqref="AZ7">
    <cfRule type="colorScale" priority="46">
      <colorScale>
        <cfvo type="num" val="0"/>
        <cfvo type="num" val="0.5"/>
        <cfvo type="num" val="1"/>
        <color rgb="FF92D050"/>
        <color rgb="FFFFA709"/>
        <color rgb="FFFF0000"/>
      </colorScale>
    </cfRule>
  </conditionalFormatting>
  <conditionalFormatting sqref="AV10 AY10 BA10">
    <cfRule type="colorScale" priority="45">
      <colorScale>
        <cfvo type="num" val="0"/>
        <cfvo type="num" val="0.5"/>
        <cfvo type="num" val="1"/>
        <color rgb="FF92D050"/>
        <color rgb="FFFFA709"/>
        <color rgb="FFFF0000"/>
      </colorScale>
    </cfRule>
  </conditionalFormatting>
  <conditionalFormatting sqref="AW10">
    <cfRule type="colorScale" priority="44">
      <colorScale>
        <cfvo type="num" val="0"/>
        <cfvo type="num" val="0.5"/>
        <cfvo type="num" val="1"/>
        <color rgb="FF92D050"/>
        <color rgb="FFFFA709"/>
        <color rgb="FFFF0000"/>
      </colorScale>
    </cfRule>
  </conditionalFormatting>
  <conditionalFormatting sqref="AX10">
    <cfRule type="colorScale" priority="43">
      <colorScale>
        <cfvo type="num" val="0"/>
        <cfvo type="num" val="0.5"/>
        <cfvo type="num" val="1"/>
        <color rgb="FF92D050"/>
        <color rgb="FFFFA709"/>
        <color rgb="FFFF0000"/>
      </colorScale>
    </cfRule>
  </conditionalFormatting>
  <conditionalFormatting sqref="AZ10">
    <cfRule type="colorScale" priority="42">
      <colorScale>
        <cfvo type="num" val="0"/>
        <cfvo type="num" val="0.5"/>
        <cfvo type="num" val="1"/>
        <color rgb="FF92D050"/>
        <color rgb="FFFFA709"/>
        <color rgb="FFFF0000"/>
      </colorScale>
    </cfRule>
  </conditionalFormatting>
  <conditionalFormatting sqref="AV13 AY13 BA13">
    <cfRule type="colorScale" priority="41">
      <colorScale>
        <cfvo type="num" val="0"/>
        <cfvo type="num" val="0.5"/>
        <cfvo type="num" val="1"/>
        <color rgb="FF92D050"/>
        <color rgb="FFFFA709"/>
        <color rgb="FFFF0000"/>
      </colorScale>
    </cfRule>
  </conditionalFormatting>
  <conditionalFormatting sqref="AW13">
    <cfRule type="colorScale" priority="40">
      <colorScale>
        <cfvo type="num" val="0"/>
        <cfvo type="num" val="0.5"/>
        <cfvo type="num" val="1"/>
        <color rgb="FF92D050"/>
        <color rgb="FFFFA709"/>
        <color rgb="FFFF0000"/>
      </colorScale>
    </cfRule>
  </conditionalFormatting>
  <conditionalFormatting sqref="AX13">
    <cfRule type="colorScale" priority="39">
      <colorScale>
        <cfvo type="num" val="0"/>
        <cfvo type="num" val="0.5"/>
        <cfvo type="num" val="1"/>
        <color rgb="FF92D050"/>
        <color rgb="FFFFA709"/>
        <color rgb="FFFF0000"/>
      </colorScale>
    </cfRule>
  </conditionalFormatting>
  <conditionalFormatting sqref="AZ13">
    <cfRule type="colorScale" priority="38">
      <colorScale>
        <cfvo type="num" val="0"/>
        <cfvo type="num" val="0.5"/>
        <cfvo type="num" val="1"/>
        <color rgb="FF92D050"/>
        <color rgb="FFFFA709"/>
        <color rgb="FFFF0000"/>
      </colorScale>
    </cfRule>
  </conditionalFormatting>
  <conditionalFormatting sqref="AY16 AV16 BA16">
    <cfRule type="colorScale" priority="37">
      <colorScale>
        <cfvo type="num" val="0"/>
        <cfvo type="num" val="0.5"/>
        <cfvo type="num" val="1"/>
        <color rgb="FF92D050"/>
        <color rgb="FFFFA709"/>
        <color rgb="FFFF0000"/>
      </colorScale>
    </cfRule>
  </conditionalFormatting>
  <conditionalFormatting sqref="AW16">
    <cfRule type="colorScale" priority="36">
      <colorScale>
        <cfvo type="num" val="0"/>
        <cfvo type="num" val="0.5"/>
        <cfvo type="num" val="1"/>
        <color rgb="FF92D050"/>
        <color rgb="FFFFA709"/>
        <color rgb="FFFF0000"/>
      </colorScale>
    </cfRule>
  </conditionalFormatting>
  <conditionalFormatting sqref="AX16">
    <cfRule type="colorScale" priority="35">
      <colorScale>
        <cfvo type="num" val="0"/>
        <cfvo type="num" val="0.5"/>
        <cfvo type="num" val="1"/>
        <color rgb="FF92D050"/>
        <color rgb="FFFFA709"/>
        <color rgb="FFFF0000"/>
      </colorScale>
    </cfRule>
  </conditionalFormatting>
  <conditionalFormatting sqref="AZ16">
    <cfRule type="colorScale" priority="34">
      <colorScale>
        <cfvo type="num" val="0"/>
        <cfvo type="num" val="0.5"/>
        <cfvo type="num" val="1"/>
        <color rgb="FF92D050"/>
        <color rgb="FFFFA709"/>
        <color rgb="FFFF0000"/>
      </colorScale>
    </cfRule>
  </conditionalFormatting>
  <conditionalFormatting sqref="AV19">
    <cfRule type="colorScale" priority="33">
      <colorScale>
        <cfvo type="num" val="0"/>
        <cfvo type="num" val="0.5"/>
        <cfvo type="num" val="1"/>
        <color rgb="FF92D050"/>
        <color rgb="FFFFA709"/>
        <color rgb="FFFF0000"/>
      </colorScale>
    </cfRule>
  </conditionalFormatting>
  <conditionalFormatting sqref="AW19">
    <cfRule type="colorScale" priority="32">
      <colorScale>
        <cfvo type="num" val="0"/>
        <cfvo type="num" val="0.5"/>
        <cfvo type="num" val="1"/>
        <color rgb="FF92D050"/>
        <color rgb="FFFFA709"/>
        <color rgb="FFFF0000"/>
      </colorScale>
    </cfRule>
  </conditionalFormatting>
  <conditionalFormatting sqref="AX19">
    <cfRule type="colorScale" priority="31">
      <colorScale>
        <cfvo type="num" val="0"/>
        <cfvo type="num" val="0.5"/>
        <cfvo type="num" val="1"/>
        <color rgb="FF92D050"/>
        <color rgb="FFFFA709"/>
        <color rgb="FFFF0000"/>
      </colorScale>
    </cfRule>
  </conditionalFormatting>
  <conditionalFormatting sqref="AY19">
    <cfRule type="colorScale" priority="30">
      <colorScale>
        <cfvo type="num" val="0"/>
        <cfvo type="num" val="0.5"/>
        <cfvo type="num" val="1"/>
        <color rgb="FF92D050"/>
        <color rgb="FFFFA709"/>
        <color rgb="FFFF0000"/>
      </colorScale>
    </cfRule>
  </conditionalFormatting>
  <conditionalFormatting sqref="AZ19">
    <cfRule type="colorScale" priority="29">
      <colorScale>
        <cfvo type="num" val="0"/>
        <cfvo type="num" val="0.5"/>
        <cfvo type="num" val="1"/>
        <color rgb="FF92D050"/>
        <color rgb="FFFFA709"/>
        <color rgb="FFFF0000"/>
      </colorScale>
    </cfRule>
  </conditionalFormatting>
  <conditionalFormatting sqref="BA19">
    <cfRule type="colorScale" priority="28">
      <colorScale>
        <cfvo type="num" val="0"/>
        <cfvo type="num" val="0.5"/>
        <cfvo type="num" val="1"/>
        <color rgb="FF92D050"/>
        <color rgb="FFFFA709"/>
        <color rgb="FFFF0000"/>
      </colorScale>
    </cfRule>
  </conditionalFormatting>
  <conditionalFormatting sqref="BB1:BF1">
    <cfRule type="timePeriod" dxfId="2" priority="27" timePeriod="today">
      <formula>FLOOR(BB1,1)=TODAY()</formula>
    </cfRule>
  </conditionalFormatting>
  <conditionalFormatting sqref="BB4 BE4 BG4">
    <cfRule type="colorScale" priority="26">
      <colorScale>
        <cfvo type="num" val="0"/>
        <cfvo type="num" val="0.5"/>
        <cfvo type="num" val="1"/>
        <color rgb="FF92D050"/>
        <color rgb="FFFFA709"/>
        <color rgb="FFFF0000"/>
      </colorScale>
    </cfRule>
  </conditionalFormatting>
  <conditionalFormatting sqref="BC4">
    <cfRule type="colorScale" priority="25">
      <colorScale>
        <cfvo type="num" val="0"/>
        <cfvo type="num" val="0.5"/>
        <cfvo type="num" val="1"/>
        <color rgb="FF92D050"/>
        <color rgb="FFFFA709"/>
        <color rgb="FFFF0000"/>
      </colorScale>
    </cfRule>
  </conditionalFormatting>
  <conditionalFormatting sqref="BD4">
    <cfRule type="colorScale" priority="24">
      <colorScale>
        <cfvo type="num" val="0"/>
        <cfvo type="num" val="0.5"/>
        <cfvo type="num" val="1"/>
        <color rgb="FF92D050"/>
        <color rgb="FFFFA709"/>
        <color rgb="FFFF0000"/>
      </colorScale>
    </cfRule>
  </conditionalFormatting>
  <conditionalFormatting sqref="BF4">
    <cfRule type="colorScale" priority="23">
      <colorScale>
        <cfvo type="num" val="0"/>
        <cfvo type="num" val="0.5"/>
        <cfvo type="num" val="1"/>
        <color rgb="FF92D050"/>
        <color rgb="FFFFA709"/>
        <color rgb="FFFF0000"/>
      </colorScale>
    </cfRule>
  </conditionalFormatting>
  <conditionalFormatting sqref="BB7 BE7 BG7">
    <cfRule type="colorScale" priority="22">
      <colorScale>
        <cfvo type="num" val="0"/>
        <cfvo type="num" val="0.5"/>
        <cfvo type="num" val="1"/>
        <color rgb="FF92D050"/>
        <color rgb="FFFFA709"/>
        <color rgb="FFFF0000"/>
      </colorScale>
    </cfRule>
  </conditionalFormatting>
  <conditionalFormatting sqref="BC7">
    <cfRule type="colorScale" priority="21">
      <colorScale>
        <cfvo type="num" val="0"/>
        <cfvo type="num" val="0.5"/>
        <cfvo type="num" val="1"/>
        <color rgb="FF92D050"/>
        <color rgb="FFFFA709"/>
        <color rgb="FFFF0000"/>
      </colorScale>
    </cfRule>
  </conditionalFormatting>
  <conditionalFormatting sqref="BD7">
    <cfRule type="colorScale" priority="20">
      <colorScale>
        <cfvo type="num" val="0"/>
        <cfvo type="num" val="0.5"/>
        <cfvo type="num" val="1"/>
        <color rgb="FF92D050"/>
        <color rgb="FFFFA709"/>
        <color rgb="FFFF0000"/>
      </colorScale>
    </cfRule>
  </conditionalFormatting>
  <conditionalFormatting sqref="BF7">
    <cfRule type="colorScale" priority="19">
      <colorScale>
        <cfvo type="num" val="0"/>
        <cfvo type="num" val="0.5"/>
        <cfvo type="num" val="1"/>
        <color rgb="FF92D050"/>
        <color rgb="FFFFA709"/>
        <color rgb="FFFF0000"/>
      </colorScale>
    </cfRule>
  </conditionalFormatting>
  <conditionalFormatting sqref="BB10 BE10 BG10">
    <cfRule type="colorScale" priority="18">
      <colorScale>
        <cfvo type="num" val="0"/>
        <cfvo type="num" val="0.5"/>
        <cfvo type="num" val="1"/>
        <color rgb="FF92D050"/>
        <color rgb="FFFFA709"/>
        <color rgb="FFFF0000"/>
      </colorScale>
    </cfRule>
  </conditionalFormatting>
  <conditionalFormatting sqref="BC10">
    <cfRule type="colorScale" priority="17">
      <colorScale>
        <cfvo type="num" val="0"/>
        <cfvo type="num" val="0.5"/>
        <cfvo type="num" val="1"/>
        <color rgb="FF92D050"/>
        <color rgb="FFFFA709"/>
        <color rgb="FFFF0000"/>
      </colorScale>
    </cfRule>
  </conditionalFormatting>
  <conditionalFormatting sqref="BD10">
    <cfRule type="colorScale" priority="16">
      <colorScale>
        <cfvo type="num" val="0"/>
        <cfvo type="num" val="0.5"/>
        <cfvo type="num" val="1"/>
        <color rgb="FF92D050"/>
        <color rgb="FFFFA709"/>
        <color rgb="FFFF0000"/>
      </colorScale>
    </cfRule>
  </conditionalFormatting>
  <conditionalFormatting sqref="BF10">
    <cfRule type="colorScale" priority="15">
      <colorScale>
        <cfvo type="num" val="0"/>
        <cfvo type="num" val="0.5"/>
        <cfvo type="num" val="1"/>
        <color rgb="FF92D050"/>
        <color rgb="FFFFA709"/>
        <color rgb="FFFF0000"/>
      </colorScale>
    </cfRule>
  </conditionalFormatting>
  <conditionalFormatting sqref="BB13 BE13 BG13">
    <cfRule type="colorScale" priority="14">
      <colorScale>
        <cfvo type="num" val="0"/>
        <cfvo type="num" val="0.5"/>
        <cfvo type="num" val="1"/>
        <color rgb="FF92D050"/>
        <color rgb="FFFFA709"/>
        <color rgb="FFFF0000"/>
      </colorScale>
    </cfRule>
  </conditionalFormatting>
  <conditionalFormatting sqref="BC13">
    <cfRule type="colorScale" priority="13">
      <colorScale>
        <cfvo type="num" val="0"/>
        <cfvo type="num" val="0.5"/>
        <cfvo type="num" val="1"/>
        <color rgb="FF92D050"/>
        <color rgb="FFFFA709"/>
        <color rgb="FFFF0000"/>
      </colorScale>
    </cfRule>
  </conditionalFormatting>
  <conditionalFormatting sqref="BD13">
    <cfRule type="colorScale" priority="12">
      <colorScale>
        <cfvo type="num" val="0"/>
        <cfvo type="num" val="0.5"/>
        <cfvo type="num" val="1"/>
        <color rgb="FF92D050"/>
        <color rgb="FFFFA709"/>
        <color rgb="FFFF0000"/>
      </colorScale>
    </cfRule>
  </conditionalFormatting>
  <conditionalFormatting sqref="BF13">
    <cfRule type="colorScale" priority="11">
      <colorScale>
        <cfvo type="num" val="0"/>
        <cfvo type="num" val="0.5"/>
        <cfvo type="num" val="1"/>
        <color rgb="FF92D050"/>
        <color rgb="FFFFA709"/>
        <color rgb="FFFF0000"/>
      </colorScale>
    </cfRule>
  </conditionalFormatting>
  <conditionalFormatting sqref="BB16 BE16 BG16">
    <cfRule type="colorScale" priority="10">
      <colorScale>
        <cfvo type="num" val="0"/>
        <cfvo type="num" val="0.5"/>
        <cfvo type="num" val="1"/>
        <color rgb="FF92D050"/>
        <color rgb="FFFFA709"/>
        <color rgb="FFFF0000"/>
      </colorScale>
    </cfRule>
  </conditionalFormatting>
  <conditionalFormatting sqref="BC16">
    <cfRule type="colorScale" priority="9">
      <colorScale>
        <cfvo type="num" val="0"/>
        <cfvo type="num" val="0.5"/>
        <cfvo type="num" val="1"/>
        <color rgb="FF92D050"/>
        <color rgb="FFFFA709"/>
        <color rgb="FFFF0000"/>
      </colorScale>
    </cfRule>
  </conditionalFormatting>
  <conditionalFormatting sqref="BD16">
    <cfRule type="colorScale" priority="8">
      <colorScale>
        <cfvo type="num" val="0"/>
        <cfvo type="num" val="0.5"/>
        <cfvo type="num" val="1"/>
        <color rgb="FF92D050"/>
        <color rgb="FFFFA709"/>
        <color rgb="FFFF0000"/>
      </colorScale>
    </cfRule>
  </conditionalFormatting>
  <conditionalFormatting sqref="BF16">
    <cfRule type="colorScale" priority="7">
      <colorScale>
        <cfvo type="num" val="0"/>
        <cfvo type="num" val="0.5"/>
        <cfvo type="num" val="1"/>
        <color rgb="FF92D050"/>
        <color rgb="FFFFA709"/>
        <color rgb="FFFF0000"/>
      </colorScale>
    </cfRule>
  </conditionalFormatting>
  <conditionalFormatting sqref="BB19">
    <cfRule type="colorScale" priority="6">
      <colorScale>
        <cfvo type="num" val="0"/>
        <cfvo type="num" val="0.5"/>
        <cfvo type="num" val="1"/>
        <color rgb="FF92D050"/>
        <color rgb="FFFFA709"/>
        <color rgb="FFFF0000"/>
      </colorScale>
    </cfRule>
  </conditionalFormatting>
  <conditionalFormatting sqref="BC19">
    <cfRule type="colorScale" priority="5">
      <colorScale>
        <cfvo type="num" val="0"/>
        <cfvo type="num" val="0.5"/>
        <cfvo type="num" val="1"/>
        <color rgb="FF92D050"/>
        <color rgb="FFFFA709"/>
        <color rgb="FFFF0000"/>
      </colorScale>
    </cfRule>
  </conditionalFormatting>
  <conditionalFormatting sqref="BD19">
    <cfRule type="colorScale" priority="4">
      <colorScale>
        <cfvo type="num" val="0"/>
        <cfvo type="num" val="0.5"/>
        <cfvo type="num" val="1"/>
        <color rgb="FF92D050"/>
        <color rgb="FFFFA709"/>
        <color rgb="FFFF0000"/>
      </colorScale>
    </cfRule>
  </conditionalFormatting>
  <conditionalFormatting sqref="BE19">
    <cfRule type="colorScale" priority="3">
      <colorScale>
        <cfvo type="num" val="0"/>
        <cfvo type="num" val="0.5"/>
        <cfvo type="num" val="1"/>
        <color rgb="FF92D050"/>
        <color rgb="FFFFA709"/>
        <color rgb="FFFF0000"/>
      </colorScale>
    </cfRule>
  </conditionalFormatting>
  <conditionalFormatting sqref="BF19">
    <cfRule type="colorScale" priority="2">
      <colorScale>
        <cfvo type="num" val="0"/>
        <cfvo type="num" val="0.5"/>
        <cfvo type="num" val="1"/>
        <color rgb="FF92D050"/>
        <color rgb="FFFFA709"/>
        <color rgb="FFFF0000"/>
      </colorScale>
    </cfRule>
  </conditionalFormatting>
  <conditionalFormatting sqref="BG19">
    <cfRule type="colorScale" priority="1">
      <colorScale>
        <cfvo type="num" val="0"/>
        <cfvo type="num" val="0.5"/>
        <cfvo type="num" val="1"/>
        <color rgb="FF92D050"/>
        <color rgb="FFFFA709"/>
        <color rgb="FFFF0000"/>
      </colorScale>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R114"/>
  <sheetViews>
    <sheetView tabSelected="1" workbookViewId="0">
      <pane xSplit="1" ySplit="1" topLeftCell="B100" activePane="bottomRight" state="frozen"/>
      <selection pane="topRight" activeCell="B1" sqref="B1"/>
      <selection pane="bottomLeft" activeCell="A2" sqref="A2"/>
      <selection pane="bottomRight" activeCell="M97" sqref="M97"/>
    </sheetView>
  </sheetViews>
  <sheetFormatPr defaultRowHeight="14.5" x14ac:dyDescent="0.35"/>
  <cols>
    <col min="1" max="1" width="9.81640625" bestFit="1" customWidth="1"/>
    <col min="2" max="2" width="13.453125" customWidth="1"/>
    <col min="3" max="3" width="11.1796875" customWidth="1"/>
    <col min="4" max="4" width="12.54296875" customWidth="1"/>
    <col min="5" max="5" width="10.7265625" customWidth="1"/>
    <col min="6" max="6" width="13.54296875" customWidth="1"/>
    <col min="7" max="9" width="15.26953125" customWidth="1"/>
    <col min="10" max="10" width="8.7265625" style="5"/>
    <col min="15" max="15" width="9.1796875" customWidth="1"/>
  </cols>
  <sheetData>
    <row r="1" spans="1:18" ht="45.65" customHeight="1" thickTop="1" thickBot="1" x14ac:dyDescent="0.4">
      <c r="B1" s="358" t="s">
        <v>2097</v>
      </c>
      <c r="C1" s="359" t="s">
        <v>2056</v>
      </c>
      <c r="D1" s="362" t="s">
        <v>2163</v>
      </c>
      <c r="E1" s="361" t="s">
        <v>2130</v>
      </c>
      <c r="F1" s="365" t="s">
        <v>2409</v>
      </c>
      <c r="G1" s="360" t="s">
        <v>2447</v>
      </c>
      <c r="H1" s="360" t="s">
        <v>5501</v>
      </c>
      <c r="I1" s="377" t="s">
        <v>4142</v>
      </c>
      <c r="J1" s="350" t="s">
        <v>47</v>
      </c>
      <c r="K1" s="370">
        <f t="shared" ref="K1:P1" si="0">SUM(B:B)</f>
        <v>421</v>
      </c>
      <c r="L1" s="371">
        <f t="shared" si="0"/>
        <v>416</v>
      </c>
      <c r="M1" s="368">
        <f t="shared" si="0"/>
        <v>456</v>
      </c>
      <c r="N1" s="374">
        <f t="shared" si="0"/>
        <v>408</v>
      </c>
      <c r="O1" s="366">
        <f t="shared" si="0"/>
        <v>43</v>
      </c>
      <c r="P1" s="363">
        <f t="shared" si="0"/>
        <v>311</v>
      </c>
      <c r="Q1" s="378">
        <f>SUM(I:I)</f>
        <v>10</v>
      </c>
      <c r="R1" s="636">
        <f>AVERAGE(J7:J84)</f>
        <v>19.384615384615383</v>
      </c>
    </row>
    <row r="2" spans="1:18" ht="15" thickTop="1" x14ac:dyDescent="0.35">
      <c r="A2" s="4">
        <v>43808</v>
      </c>
      <c r="B2" s="5">
        <f>COUNTIFS(STATUS!$Q:$Q,B$1,STATUS!$K:$K,"РЕШ УВ DONE",STATUS!$D:$D,$A2)</f>
        <v>4</v>
      </c>
      <c r="C2" s="5">
        <f>COUNTIFS(STATUS!$Q:$Q,C$1,STATUS!$K:$K,"РЕШ УВ DONE",STATUS!$D:$D,$A2)</f>
        <v>4</v>
      </c>
      <c r="D2" s="5">
        <f>COUNTIFS(STATUS!$Q:$Q,D$1,STATUS!$K:$K,"РЕШ УВ DONE",STATUS!$D:$D,$A2)</f>
        <v>4</v>
      </c>
      <c r="E2" s="5">
        <f>COUNTIFS(STATUS!$Q:$Q,E$1,STATUS!$K:$K,"РЕШ УВ DONE",STATUS!$D:$D,$A2)</f>
        <v>3</v>
      </c>
      <c r="F2" s="5">
        <f>COUNTIFS(STATUS!$Q:$Q,F$1,STATUS!$K:$K,"РЕШ УВ DONE",STATUS!$D:$D,$A2)</f>
        <v>0</v>
      </c>
      <c r="G2" s="5">
        <f>COUNTIFS(STATUS!$Q:$Q,G$1,STATUS!$K:$K,"РЕШ УВ DONE",STATUS!$D:$D,$A2)</f>
        <v>0</v>
      </c>
      <c r="H2" s="5">
        <f>COUNTIFS(STATUS!$Q:$Q,H$1,STATUS!$K:$K,"РЕШ УВ DONE",STATUS!$D:$D,$A2)</f>
        <v>0</v>
      </c>
      <c r="I2" s="5">
        <f>COUNTIFS(STATUS!$Q:$Q,I$1,STATUS!$K:$K,"РЕШ УВ DONE",STATUS!$D:$D,$A2)</f>
        <v>0</v>
      </c>
      <c r="J2" s="5">
        <f t="shared" ref="J2:J6" si="1">SUM(B2:I2)</f>
        <v>15</v>
      </c>
      <c r="K2" s="372">
        <f>AVERAGE(B7:B43,B44:B47,B48:B57)</f>
        <v>3.8823529411764706</v>
      </c>
      <c r="L2" s="373">
        <f>AVERAGE(C7,C13:C43,C44:C47,C48:C57)</f>
        <v>3.9565217391304346</v>
      </c>
      <c r="M2" s="369">
        <f>AVERAGE(D7:D43,D44:D47,D48:D57)</f>
        <v>4</v>
      </c>
      <c r="N2" s="375">
        <f>AVERAGE(E7:E43,E48:E57)</f>
        <v>3.8936170212765959</v>
      </c>
      <c r="O2" s="367">
        <f>AVERAGE(F7:F20)</f>
        <v>3.0714285714285716</v>
      </c>
      <c r="P2" s="364">
        <f>AVERAGE(G7:G18,G20:G43,G44:G47,G48:G53)</f>
        <v>3.3043478260869565</v>
      </c>
      <c r="Q2" s="379">
        <f>AVERAGE(I41:I42)</f>
        <v>3</v>
      </c>
    </row>
    <row r="3" spans="1:18" x14ac:dyDescent="0.35">
      <c r="A3" s="4">
        <v>43809</v>
      </c>
      <c r="B3" s="5">
        <f>COUNTIFS(STATUS!$Q:$Q,B$1,STATUS!$K:$K,"РЕШ УВ DONE",STATUS!$D:$D,$A3)</f>
        <v>2</v>
      </c>
      <c r="C3" s="5">
        <f>COUNTIFS(STATUS!$Q:$Q,C$1,STATUS!$K:$K,"РЕШ УВ DONE",STATUS!$D:$D,$A3)</f>
        <v>2</v>
      </c>
      <c r="D3" s="5">
        <f>COUNTIFS(STATUS!$Q:$Q,D$1,STATUS!$K:$K,"РЕШ УВ DONE",STATUS!$D:$D,$A3)</f>
        <v>4</v>
      </c>
      <c r="E3" s="5">
        <f>COUNTIFS(STATUS!$Q:$Q,E$1,STATUS!$K:$K,"РЕШ УВ DONE",STATUS!$D:$D,$A3)</f>
        <v>1</v>
      </c>
      <c r="F3" s="5">
        <f>COUNTIFS(STATUS!$Q:$Q,F$1,STATUS!$K:$K,"РЕШ УВ DONE",STATUS!$D:$D,$A3)</f>
        <v>0</v>
      </c>
      <c r="G3" s="5">
        <f>COUNTIFS(STATUS!$Q:$Q,G$1,STATUS!$K:$K,"РЕШ УВ DONE",STATUS!$D:$D,$A3)</f>
        <v>0</v>
      </c>
      <c r="H3" s="5">
        <f>COUNTIFS(STATUS!$Q:$Q,H$1,STATUS!$K:$K,"РЕШ УВ DONE",STATUS!$D:$D,$A3)</f>
        <v>0</v>
      </c>
      <c r="I3" s="5">
        <f>COUNTIFS(STATUS!$Q:$Q,I$1,STATUS!$K:$K,"РЕШ УВ DONE",STATUS!$D:$D,$A3)</f>
        <v>0</v>
      </c>
      <c r="J3" s="5">
        <f t="shared" si="1"/>
        <v>9</v>
      </c>
    </row>
    <row r="4" spans="1:18" x14ac:dyDescent="0.35">
      <c r="A4" s="4">
        <v>43810</v>
      </c>
      <c r="B4" s="5">
        <f>COUNTIFS(STATUS!$Q:$Q,B$1,STATUS!$K:$K,"РЕШ УВ DONE",STATUS!$D:$D,$A4)</f>
        <v>2</v>
      </c>
      <c r="C4" s="5">
        <f>COUNTIFS(STATUS!$Q:$Q,C$1,STATUS!$K:$K,"РЕШ УВ DONE",STATUS!$D:$D,$A4)</f>
        <v>2</v>
      </c>
      <c r="D4" s="5">
        <f>COUNTIFS(STATUS!$Q:$Q,D$1,STATUS!$K:$K,"РЕШ УВ DONE",STATUS!$D:$D,$A4)</f>
        <v>3</v>
      </c>
      <c r="E4" s="5">
        <f>COUNTIFS(STATUS!$Q:$Q,E$1,STATUS!$K:$K,"РЕШ УВ DONE",STATUS!$D:$D,$A4)</f>
        <v>4</v>
      </c>
      <c r="F4" s="5">
        <f>COUNTIFS(STATUS!$Q:$Q,F$1,STATUS!$K:$K,"РЕШ УВ DONE",STATUS!$D:$D,$A4)</f>
        <v>0</v>
      </c>
      <c r="G4" s="5">
        <f>COUNTIFS(STATUS!$Q:$Q,G$1,STATUS!$K:$K,"РЕШ УВ DONE",STATUS!$D:$D,$A4)</f>
        <v>0</v>
      </c>
      <c r="H4" s="5">
        <f>COUNTIFS(STATUS!$Q:$Q,H$1,STATUS!$K:$K,"РЕШ УВ DONE",STATUS!$D:$D,$A4)</f>
        <v>0</v>
      </c>
      <c r="I4" s="5">
        <f>COUNTIFS(STATUS!$Q:$Q,I$1,STATUS!$K:$K,"РЕШ УВ DONE",STATUS!$D:$D,$A4)</f>
        <v>0</v>
      </c>
      <c r="J4" s="5">
        <f t="shared" si="1"/>
        <v>11</v>
      </c>
    </row>
    <row r="5" spans="1:18" x14ac:dyDescent="0.35">
      <c r="A5" s="4">
        <v>43811</v>
      </c>
      <c r="B5" s="5">
        <f>COUNTIFS(STATUS!$Q:$Q,B$1,STATUS!$K:$K,"РЕШ УВ DONE",STATUS!$D:$D,$A5)</f>
        <v>4</v>
      </c>
      <c r="C5" s="5">
        <f>COUNTIFS(STATUS!$Q:$Q,C$1,STATUS!$K:$K,"РЕШ УВ DONE",STATUS!$D:$D,$A5)</f>
        <v>2</v>
      </c>
      <c r="D5" s="5">
        <f>COUNTIFS(STATUS!$Q:$Q,D$1,STATUS!$K:$K,"РЕШ УВ DONE",STATUS!$D:$D,$A5)</f>
        <v>5</v>
      </c>
      <c r="E5" s="5">
        <f>COUNTIFS(STATUS!$Q:$Q,E$1,STATUS!$K:$K,"РЕШ УВ DONE",STATUS!$D:$D,$A5)</f>
        <v>3</v>
      </c>
      <c r="F5" s="5">
        <f>COUNTIFS(STATUS!$Q:$Q,F$1,STATUS!$K:$K,"РЕШ УВ DONE",STATUS!$D:$D,$A5)</f>
        <v>0</v>
      </c>
      <c r="G5" s="5">
        <f>COUNTIFS(STATUS!$Q:$Q,G$1,STATUS!$K:$K,"РЕШ УВ DONE",STATUS!$D:$D,$A5)</f>
        <v>0</v>
      </c>
      <c r="H5" s="5">
        <f>COUNTIFS(STATUS!$Q:$Q,H$1,STATUS!$K:$K,"РЕШ УВ DONE",STATUS!$D:$D,$A5)</f>
        <v>0</v>
      </c>
      <c r="I5" s="5">
        <f>COUNTIFS(STATUS!$Q:$Q,I$1,STATUS!$K:$K,"РЕШ УВ DONE",STATUS!$D:$D,$A5)</f>
        <v>0</v>
      </c>
      <c r="J5" s="5">
        <f t="shared" si="1"/>
        <v>14</v>
      </c>
    </row>
    <row r="6" spans="1:18" x14ac:dyDescent="0.35">
      <c r="A6" s="4">
        <v>43812</v>
      </c>
      <c r="B6" s="5">
        <f>COUNTIFS(STATUS!$Q:$Q,B$1,STATUS!$K:$K,"РЕШ УВ DONE",STATUS!$D:$D,$A6)</f>
        <v>3</v>
      </c>
      <c r="C6" s="5">
        <f>COUNTIFS(STATUS!$Q:$Q,C$1,STATUS!$K:$K,"РЕШ УВ DONE",STATUS!$D:$D,$A6)</f>
        <v>0</v>
      </c>
      <c r="D6" s="5">
        <f>COUNTIFS(STATUS!$Q:$Q,D$1,STATUS!$K:$K,"РЕШ УВ DONE",STATUS!$D:$D,$A6)</f>
        <v>3</v>
      </c>
      <c r="E6" s="5">
        <f>COUNTIFS(STATUS!$Q:$Q,E$1,STATUS!$K:$K,"РЕШ УВ DONE",STATUS!$D:$D,$A6)</f>
        <v>3</v>
      </c>
      <c r="F6" s="5">
        <f>COUNTIFS(STATUS!$Q:$Q,F$1,STATUS!$K:$K,"РЕШ УВ DONE",STATUS!$D:$D,$A6)</f>
        <v>0</v>
      </c>
      <c r="G6" s="5">
        <f>COUNTIFS(STATUS!$Q:$Q,G$1,STATUS!$K:$K,"РЕШ УВ DONE",STATUS!$D:$D,$A6)</f>
        <v>0</v>
      </c>
      <c r="H6" s="5">
        <f>COUNTIFS(STATUS!$Q:$Q,H$1,STATUS!$K:$K,"РЕШ УВ DONE",STATUS!$D:$D,$A6)</f>
        <v>0</v>
      </c>
      <c r="I6" s="5">
        <f>COUNTIFS(STATUS!$Q:$Q,I$1,STATUS!$K:$K,"РЕШ УВ DONE",STATUS!$D:$D,$A6)</f>
        <v>0</v>
      </c>
      <c r="J6" s="5">
        <f t="shared" si="1"/>
        <v>9</v>
      </c>
    </row>
    <row r="7" spans="1:18" x14ac:dyDescent="0.35">
      <c r="A7" s="4">
        <v>43815</v>
      </c>
      <c r="B7" s="5">
        <f>COUNTIFS(STATUS!$Q:$Q,B$1,STATUS!$K:$K,"РЕШ УВ DONE",STATUS!$D:$D,$A7)</f>
        <v>3</v>
      </c>
      <c r="C7" s="5">
        <f>COUNTIFS(STATUS!$Q:$Q,C$1,STATUS!$K:$K,"РЕШ УВ DONE",STATUS!$D:$D,$A7)</f>
        <v>5</v>
      </c>
      <c r="D7" s="5">
        <f>COUNTIFS(STATUS!$Q:$Q,D$1,STATUS!$K:$K,"РЕШ УВ DONE",STATUS!$D:$D,$A7)</f>
        <v>4</v>
      </c>
      <c r="E7" s="5">
        <f>COUNTIFS(STATUS!$Q:$Q,E$1,STATUS!$K:$K,"РЕШ УВ DONE",STATUS!$D:$D,$A7)</f>
        <v>3</v>
      </c>
      <c r="F7" s="5">
        <f>COUNTIFS(STATUS!$Q:$Q,F$1,STATUS!$K:$K,"РЕШ УВ DONE",STATUS!$D:$D,$A7)</f>
        <v>2</v>
      </c>
      <c r="G7" s="5">
        <f>COUNTIFS(STATUS!$Q:$Q,G$1,STATUS!$K:$K,"РЕШ УВ DONE",STATUS!$D:$D,$A7)</f>
        <v>2</v>
      </c>
      <c r="H7" s="5">
        <f>COUNTIFS(STATUS!$Q:$Q,H$1,STATUS!$K:$K,"РЕШ УВ DONE",STATUS!$D:$D,$A7)</f>
        <v>0</v>
      </c>
      <c r="I7" s="5">
        <f>COUNTIFS(STATUS!$Q:$Q,I$1,STATUS!$K:$K,"РЕШ УВ DONE",STATUS!$D:$D,$A7)</f>
        <v>0</v>
      </c>
      <c r="J7" s="5">
        <f>SUM(B7:I7)</f>
        <v>19</v>
      </c>
    </row>
    <row r="8" spans="1:18" x14ac:dyDescent="0.35">
      <c r="A8" s="4">
        <v>43816</v>
      </c>
      <c r="B8" s="5">
        <f>COUNTIFS(STATUS!$Q:$Q,B$1,STATUS!$K:$K,"РЕШ УВ DONE",STATUS!$D:$D,$A8)</f>
        <v>5</v>
      </c>
      <c r="C8" s="5">
        <f>COUNTIFS(STATUS!$Q:$Q,C$1,STATUS!$K:$K,"РЕШ УВ DONE",STATUS!$D:$D,$A8)</f>
        <v>0</v>
      </c>
      <c r="D8" s="5">
        <f>COUNTIFS(STATUS!$Q:$Q,D$1,STATUS!$K:$K,"РЕШ УВ DONE",STATUS!$D:$D,$A8)</f>
        <v>5</v>
      </c>
      <c r="E8" s="5">
        <f>COUNTIFS(STATUS!$Q:$Q,E$1,STATUS!$K:$K,"РЕШ УВ DONE",STATUS!$D:$D,$A8)</f>
        <v>4</v>
      </c>
      <c r="F8" s="5">
        <f>COUNTIFS(STATUS!$Q:$Q,F$1,STATUS!$K:$K,"РЕШ УВ DONE",STATUS!$D:$D,$A8)</f>
        <v>3</v>
      </c>
      <c r="G8" s="5">
        <f>COUNTIFS(STATUS!$Q:$Q,G$1,STATUS!$K:$K,"РЕШ УВ DONE",STATUS!$D:$D,$A8)</f>
        <v>3</v>
      </c>
      <c r="H8" s="5">
        <f>COUNTIFS(STATUS!$Q:$Q,H$1,STATUS!$K:$K,"РЕШ УВ DONE",STATUS!$D:$D,$A8)</f>
        <v>0</v>
      </c>
      <c r="I8" s="5">
        <f>COUNTIFS(STATUS!$Q:$Q,I$1,STATUS!$K:$K,"РЕШ УВ DONE",STATUS!$D:$D,$A8)</f>
        <v>0</v>
      </c>
      <c r="J8" s="5">
        <f t="shared" ref="J8:J55" si="2">SUM(B8:I8)</f>
        <v>20</v>
      </c>
    </row>
    <row r="9" spans="1:18" x14ac:dyDescent="0.35">
      <c r="A9" s="4">
        <v>43817</v>
      </c>
      <c r="B9" s="5">
        <f>COUNTIFS(STATUS!$Q:$Q,B$1,STATUS!$K:$K,"РЕШ УВ DONE",STATUS!$D:$D,$A9)</f>
        <v>4</v>
      </c>
      <c r="C9" s="5">
        <f>COUNTIFS(STATUS!$Q:$Q,C$1,STATUS!$K:$K,"РЕШ УВ DONE",STATUS!$D:$D,$A9)</f>
        <v>0</v>
      </c>
      <c r="D9" s="5">
        <f>COUNTIFS(STATUS!$Q:$Q,D$1,STATUS!$K:$K,"РЕШ УВ DONE",STATUS!$D:$D,$A9)</f>
        <v>3</v>
      </c>
      <c r="E9" s="5">
        <f>COUNTIFS(STATUS!$Q:$Q,E$1,STATUS!$K:$K,"РЕШ УВ DONE",STATUS!$D:$D,$A9)</f>
        <v>4</v>
      </c>
      <c r="F9" s="5">
        <f>COUNTIFS(STATUS!$Q:$Q,F$1,STATUS!$K:$K,"РЕШ УВ DONE",STATUS!$D:$D,$A9)</f>
        <v>2</v>
      </c>
      <c r="G9" s="5">
        <f>COUNTIFS(STATUS!$Q:$Q,G$1,STATUS!$K:$K,"РЕШ УВ DONE",STATUS!$D:$D,$A9)</f>
        <v>5</v>
      </c>
      <c r="H9" s="5">
        <f>COUNTIFS(STATUS!$Q:$Q,H$1,STATUS!$K:$K,"РЕШ УВ DONE",STATUS!$D:$D,$A9)</f>
        <v>0</v>
      </c>
      <c r="I9" s="5">
        <f>COUNTIFS(STATUS!$Q:$Q,I$1,STATUS!$K:$K,"РЕШ УВ DONE",STATUS!$D:$D,$A9)</f>
        <v>0</v>
      </c>
      <c r="J9" s="5">
        <f t="shared" si="2"/>
        <v>18</v>
      </c>
    </row>
    <row r="10" spans="1:18" x14ac:dyDescent="0.35">
      <c r="A10" s="4">
        <v>43818</v>
      </c>
      <c r="B10" s="5">
        <f>COUNTIFS(STATUS!$Q:$Q,B$1,STATUS!$K:$K,"РЕШ УВ DONE",STATUS!$D:$D,$A10)</f>
        <v>3</v>
      </c>
      <c r="C10" s="5">
        <f>COUNTIFS(STATUS!$Q:$Q,C$1,STATUS!$K:$K,"РЕШ УВ DONE",STATUS!$D:$D,$A10)</f>
        <v>0</v>
      </c>
      <c r="D10" s="5">
        <f>COUNTIFS(STATUS!$Q:$Q,D$1,STATUS!$K:$K,"РЕШ УВ DONE",STATUS!$D:$D,$A10)</f>
        <v>6</v>
      </c>
      <c r="E10" s="5">
        <f>COUNTIFS(STATUS!$Q:$Q,E$1,STATUS!$K:$K,"РЕШ УВ DONE",STATUS!$D:$D,$A10)</f>
        <v>3</v>
      </c>
      <c r="F10" s="5">
        <f>COUNTIFS(STATUS!$Q:$Q,F$1,STATUS!$K:$K,"РЕШ УВ DONE",STATUS!$D:$D,$A10)</f>
        <v>3</v>
      </c>
      <c r="G10" s="5">
        <f>COUNTIFS(STATUS!$Q:$Q,G$1,STATUS!$K:$K,"РЕШ УВ DONE",STATUS!$D:$D,$A10)</f>
        <v>5</v>
      </c>
      <c r="H10" s="5">
        <f>COUNTIFS(STATUS!$Q:$Q,H$1,STATUS!$K:$K,"РЕШ УВ DONE",STATUS!$D:$D,$A10)</f>
        <v>0</v>
      </c>
      <c r="I10" s="5">
        <f>COUNTIFS(STATUS!$Q:$Q,I$1,STATUS!$K:$K,"РЕШ УВ DONE",STATUS!$D:$D,$A10)</f>
        <v>0</v>
      </c>
      <c r="J10" s="5">
        <f t="shared" si="2"/>
        <v>20</v>
      </c>
    </row>
    <row r="11" spans="1:18" x14ac:dyDescent="0.35">
      <c r="A11" s="4">
        <v>43819</v>
      </c>
      <c r="B11" s="5">
        <f>COUNTIFS(STATUS!$Q:$Q,B$1,STATUS!$K:$K,"РЕШ УВ DONE",STATUS!$D:$D,$A11)</f>
        <v>3</v>
      </c>
      <c r="C11" s="5">
        <f>COUNTIFS(STATUS!$Q:$Q,C$1,STATUS!$K:$K,"РЕШ УВ DONE",STATUS!$D:$D,$A11)</f>
        <v>0</v>
      </c>
      <c r="D11" s="5">
        <f>COUNTIFS(STATUS!$Q:$Q,D$1,STATUS!$K:$K,"РЕШ УВ DONE",STATUS!$D:$D,$A11)</f>
        <v>2</v>
      </c>
      <c r="E11" s="5">
        <f>COUNTIFS(STATUS!$Q:$Q,E$1,STATUS!$K:$K,"РЕШ УВ DONE",STATUS!$D:$D,$A11)</f>
        <v>2</v>
      </c>
      <c r="F11" s="5">
        <f>COUNTIFS(STATUS!$Q:$Q,F$1,STATUS!$K:$K,"РЕШ УВ DONE",STATUS!$D:$D,$A11)</f>
        <v>3</v>
      </c>
      <c r="G11" s="5">
        <f>COUNTIFS(STATUS!$Q:$Q,G$1,STATUS!$K:$K,"РЕШ УВ DONE",STATUS!$D:$D,$A11)</f>
        <v>3</v>
      </c>
      <c r="H11" s="5">
        <f>COUNTIFS(STATUS!$Q:$Q,H$1,STATUS!$K:$K,"РЕШ УВ DONE",STATUS!$D:$D,$A11)</f>
        <v>0</v>
      </c>
      <c r="I11" s="5">
        <f>COUNTIFS(STATUS!$Q:$Q,I$1,STATUS!$K:$K,"РЕШ УВ DONE",STATUS!$D:$D,$A11)</f>
        <v>0</v>
      </c>
      <c r="J11" s="5">
        <f t="shared" si="2"/>
        <v>13</v>
      </c>
    </row>
    <row r="12" spans="1:18" x14ac:dyDescent="0.35">
      <c r="A12" s="4">
        <v>43822</v>
      </c>
      <c r="B12" s="5">
        <f>COUNTIFS(STATUS!$Q:$Q,B$1,STATUS!$K:$K,"РЕШ УВ DONE",STATUS!$D:$D,$A12)</f>
        <v>3</v>
      </c>
      <c r="C12" s="5">
        <f>COUNTIFS(STATUS!$Q:$Q,C$1,STATUS!$K:$K,"РЕШ УВ DONE",STATUS!$D:$D,$A12)</f>
        <v>0</v>
      </c>
      <c r="D12" s="5">
        <f>COUNTIFS(STATUS!$Q:$Q,D$1,STATUS!$K:$K,"РЕШ УВ DONE",STATUS!$D:$D,$A12)</f>
        <v>3</v>
      </c>
      <c r="E12" s="5">
        <f>COUNTIFS(STATUS!$Q:$Q,E$1,STATUS!$K:$K,"РЕШ УВ DONE",STATUS!$D:$D,$A12)</f>
        <v>3</v>
      </c>
      <c r="F12" s="5">
        <f>COUNTIFS(STATUS!$Q:$Q,F$1,STATUS!$K:$K,"РЕШ УВ DONE",STATUS!$D:$D,$A12)</f>
        <v>3</v>
      </c>
      <c r="G12" s="5">
        <f>COUNTIFS(STATUS!$Q:$Q,G$1,STATUS!$K:$K,"РЕШ УВ DONE",STATUS!$D:$D,$A12)</f>
        <v>1</v>
      </c>
      <c r="H12" s="5">
        <f>COUNTIFS(STATUS!$Q:$Q,H$1,STATUS!$K:$K,"РЕШ УВ DONE",STATUS!$D:$D,$A12)</f>
        <v>0</v>
      </c>
      <c r="I12" s="5">
        <f>COUNTIFS(STATUS!$Q:$Q,I$1,STATUS!$K:$K,"РЕШ УВ DONE",STATUS!$D:$D,$A12)</f>
        <v>0</v>
      </c>
      <c r="J12" s="5">
        <f t="shared" si="2"/>
        <v>13</v>
      </c>
    </row>
    <row r="13" spans="1:18" x14ac:dyDescent="0.35">
      <c r="A13" s="4">
        <v>43823</v>
      </c>
      <c r="B13" s="5">
        <f>COUNTIFS(STATUS!$Q:$Q,B$1,STATUS!$K:$K,"РЕШ УВ DONE",STATUS!$D:$D,$A13)</f>
        <v>7</v>
      </c>
      <c r="C13" s="5">
        <f>COUNTIFS(STATUS!$Q:$Q,C$1,STATUS!$K:$K,"РЕШ УВ DONE",STATUS!$D:$D,$A13)</f>
        <v>5</v>
      </c>
      <c r="D13" s="5">
        <f>COUNTIFS(STATUS!$Q:$Q,D$1,STATUS!$K:$K,"РЕШ УВ DONE",STATUS!$D:$D,$A13)</f>
        <v>4</v>
      </c>
      <c r="E13" s="5">
        <f>COUNTIFS(STATUS!$Q:$Q,E$1,STATUS!$K:$K,"РЕШ УВ DONE",STATUS!$D:$D,$A13)</f>
        <v>7</v>
      </c>
      <c r="F13" s="5">
        <f>COUNTIFS(STATUS!$Q:$Q,F$1,STATUS!$K:$K,"РЕШ УВ DONE",STATUS!$D:$D,$A13)</f>
        <v>3</v>
      </c>
      <c r="G13" s="5">
        <f>COUNTIFS(STATUS!$Q:$Q,G$1,STATUS!$K:$K,"РЕШ УВ DONE",STATUS!$D:$D,$A13)</f>
        <v>4</v>
      </c>
      <c r="H13" s="5">
        <f>COUNTIFS(STATUS!$Q:$Q,H$1,STATUS!$K:$K,"РЕШ УВ DONE",STATUS!$D:$D,$A13)</f>
        <v>0</v>
      </c>
      <c r="I13" s="5">
        <f>COUNTIFS(STATUS!$Q:$Q,I$1,STATUS!$K:$K,"РЕШ УВ DONE",STATUS!$D:$D,$A13)</f>
        <v>0</v>
      </c>
      <c r="J13" s="5">
        <f t="shared" si="2"/>
        <v>30</v>
      </c>
    </row>
    <row r="14" spans="1:18" x14ac:dyDescent="0.35">
      <c r="A14" s="4">
        <v>43824</v>
      </c>
      <c r="B14" s="5">
        <f>COUNTIFS(STATUS!$Q:$Q,B$1,STATUS!$K:$K,"РЕШ УВ DONE",STATUS!$D:$D,$A14)</f>
        <v>4</v>
      </c>
      <c r="C14" s="5">
        <f>COUNTIFS(STATUS!$Q:$Q,C$1,STATUS!$K:$K,"РЕШ УВ DONE",STATUS!$D:$D,$A14)</f>
        <v>4</v>
      </c>
      <c r="D14" s="5">
        <f>COUNTIFS(STATUS!$Q:$Q,D$1,STATUS!$K:$K,"РЕШ УВ DONE",STATUS!$D:$D,$A14)</f>
        <v>4</v>
      </c>
      <c r="E14" s="5">
        <f>COUNTIFS(STATUS!$Q:$Q,E$1,STATUS!$K:$K,"РЕШ УВ DONE",STATUS!$D:$D,$A14)</f>
        <v>3</v>
      </c>
      <c r="F14" s="5">
        <f>COUNTIFS(STATUS!$Q:$Q,F$1,STATUS!$K:$K,"РЕШ УВ DONE",STATUS!$D:$D,$A14)</f>
        <v>4</v>
      </c>
      <c r="G14" s="5">
        <f>COUNTIFS(STATUS!$Q:$Q,G$1,STATUS!$K:$K,"РЕШ УВ DONE",STATUS!$D:$D,$A14)</f>
        <v>3</v>
      </c>
      <c r="H14" s="5">
        <f>COUNTIFS(STATUS!$Q:$Q,H$1,STATUS!$K:$K,"РЕШ УВ DONE",STATUS!$D:$D,$A14)</f>
        <v>0</v>
      </c>
      <c r="I14" s="5">
        <f>COUNTIFS(STATUS!$Q:$Q,I$1,STATUS!$K:$K,"РЕШ УВ DONE",STATUS!$D:$D,$A14)</f>
        <v>0</v>
      </c>
      <c r="J14" s="5">
        <f t="shared" si="2"/>
        <v>22</v>
      </c>
    </row>
    <row r="15" spans="1:18" x14ac:dyDescent="0.35">
      <c r="A15" s="4">
        <v>43825</v>
      </c>
      <c r="B15" s="5">
        <f>COUNTIFS(STATUS!$Q:$Q,B$1,STATUS!$K:$K,"РЕШ УВ DONE",STATUS!$D:$D,$A15)</f>
        <v>3</v>
      </c>
      <c r="C15" s="5">
        <f>COUNTIFS(STATUS!$Q:$Q,C$1,STATUS!$K:$K,"РЕШ УВ DONE",STATUS!$D:$D,$A15)</f>
        <v>4</v>
      </c>
      <c r="D15" s="5">
        <f>COUNTIFS(STATUS!$Q:$Q,D$1,STATUS!$K:$K,"РЕШ УВ DONE",STATUS!$D:$D,$A15)</f>
        <v>6</v>
      </c>
      <c r="E15" s="5">
        <f>COUNTIFS(STATUS!$Q:$Q,E$1,STATUS!$K:$K,"РЕШ УВ DONE",STATUS!$D:$D,$A15)</f>
        <v>5</v>
      </c>
      <c r="F15" s="5">
        <f>COUNTIFS(STATUS!$Q:$Q,F$1,STATUS!$K:$K,"РЕШ УВ DONE",STATUS!$D:$D,$A15)</f>
        <v>4</v>
      </c>
      <c r="G15" s="5">
        <f>COUNTIFS(STATUS!$Q:$Q,G$1,STATUS!$K:$K,"РЕШ УВ DONE",STATUS!$D:$D,$A15)</f>
        <v>4</v>
      </c>
      <c r="H15" s="5">
        <f>COUNTIFS(STATUS!$Q:$Q,H$1,STATUS!$K:$K,"РЕШ УВ DONE",STATUS!$D:$D,$A15)</f>
        <v>0</v>
      </c>
      <c r="I15" s="5">
        <f>COUNTIFS(STATUS!$Q:$Q,I$1,STATUS!$K:$K,"РЕШ УВ DONE",STATUS!$D:$D,$A15)</f>
        <v>0</v>
      </c>
      <c r="J15" s="5">
        <f t="shared" si="2"/>
        <v>26</v>
      </c>
    </row>
    <row r="16" spans="1:18" x14ac:dyDescent="0.35">
      <c r="A16" s="4">
        <v>43826</v>
      </c>
      <c r="B16" s="5">
        <f>COUNTIFS(STATUS!$Q:$Q,B$1,STATUS!$K:$K,"РЕШ УВ DONE",STATUS!$D:$D,$A16)</f>
        <v>4</v>
      </c>
      <c r="C16" s="5">
        <f>COUNTIFS(STATUS!$Q:$Q,C$1,STATUS!$K:$K,"РЕШ УВ DONE",STATUS!$D:$D,$A16)</f>
        <v>3</v>
      </c>
      <c r="D16" s="5">
        <f>COUNTIFS(STATUS!$Q:$Q,D$1,STATUS!$K:$K,"РЕШ УВ DONE",STATUS!$D:$D,$A16)</f>
        <v>3</v>
      </c>
      <c r="E16" s="5">
        <f>COUNTIFS(STATUS!$Q:$Q,E$1,STATUS!$K:$K,"РЕШ УВ DONE",STATUS!$D:$D,$A16)</f>
        <v>1</v>
      </c>
      <c r="F16" s="5">
        <f>COUNTIFS(STATUS!$Q:$Q,F$1,STATUS!$K:$K,"РЕШ УВ DONE",STATUS!$D:$D,$A16)</f>
        <v>4</v>
      </c>
      <c r="G16" s="5">
        <f>COUNTIFS(STATUS!$Q:$Q,G$1,STATUS!$K:$K,"РЕШ УВ DONE",STATUS!$D:$D,$A16)</f>
        <v>2</v>
      </c>
      <c r="H16" s="5">
        <f>COUNTIFS(STATUS!$Q:$Q,H$1,STATUS!$K:$K,"РЕШ УВ DONE",STATUS!$D:$D,$A16)</f>
        <v>0</v>
      </c>
      <c r="I16" s="5">
        <f>COUNTIFS(STATUS!$Q:$Q,I$1,STATUS!$K:$K,"РЕШ УВ DONE",STATUS!$D:$D,$A16)</f>
        <v>0</v>
      </c>
      <c r="J16" s="5">
        <f t="shared" si="2"/>
        <v>17</v>
      </c>
    </row>
    <row r="17" spans="1:10" x14ac:dyDescent="0.35">
      <c r="A17" s="4">
        <v>43829</v>
      </c>
      <c r="B17" s="5">
        <f>COUNTIFS(STATUS!$Q:$Q,B$1,STATUS!$K:$K,"РЕШ УВ DONE",STATUS!$D:$D,$A17)</f>
        <v>4</v>
      </c>
      <c r="C17" s="5">
        <f>COUNTIFS(STATUS!$Q:$Q,C$1,STATUS!$K:$K,"РЕШ УВ DONE",STATUS!$D:$D,$A17)</f>
        <v>5</v>
      </c>
      <c r="D17" s="5">
        <f>COUNTIFS(STATUS!$Q:$Q,D$1,STATUS!$K:$K,"РЕШ УВ DONE",STATUS!$D:$D,$A17)</f>
        <v>6</v>
      </c>
      <c r="E17" s="5">
        <f>COUNTIFS(STATUS!$Q:$Q,E$1,STATUS!$K:$K,"РЕШ УВ DONE",STATUS!$D:$D,$A17)</f>
        <v>2</v>
      </c>
      <c r="F17" s="5">
        <f>COUNTIFS(STATUS!$Q:$Q,F$1,STATUS!$K:$K,"РЕШ УВ DONE",STATUS!$D:$D,$A17)</f>
        <v>2</v>
      </c>
      <c r="G17" s="5">
        <f>COUNTIFS(STATUS!$Q:$Q,G$1,STATUS!$K:$K,"РЕШ УВ DONE",STATUS!$D:$D,$A17)</f>
        <v>2</v>
      </c>
      <c r="H17" s="5">
        <f>COUNTIFS(STATUS!$Q:$Q,H$1,STATUS!$K:$K,"РЕШ УВ DONE",STATUS!$D:$D,$A17)</f>
        <v>0</v>
      </c>
      <c r="I17" s="5">
        <f>COUNTIFS(STATUS!$Q:$Q,I$1,STATUS!$K:$K,"РЕШ УВ DONE",STATUS!$D:$D,$A17)</f>
        <v>0</v>
      </c>
      <c r="J17" s="5">
        <f t="shared" si="2"/>
        <v>21</v>
      </c>
    </row>
    <row r="18" spans="1:10" x14ac:dyDescent="0.35">
      <c r="A18" s="4">
        <v>43830</v>
      </c>
      <c r="B18" s="5">
        <f>COUNTIFS(STATUS!$Q:$Q,B$1,STATUS!$K:$K,"РЕШ УВ DONE",STATUS!$D:$D,$A18)</f>
        <v>4</v>
      </c>
      <c r="C18" s="5">
        <f>COUNTIFS(STATUS!$Q:$Q,C$1,STATUS!$K:$K,"РЕШ УВ DONE",STATUS!$D:$D,$A18)</f>
        <v>7</v>
      </c>
      <c r="D18" s="5">
        <f>COUNTIFS(STATUS!$Q:$Q,D$1,STATUS!$K:$K,"РЕШ УВ DONE",STATUS!$D:$D,$A18)</f>
        <v>7</v>
      </c>
      <c r="E18" s="5">
        <f>COUNTIFS(STATUS!$Q:$Q,E$1,STATUS!$K:$K,"РЕШ УВ DONE",STATUS!$D:$D,$A18)</f>
        <v>6</v>
      </c>
      <c r="F18" s="5">
        <f>COUNTIFS(STATUS!$Q:$Q,F$1,STATUS!$K:$K,"РЕШ УВ DONE",STATUS!$D:$D,$A18)</f>
        <v>5</v>
      </c>
      <c r="G18" s="5">
        <f>COUNTIFS(STATUS!$Q:$Q,G$1,STATUS!$K:$K,"РЕШ УВ DONE",STATUS!$D:$D,$A18)</f>
        <v>3</v>
      </c>
      <c r="H18" s="5">
        <f>COUNTIFS(STATUS!$Q:$Q,H$1,STATUS!$K:$K,"РЕШ УВ DONE",STATUS!$D:$D,$A18)</f>
        <v>0</v>
      </c>
      <c r="I18" s="5">
        <f>COUNTIFS(STATUS!$Q:$Q,I$1,STATUS!$K:$K,"РЕШ УВ DONE",STATUS!$D:$D,$A18)</f>
        <v>0</v>
      </c>
      <c r="J18" s="5">
        <f t="shared" si="2"/>
        <v>32</v>
      </c>
    </row>
    <row r="19" spans="1:10" x14ac:dyDescent="0.35">
      <c r="A19" s="4">
        <v>43839</v>
      </c>
      <c r="B19" s="5">
        <f>COUNTIFS(STATUS!$Q:$Q,B$1,STATUS!$K:$K,"РЕШ УВ DONE",STATUS!$D:$D,$A19)</f>
        <v>5</v>
      </c>
      <c r="C19" s="5">
        <f>COUNTIFS(STATUS!$Q:$Q,C$1,STATUS!$K:$K,"РЕШ УВ DONE",STATUS!$D:$D,$A19)</f>
        <v>5</v>
      </c>
      <c r="D19" s="5">
        <f>COUNTIFS(STATUS!$Q:$Q,D$1,STATUS!$K:$K,"РЕШ УВ DONE",STATUS!$D:$D,$A19)</f>
        <v>6</v>
      </c>
      <c r="E19" s="5">
        <f>COUNTIFS(STATUS!$Q:$Q,E$1,STATUS!$K:$K,"РЕШ УВ DONE",STATUS!$D:$D,$A19)</f>
        <v>4</v>
      </c>
      <c r="F19" s="5">
        <f>COUNTIFS(STATUS!$Q:$Q,F$1,STATUS!$K:$K,"РЕШ УВ DONE",STATUS!$D:$D,$A19)</f>
        <v>3</v>
      </c>
      <c r="G19" s="5">
        <f>COUNTIFS(STATUS!$Q:$Q,G$1,STATUS!$K:$K,"РЕШ УВ DONE",STATUS!$D:$D,$A19)</f>
        <v>0</v>
      </c>
      <c r="H19" s="5">
        <f>COUNTIFS(STATUS!$Q:$Q,H$1,STATUS!$K:$K,"РЕШ УВ DONE",STATUS!$D:$D,$A19)</f>
        <v>0</v>
      </c>
      <c r="I19" s="5">
        <f>COUNTIFS(STATUS!$Q:$Q,I$1,STATUS!$K:$K,"РЕШ УВ DONE",STATUS!$D:$D,$A19)</f>
        <v>0</v>
      </c>
      <c r="J19" s="5">
        <f t="shared" si="2"/>
        <v>23</v>
      </c>
    </row>
    <row r="20" spans="1:10" x14ac:dyDescent="0.35">
      <c r="A20" s="4">
        <v>43840</v>
      </c>
      <c r="B20" s="5">
        <f>COUNTIFS(STATUS!$Q:$Q,B$1,STATUS!$K:$K,"РЕШ УВ DONE",STATUS!$D:$D,$A20)</f>
        <v>3</v>
      </c>
      <c r="C20" s="5">
        <f>COUNTIFS(STATUS!$Q:$Q,C$1,STATUS!$K:$K,"РЕШ УВ DONE",STATUS!$D:$D,$A20)</f>
        <v>3</v>
      </c>
      <c r="D20" s="5">
        <f>COUNTIFS(STATUS!$Q:$Q,D$1,STATUS!$K:$K,"РЕШ УВ DONE",STATUS!$D:$D,$A20)</f>
        <v>2</v>
      </c>
      <c r="E20" s="5">
        <f>COUNTIFS(STATUS!$Q:$Q,E$1,STATUS!$K:$K,"РЕШ УВ DONE",STATUS!$D:$D,$A20)</f>
        <v>5</v>
      </c>
      <c r="F20" s="5">
        <f>COUNTIFS(STATUS!$Q:$Q,F$1,STATUS!$K:$K,"РЕШ УВ DONE",STATUS!$D:$D,$A20)</f>
        <v>2</v>
      </c>
      <c r="G20" s="5">
        <f>COUNTIFS(STATUS!$Q:$Q,G$1,STATUS!$K:$K,"РЕШ УВ DONE",STATUS!$D:$D,$A20)</f>
        <v>2</v>
      </c>
      <c r="H20" s="5">
        <f>COUNTIFS(STATUS!$Q:$Q,H$1,STATUS!$K:$K,"РЕШ УВ DONE",STATUS!$D:$D,$A20)</f>
        <v>0</v>
      </c>
      <c r="I20" s="5">
        <f>COUNTIFS(STATUS!$Q:$Q,I$1,STATUS!$K:$K,"РЕШ УВ DONE",STATUS!$D:$D,$A20)</f>
        <v>0</v>
      </c>
      <c r="J20" s="5">
        <f t="shared" si="2"/>
        <v>17</v>
      </c>
    </row>
    <row r="21" spans="1:10" x14ac:dyDescent="0.35">
      <c r="A21" s="4">
        <v>43843</v>
      </c>
      <c r="B21" s="5">
        <f>COUNTIFS(STATUS!$Q:$Q,B$1,STATUS!$K:$K,"РЕШ УВ DONE",STATUS!$D:$D,$A21)</f>
        <v>3</v>
      </c>
      <c r="C21" s="5">
        <f>COUNTIFS(STATUS!$Q:$Q,C$1,STATUS!$K:$K,"РЕШ УВ DONE",STATUS!$D:$D,$A21)</f>
        <v>2</v>
      </c>
      <c r="D21" s="5">
        <f>COUNTIFS(STATUS!$Q:$Q,D$1,STATUS!$K:$K,"РЕШ УВ DONE",STATUS!$D:$D,$A21)</f>
        <v>4</v>
      </c>
      <c r="E21" s="5">
        <f>COUNTIFS(STATUS!$Q:$Q,E$1,STATUS!$K:$K,"РЕШ УВ DONE",STATUS!$D:$D,$A21)</f>
        <v>4</v>
      </c>
      <c r="F21" s="5">
        <f>COUNTIFS(STATUS!$Q:$Q,F$1,STATUS!$K:$K,"РЕШ УВ DONE",STATUS!$D:$D,$A21)</f>
        <v>0</v>
      </c>
      <c r="G21" s="5">
        <f>COUNTIFS(STATUS!$Q:$Q,G$1,STATUS!$K:$K,"РЕШ УВ DONE",STATUS!$D:$D,$A21)</f>
        <v>2</v>
      </c>
      <c r="H21" s="5">
        <f>COUNTIFS(STATUS!$Q:$Q,H$1,STATUS!$K:$K,"РЕШ УВ DONE",STATUS!$D:$D,$A21)</f>
        <v>0</v>
      </c>
      <c r="I21" s="5">
        <f>COUNTIFS(STATUS!$Q:$Q,I$1,STATUS!$K:$K,"РЕШ УВ DONE",STATUS!$D:$D,$A21)</f>
        <v>0</v>
      </c>
      <c r="J21" s="5">
        <f t="shared" si="2"/>
        <v>15</v>
      </c>
    </row>
    <row r="22" spans="1:10" x14ac:dyDescent="0.35">
      <c r="A22" s="4">
        <v>43844</v>
      </c>
      <c r="B22" s="5">
        <f>COUNTIFS(STATUS!$Q:$Q,B$1,STATUS!$K:$K,"РЕШ УВ DONE",STATUS!$D:$D,$A22)</f>
        <v>3</v>
      </c>
      <c r="C22" s="5">
        <f>COUNTIFS(STATUS!$Q:$Q,C$1,STATUS!$K:$K,"РЕШ УВ DONE",STATUS!$D:$D,$A22)</f>
        <v>3</v>
      </c>
      <c r="D22" s="5">
        <f>COUNTIFS(STATUS!$Q:$Q,D$1,STATUS!$K:$K,"РЕШ УВ DONE",STATUS!$D:$D,$A22)</f>
        <v>2</v>
      </c>
      <c r="E22" s="5">
        <f>COUNTIFS(STATUS!$Q:$Q,E$1,STATUS!$K:$K,"РЕШ УВ DONE",STATUS!$D:$D,$A22)</f>
        <v>3</v>
      </c>
      <c r="F22" s="5">
        <f>COUNTIFS(STATUS!$Q:$Q,F$1,STATUS!$K:$K,"РЕШ УВ DONE",STATUS!$D:$D,$A22)</f>
        <v>0</v>
      </c>
      <c r="G22" s="5">
        <f>COUNTIFS(STATUS!$Q:$Q,G$1,STATUS!$K:$K,"РЕШ УВ DONE",STATUS!$D:$D,$A22)</f>
        <v>3</v>
      </c>
      <c r="H22" s="5">
        <f>COUNTIFS(STATUS!$Q:$Q,H$1,STATUS!$K:$K,"РЕШ УВ DONE",STATUS!$D:$D,$A22)</f>
        <v>0</v>
      </c>
      <c r="I22" s="5">
        <f>COUNTIFS(STATUS!$Q:$Q,I$1,STATUS!$K:$K,"РЕШ УВ DONE",STATUS!$D:$D,$A22)</f>
        <v>0</v>
      </c>
      <c r="J22" s="5">
        <f t="shared" si="2"/>
        <v>14</v>
      </c>
    </row>
    <row r="23" spans="1:10" x14ac:dyDescent="0.35">
      <c r="A23" s="4">
        <v>43845</v>
      </c>
      <c r="B23" s="5">
        <f>COUNTIFS(STATUS!$Q:$Q,B$1,STATUS!$K:$K,"РЕШ УВ DONE",STATUS!$D:$D,$A23)</f>
        <v>5</v>
      </c>
      <c r="C23" s="5">
        <f>COUNTIFS(STATUS!$Q:$Q,C$1,STATUS!$K:$K,"РЕШ УВ DONE",STATUS!$D:$D,$A23)</f>
        <v>6</v>
      </c>
      <c r="D23" s="5">
        <f>COUNTIFS(STATUS!$Q:$Q,D$1,STATUS!$K:$K,"РЕШ УВ DONE",STATUS!$D:$D,$A23)</f>
        <v>8</v>
      </c>
      <c r="E23" s="5">
        <f>COUNTIFS(STATUS!$Q:$Q,E$1,STATUS!$K:$K,"РЕШ УВ DONE",STATUS!$D:$D,$A23)</f>
        <v>3</v>
      </c>
      <c r="F23" s="5">
        <f>COUNTIFS(STATUS!$Q:$Q,F$1,STATUS!$K:$K,"РЕШ УВ DONE",STATUS!$D:$D,$A23)</f>
        <v>0</v>
      </c>
      <c r="G23" s="5">
        <f>COUNTIFS(STATUS!$Q:$Q,G$1,STATUS!$K:$K,"РЕШ УВ DONE",STATUS!$D:$D,$A23)</f>
        <v>4</v>
      </c>
      <c r="H23" s="5">
        <f>COUNTIFS(STATUS!$Q:$Q,H$1,STATUS!$K:$K,"РЕШ УВ DONE",STATUS!$D:$D,$A23)</f>
        <v>0</v>
      </c>
      <c r="I23" s="5">
        <f>COUNTIFS(STATUS!$Q:$Q,I$1,STATUS!$K:$K,"РЕШ УВ DONE",STATUS!$D:$D,$A23)</f>
        <v>0</v>
      </c>
      <c r="J23" s="5">
        <f t="shared" si="2"/>
        <v>26</v>
      </c>
    </row>
    <row r="24" spans="1:10" x14ac:dyDescent="0.35">
      <c r="A24" s="4">
        <v>43846</v>
      </c>
      <c r="B24" s="5">
        <f>COUNTIFS(STATUS!$Q:$Q,B$1,STATUS!$K:$K,"РЕШ УВ DONE",STATUS!$D:$D,$A24)</f>
        <v>4</v>
      </c>
      <c r="C24" s="5">
        <f>COUNTIFS(STATUS!$Q:$Q,C$1,STATUS!$K:$K,"РЕШ УВ DONE",STATUS!$D:$D,$A24)</f>
        <v>5</v>
      </c>
      <c r="D24" s="5">
        <f>COUNTIFS(STATUS!$Q:$Q,D$1,STATUS!$K:$K,"РЕШ УВ DONE",STATUS!$D:$D,$A24)</f>
        <v>3</v>
      </c>
      <c r="E24" s="5">
        <f>COUNTIFS(STATUS!$Q:$Q,E$1,STATUS!$K:$K,"РЕШ УВ DONE",STATUS!$D:$D,$A24)</f>
        <v>7</v>
      </c>
      <c r="F24" s="5">
        <f>COUNTIFS(STATUS!$Q:$Q,F$1,STATUS!$K:$K,"РЕШ УВ DONE",STATUS!$D:$D,$A24)</f>
        <v>0</v>
      </c>
      <c r="G24" s="5">
        <f>COUNTIFS(STATUS!$Q:$Q,G$1,STATUS!$K:$K,"РЕШ УВ DONE",STATUS!$D:$D,$A24)</f>
        <v>3</v>
      </c>
      <c r="H24" s="5">
        <f>COUNTIFS(STATUS!$Q:$Q,H$1,STATUS!$K:$K,"РЕШ УВ DONE",STATUS!$D:$D,$A24)</f>
        <v>0</v>
      </c>
      <c r="I24" s="5">
        <f>COUNTIFS(STATUS!$Q:$Q,I$1,STATUS!$K:$K,"РЕШ УВ DONE",STATUS!$D:$D,$A24)</f>
        <v>0</v>
      </c>
      <c r="J24" s="5">
        <f t="shared" si="2"/>
        <v>22</v>
      </c>
    </row>
    <row r="25" spans="1:10" x14ac:dyDescent="0.35">
      <c r="A25" s="4">
        <v>43847</v>
      </c>
      <c r="B25" s="5">
        <f>COUNTIFS(STATUS!$Q:$Q,B$1,STATUS!$K:$K,"РЕШ УВ DONE",STATUS!$D:$D,$A25)</f>
        <v>6</v>
      </c>
      <c r="C25" s="5">
        <f>COUNTIFS(STATUS!$Q:$Q,C$1,STATUS!$K:$K,"РЕШ УВ DONE",STATUS!$D:$D,$A25)</f>
        <v>4</v>
      </c>
      <c r="D25" s="5">
        <f>COUNTIFS(STATUS!$Q:$Q,D$1,STATUS!$K:$K,"РЕШ УВ DONE",STATUS!$D:$D,$A25)</f>
        <v>5</v>
      </c>
      <c r="E25" s="5">
        <f>COUNTIFS(STATUS!$Q:$Q,E$1,STATUS!$K:$K,"РЕШ УВ DONE",STATUS!$D:$D,$A25)</f>
        <v>3</v>
      </c>
      <c r="F25" s="5">
        <f>COUNTIFS(STATUS!$Q:$Q,F$1,STATUS!$K:$K,"РЕШ УВ DONE",STATUS!$D:$D,$A25)</f>
        <v>0</v>
      </c>
      <c r="G25" s="5">
        <f>COUNTIFS(STATUS!$Q:$Q,G$1,STATUS!$K:$K,"РЕШ УВ DONE",STATUS!$D:$D,$A25)</f>
        <v>3</v>
      </c>
      <c r="H25" s="5">
        <f>COUNTIFS(STATUS!$Q:$Q,H$1,STATUS!$K:$K,"РЕШ УВ DONE",STATUS!$D:$D,$A25)</f>
        <v>0</v>
      </c>
      <c r="I25" s="5">
        <f>COUNTIFS(STATUS!$Q:$Q,I$1,STATUS!$K:$K,"РЕШ УВ DONE",STATUS!$D:$D,$A25)</f>
        <v>0</v>
      </c>
      <c r="J25" s="5">
        <f t="shared" si="2"/>
        <v>21</v>
      </c>
    </row>
    <row r="26" spans="1:10" x14ac:dyDescent="0.35">
      <c r="A26" s="4">
        <v>43850</v>
      </c>
      <c r="B26" s="5">
        <f>COUNTIFS(STATUS!$Q:$Q,B$1,STATUS!$K:$K,"РЕШ УВ DONE",STATUS!$D:$D,$A26)</f>
        <v>4</v>
      </c>
      <c r="C26" s="5">
        <f>COUNTIFS(STATUS!$Q:$Q,C$1,STATUS!$K:$K,"РЕШ УВ DONE",STATUS!$D:$D,$A26)</f>
        <v>2</v>
      </c>
      <c r="D26" s="5">
        <f>COUNTIFS(STATUS!$Q:$Q,D$1,STATUS!$K:$K,"РЕШ УВ DONE",STATUS!$D:$D,$A26)</f>
        <v>3</v>
      </c>
      <c r="E26" s="5">
        <f>COUNTIFS(STATUS!$Q:$Q,E$1,STATUS!$K:$K,"РЕШ УВ DONE",STATUS!$D:$D,$A26)</f>
        <v>4</v>
      </c>
      <c r="F26" s="5">
        <f>COUNTIFS(STATUS!$Q:$Q,F$1,STATUS!$K:$K,"РЕШ УВ DONE",STATUS!$D:$D,$A26)</f>
        <v>0</v>
      </c>
      <c r="G26" s="5">
        <f>COUNTIFS(STATUS!$Q:$Q,G$1,STATUS!$K:$K,"РЕШ УВ DONE",STATUS!$D:$D,$A26)</f>
        <v>3</v>
      </c>
      <c r="H26" s="5">
        <f>COUNTIFS(STATUS!$Q:$Q,H$1,STATUS!$K:$K,"РЕШ УВ DONE",STATUS!$D:$D,$A26)</f>
        <v>0</v>
      </c>
      <c r="I26" s="5">
        <f>COUNTIFS(STATUS!$Q:$Q,I$1,STATUS!$K:$K,"РЕШ УВ DONE",STATUS!$D:$D,$A26)</f>
        <v>0</v>
      </c>
      <c r="J26" s="5">
        <f t="shared" si="2"/>
        <v>16</v>
      </c>
    </row>
    <row r="27" spans="1:10" x14ac:dyDescent="0.35">
      <c r="A27" s="4">
        <v>43851</v>
      </c>
      <c r="B27" s="5">
        <f>COUNTIFS(STATUS!$Q:$Q,B$1,STATUS!$K:$K,"РЕШ УВ DONE",STATUS!$D:$D,$A27)</f>
        <v>2</v>
      </c>
      <c r="C27" s="5">
        <f>COUNTIFS(STATUS!$Q:$Q,C$1,STATUS!$K:$K,"РЕШ УВ DONE",STATUS!$D:$D,$A27)</f>
        <v>5</v>
      </c>
      <c r="D27" s="5">
        <f>COUNTIFS(STATUS!$Q:$Q,D$1,STATUS!$K:$K,"РЕШ УВ DONE",STATUS!$D:$D,$A27)</f>
        <v>3</v>
      </c>
      <c r="E27" s="5">
        <f>COUNTIFS(STATUS!$Q:$Q,E$1,STATUS!$K:$K,"РЕШ УВ DONE",STATUS!$D:$D,$A27)</f>
        <v>5</v>
      </c>
      <c r="F27" s="5">
        <f>COUNTIFS(STATUS!$Q:$Q,F$1,STATUS!$K:$K,"РЕШ УВ DONE",STATUS!$D:$D,$A27)</f>
        <v>0</v>
      </c>
      <c r="G27" s="5">
        <f>COUNTIFS(STATUS!$Q:$Q,G$1,STATUS!$K:$K,"РЕШ УВ DONE",STATUS!$D:$D,$A27)</f>
        <v>4</v>
      </c>
      <c r="H27" s="5">
        <f>COUNTIFS(STATUS!$Q:$Q,H$1,STATUS!$K:$K,"РЕШ УВ DONE",STATUS!$D:$D,$A27)</f>
        <v>0</v>
      </c>
      <c r="I27" s="5">
        <f>COUNTIFS(STATUS!$Q:$Q,I$1,STATUS!$K:$K,"РЕШ УВ DONE",STATUS!$D:$D,$A27)</f>
        <v>0</v>
      </c>
      <c r="J27" s="5">
        <f t="shared" si="2"/>
        <v>19</v>
      </c>
    </row>
    <row r="28" spans="1:10" x14ac:dyDescent="0.35">
      <c r="A28" s="4">
        <v>43852</v>
      </c>
      <c r="B28" s="5">
        <f>COUNTIFS(STATUS!$Q:$Q,B$1,STATUS!$K:$K,"РЕШ УВ DONE",STATUS!$D:$D,$A28)</f>
        <v>4</v>
      </c>
      <c r="C28" s="5">
        <f>COUNTIFS(STATUS!$Q:$Q,C$1,STATUS!$K:$K,"РЕШ УВ DONE",STATUS!$D:$D,$A28)</f>
        <v>6</v>
      </c>
      <c r="D28" s="5">
        <f>COUNTIFS(STATUS!$Q:$Q,D$1,STATUS!$K:$K,"РЕШ УВ DONE",STATUS!$D:$D,$A28)</f>
        <v>5</v>
      </c>
      <c r="E28" s="5">
        <f>COUNTIFS(STATUS!$Q:$Q,E$1,STATUS!$K:$K,"РЕШ УВ DONE",STATUS!$D:$D,$A28)</f>
        <v>6</v>
      </c>
      <c r="F28" s="5">
        <f>COUNTIFS(STATUS!$Q:$Q,F$1,STATUS!$K:$K,"РЕШ УВ DONE",STATUS!$D:$D,$A28)</f>
        <v>0</v>
      </c>
      <c r="G28" s="5">
        <f>COUNTIFS(STATUS!$Q:$Q,G$1,STATUS!$K:$K,"РЕШ УВ DONE",STATUS!$D:$D,$A28)</f>
        <v>2</v>
      </c>
      <c r="H28" s="5">
        <f>COUNTIFS(STATUS!$Q:$Q,H$1,STATUS!$K:$K,"РЕШ УВ DONE",STATUS!$D:$D,$A28)</f>
        <v>0</v>
      </c>
      <c r="I28" s="5">
        <f>COUNTIFS(STATUS!$Q:$Q,I$1,STATUS!$K:$K,"РЕШ УВ DONE",STATUS!$D:$D,$A28)</f>
        <v>0</v>
      </c>
      <c r="J28" s="5">
        <f t="shared" si="2"/>
        <v>23</v>
      </c>
    </row>
    <row r="29" spans="1:10" x14ac:dyDescent="0.35">
      <c r="A29" s="4">
        <v>43853</v>
      </c>
      <c r="B29" s="5">
        <f>COUNTIFS(STATUS!$Q:$Q,B$1,STATUS!$K:$K,"РЕШ УВ DONE",STATUS!$D:$D,$A29)</f>
        <v>2</v>
      </c>
      <c r="C29" s="5">
        <f>COUNTIFS(STATUS!$Q:$Q,C$1,STATUS!$K:$K,"РЕШ УВ DONE",STATUS!$D:$D,$A29)</f>
        <v>4</v>
      </c>
      <c r="D29" s="5">
        <f>COUNTIFS(STATUS!$Q:$Q,D$1,STATUS!$K:$K,"РЕШ УВ DONE",STATUS!$D:$D,$A29)</f>
        <v>2</v>
      </c>
      <c r="E29" s="5">
        <f>COUNTIFS(STATUS!$Q:$Q,E$1,STATUS!$K:$K,"РЕШ УВ DONE",STATUS!$D:$D,$A29)</f>
        <v>3</v>
      </c>
      <c r="F29" s="5">
        <f>COUNTIFS(STATUS!$Q:$Q,F$1,STATUS!$K:$K,"РЕШ УВ DONE",STATUS!$D:$D,$A29)</f>
        <v>0</v>
      </c>
      <c r="G29" s="5">
        <f>COUNTIFS(STATUS!$Q:$Q,G$1,STATUS!$K:$K,"РЕШ УВ DONE",STATUS!$D:$D,$A29)</f>
        <v>4</v>
      </c>
      <c r="H29" s="5">
        <f>COUNTIFS(STATUS!$Q:$Q,H$1,STATUS!$K:$K,"РЕШ УВ DONE",STATUS!$D:$D,$A29)</f>
        <v>0</v>
      </c>
      <c r="I29" s="5">
        <f>COUNTIFS(STATUS!$Q:$Q,I$1,STATUS!$K:$K,"РЕШ УВ DONE",STATUS!$D:$D,$A29)</f>
        <v>0</v>
      </c>
      <c r="J29" s="5">
        <f t="shared" si="2"/>
        <v>15</v>
      </c>
    </row>
    <row r="30" spans="1:10" x14ac:dyDescent="0.35">
      <c r="A30" s="4">
        <v>43854</v>
      </c>
      <c r="B30" s="5">
        <f>COUNTIFS(STATUS!$Q:$Q,B$1,STATUS!$K:$K,"РЕШ УВ DONE",STATUS!$D:$D,$A30)</f>
        <v>1</v>
      </c>
      <c r="C30" s="5">
        <f>COUNTIFS(STATUS!$Q:$Q,C$1,STATUS!$K:$K,"РЕШ УВ DONE",STATUS!$D:$D,$A30)</f>
        <v>4</v>
      </c>
      <c r="D30" s="5">
        <f>COUNTIFS(STATUS!$Q:$Q,D$1,STATUS!$K:$K,"РЕШ УВ DONE",STATUS!$D:$D,$A30)</f>
        <v>3</v>
      </c>
      <c r="E30" s="5">
        <f>COUNTIFS(STATUS!$Q:$Q,E$1,STATUS!$K:$K,"РЕШ УВ DONE",STATUS!$D:$D,$A30)</f>
        <v>2</v>
      </c>
      <c r="F30" s="5">
        <f>COUNTIFS(STATUS!$Q:$Q,F$1,STATUS!$K:$K,"РЕШ УВ DONE",STATUS!$D:$D,$A30)</f>
        <v>0</v>
      </c>
      <c r="G30" s="5">
        <f>COUNTIFS(STATUS!$Q:$Q,G$1,STATUS!$K:$K,"РЕШ УВ DONE",STATUS!$D:$D,$A30)</f>
        <v>3</v>
      </c>
      <c r="H30" s="5">
        <f>COUNTIFS(STATUS!$Q:$Q,H$1,STATUS!$K:$K,"РЕШ УВ DONE",STATUS!$D:$D,$A30)</f>
        <v>0</v>
      </c>
      <c r="I30" s="5">
        <f>COUNTIFS(STATUS!$Q:$Q,I$1,STATUS!$K:$K,"РЕШ УВ DONE",STATUS!$D:$D,$A30)</f>
        <v>0</v>
      </c>
      <c r="J30" s="5">
        <f t="shared" si="2"/>
        <v>13</v>
      </c>
    </row>
    <row r="31" spans="1:10" x14ac:dyDescent="0.35">
      <c r="A31" s="4">
        <v>43857</v>
      </c>
      <c r="B31" s="5">
        <f>COUNTIFS(STATUS!$Q:$Q,B$1,STATUS!$K:$K,"РЕШ УВ DONE",STATUS!$D:$D,$A31)</f>
        <v>4</v>
      </c>
      <c r="C31" s="5">
        <f>COUNTIFS(STATUS!$Q:$Q,C$1,STATUS!$K:$K,"РЕШ УВ DONE",STATUS!$D:$D,$A31)</f>
        <v>3</v>
      </c>
      <c r="D31" s="5">
        <f>COUNTIFS(STATUS!$Q:$Q,D$1,STATUS!$K:$K,"РЕШ УВ DONE",STATUS!$D:$D,$A31)</f>
        <v>5</v>
      </c>
      <c r="E31" s="5">
        <f>COUNTIFS(STATUS!$Q:$Q,E$1,STATUS!$K:$K,"РЕШ УВ DONE",STATUS!$D:$D,$A31)</f>
        <v>2</v>
      </c>
      <c r="F31" s="5">
        <f>COUNTIFS(STATUS!$Q:$Q,F$1,STATUS!$K:$K,"РЕШ УВ DONE",STATUS!$D:$D,$A31)</f>
        <v>0</v>
      </c>
      <c r="G31" s="5">
        <f>COUNTIFS(STATUS!$Q:$Q,G$1,STATUS!$K:$K,"РЕШ УВ DONE",STATUS!$D:$D,$A31)</f>
        <v>4</v>
      </c>
      <c r="H31" s="5">
        <f>COUNTIFS(STATUS!$Q:$Q,H$1,STATUS!$K:$K,"РЕШ УВ DONE",STATUS!$D:$D,$A31)</f>
        <v>0</v>
      </c>
      <c r="I31" s="5">
        <f>COUNTIFS(STATUS!$Q:$Q,I$1,STATUS!$K:$K,"РЕШ УВ DONE",STATUS!$D:$D,$A31)</f>
        <v>0</v>
      </c>
      <c r="J31" s="5">
        <f t="shared" si="2"/>
        <v>18</v>
      </c>
    </row>
    <row r="32" spans="1:10" x14ac:dyDescent="0.35">
      <c r="A32" s="4">
        <v>43858</v>
      </c>
      <c r="B32" s="5">
        <f>COUNTIFS(STATUS!$Q:$Q,B$1,STATUS!$K:$K,"РЕШ УВ DONE",STATUS!$D:$D,$A32)</f>
        <v>5</v>
      </c>
      <c r="C32" s="5">
        <f>COUNTIFS(STATUS!$Q:$Q,C$1,STATUS!$K:$K,"РЕШ УВ DONE",STATUS!$D:$D,$A32)</f>
        <v>4</v>
      </c>
      <c r="D32" s="5">
        <f>COUNTIFS(STATUS!$Q:$Q,D$1,STATUS!$K:$K,"РЕШ УВ DONE",STATUS!$D:$D,$A32)</f>
        <v>4</v>
      </c>
      <c r="E32" s="5">
        <f>COUNTIFS(STATUS!$Q:$Q,E$1,STATUS!$K:$K,"РЕШ УВ DONE",STATUS!$D:$D,$A32)</f>
        <v>4</v>
      </c>
      <c r="F32" s="5">
        <f>COUNTIFS(STATUS!$Q:$Q,F$1,STATUS!$K:$K,"РЕШ УВ DONE",STATUS!$D:$D,$A32)</f>
        <v>0</v>
      </c>
      <c r="G32" s="5">
        <f>COUNTIFS(STATUS!$Q:$Q,G$1,STATUS!$K:$K,"РЕШ УВ DONE",STATUS!$D:$D,$A32)</f>
        <v>4</v>
      </c>
      <c r="H32" s="5">
        <f>COUNTIFS(STATUS!$Q:$Q,H$1,STATUS!$K:$K,"РЕШ УВ DONE",STATUS!$D:$D,$A32)</f>
        <v>0</v>
      </c>
      <c r="I32" s="5">
        <f>COUNTIFS(STATUS!$Q:$Q,I$1,STATUS!$K:$K,"РЕШ УВ DONE",STATUS!$D:$D,$A32)</f>
        <v>0</v>
      </c>
      <c r="J32" s="5">
        <f t="shared" si="2"/>
        <v>21</v>
      </c>
    </row>
    <row r="33" spans="1:10" x14ac:dyDescent="0.35">
      <c r="A33" s="4">
        <v>43859</v>
      </c>
      <c r="B33" s="5">
        <f>COUNTIFS(STATUS!$Q:$Q,B$1,STATUS!$K:$K,"РЕШ УВ DONE",STATUS!$D:$D,$A33)</f>
        <v>4</v>
      </c>
      <c r="C33" s="5">
        <f>COUNTIFS(STATUS!$Q:$Q,C$1,STATUS!$K:$K,"РЕШ УВ DONE",STATUS!$D:$D,$A33)</f>
        <v>4</v>
      </c>
      <c r="D33" s="5">
        <f>COUNTIFS(STATUS!$Q:$Q,D$1,STATUS!$K:$K,"РЕШ УВ DONE",STATUS!$D:$D,$A33)</f>
        <v>2</v>
      </c>
      <c r="E33" s="5">
        <f>COUNTIFS(STATUS!$Q:$Q,E$1,STATUS!$K:$K,"РЕШ УВ DONE",STATUS!$D:$D,$A33)</f>
        <v>3</v>
      </c>
      <c r="F33" s="5">
        <f>COUNTIFS(STATUS!$Q:$Q,F$1,STATUS!$K:$K,"РЕШ УВ DONE",STATUS!$D:$D,$A33)</f>
        <v>0</v>
      </c>
      <c r="G33" s="5">
        <f>COUNTIFS(STATUS!$Q:$Q,G$1,STATUS!$K:$K,"РЕШ УВ DONE",STATUS!$D:$D,$A33)</f>
        <v>4</v>
      </c>
      <c r="H33" s="5">
        <f>COUNTIFS(STATUS!$Q:$Q,H$1,STATUS!$K:$K,"РЕШ УВ DONE",STATUS!$D:$D,$A33)</f>
        <v>0</v>
      </c>
      <c r="I33" s="5">
        <f>COUNTIFS(STATUS!$Q:$Q,I$1,STATUS!$K:$K,"РЕШ УВ DONE",STATUS!$D:$D,$A33)</f>
        <v>0</v>
      </c>
      <c r="J33" s="5">
        <f t="shared" si="2"/>
        <v>17</v>
      </c>
    </row>
    <row r="34" spans="1:10" x14ac:dyDescent="0.35">
      <c r="A34" s="4">
        <v>43860</v>
      </c>
      <c r="B34" s="5">
        <f>COUNTIFS(STATUS!$Q:$Q,B$1,STATUS!$K:$K,"РЕШ УВ DONE",STATUS!$D:$D,$A34)</f>
        <v>3</v>
      </c>
      <c r="C34" s="5">
        <f>COUNTIFS(STATUS!$Q:$Q,C$1,STATUS!$K:$K,"РЕШ УВ DONE",STATUS!$D:$D,$A34)</f>
        <v>3</v>
      </c>
      <c r="D34" s="5">
        <f>COUNTIFS(STATUS!$Q:$Q,D$1,STATUS!$K:$K,"РЕШ УВ DONE",STATUS!$D:$D,$A34)</f>
        <v>3</v>
      </c>
      <c r="E34" s="5">
        <f>COUNTIFS(STATUS!$Q:$Q,E$1,STATUS!$K:$K,"РЕШ УВ DONE",STATUS!$D:$D,$A34)</f>
        <v>2</v>
      </c>
      <c r="F34" s="5">
        <f>COUNTIFS(STATUS!$Q:$Q,F$1,STATUS!$K:$K,"РЕШ УВ DONE",STATUS!$D:$D,$A34)</f>
        <v>0</v>
      </c>
      <c r="G34" s="5">
        <f>COUNTIFS(STATUS!$Q:$Q,G$1,STATUS!$K:$K,"РЕШ УВ DONE",STATUS!$D:$D,$A34)</f>
        <v>3</v>
      </c>
      <c r="H34" s="5">
        <f>COUNTIFS(STATUS!$Q:$Q,H$1,STATUS!$K:$K,"РЕШ УВ DONE",STATUS!$D:$D,$A34)</f>
        <v>0</v>
      </c>
      <c r="I34" s="5">
        <f>COUNTIFS(STATUS!$Q:$Q,I$1,STATUS!$K:$K,"РЕШ УВ DONE",STATUS!$D:$D,$A34)</f>
        <v>0</v>
      </c>
      <c r="J34" s="5">
        <f t="shared" si="2"/>
        <v>14</v>
      </c>
    </row>
    <row r="35" spans="1:10" x14ac:dyDescent="0.35">
      <c r="A35" s="4">
        <v>43861</v>
      </c>
      <c r="B35" s="5">
        <f>COUNTIFS(STATUS!$Q:$Q,B$1,STATUS!$K:$K,"РЕШ УВ DONE",STATUS!$D:$D,$A35)</f>
        <v>4</v>
      </c>
      <c r="C35" s="5">
        <f>COUNTIFS(STATUS!$Q:$Q,C$1,STATUS!$K:$K,"РЕШ УВ DONE",STATUS!$D:$D,$A35)</f>
        <v>4</v>
      </c>
      <c r="D35" s="5">
        <f>COUNTIFS(STATUS!$Q:$Q,D$1,STATUS!$K:$K,"РЕШ УВ DONE",STATUS!$D:$D,$A35)</f>
        <v>3</v>
      </c>
      <c r="E35" s="5">
        <f>COUNTIFS(STATUS!$Q:$Q,E$1,STATUS!$K:$K,"РЕШ УВ DONE",STATUS!$D:$D,$A35)</f>
        <v>5</v>
      </c>
      <c r="F35" s="5">
        <f>COUNTIFS(STATUS!$Q:$Q,F$1,STATUS!$K:$K,"РЕШ УВ DONE",STATUS!$D:$D,$A35)</f>
        <v>0</v>
      </c>
      <c r="G35" s="5">
        <f>COUNTIFS(STATUS!$Q:$Q,G$1,STATUS!$K:$K,"РЕШ УВ DONE",STATUS!$D:$D,$A35)</f>
        <v>3</v>
      </c>
      <c r="H35" s="5">
        <f>COUNTIFS(STATUS!$Q:$Q,H$1,STATUS!$K:$K,"РЕШ УВ DONE",STATUS!$D:$D,$A35)</f>
        <v>0</v>
      </c>
      <c r="I35" s="5">
        <f>COUNTIFS(STATUS!$Q:$Q,I$1,STATUS!$K:$K,"РЕШ УВ DONE",STATUS!$D:$D,$A35)</f>
        <v>0</v>
      </c>
      <c r="J35" s="5">
        <f t="shared" si="2"/>
        <v>19</v>
      </c>
    </row>
    <row r="36" spans="1:10" x14ac:dyDescent="0.35">
      <c r="A36" s="4">
        <v>43864</v>
      </c>
      <c r="B36" s="5">
        <f>COUNTIFS(STATUS!$Q:$Q,B$1,STATUS!$K:$K,"РЕШ УВ DONE",STATUS!$D:$D,$A36)</f>
        <v>4</v>
      </c>
      <c r="C36" s="5">
        <f>COUNTIFS(STATUS!$Q:$Q,C$1,STATUS!$K:$K,"РЕШ УВ DONE",STATUS!$D:$D,$A36)</f>
        <v>3</v>
      </c>
      <c r="D36" s="5">
        <f>COUNTIFS(STATUS!$Q:$Q,D$1,STATUS!$K:$K,"РЕШ УВ DONE",STATUS!$D:$D,$A36)</f>
        <v>6</v>
      </c>
      <c r="E36" s="5">
        <f>COUNTIFS(STATUS!$Q:$Q,E$1,STATUS!$K:$K,"РЕШ УВ DONE",STATUS!$D:$D,$A36)</f>
        <v>6</v>
      </c>
      <c r="F36" s="5">
        <f>COUNTIFS(STATUS!$Q:$Q,F$1,STATUS!$K:$K,"РЕШ УВ DONE",STATUS!$D:$D,$A36)</f>
        <v>0</v>
      </c>
      <c r="G36" s="5">
        <f>COUNTIFS(STATUS!$Q:$Q,G$1,STATUS!$K:$K,"РЕШ УВ DONE",STATUS!$D:$D,$A36)</f>
        <v>4</v>
      </c>
      <c r="H36" s="5">
        <f>COUNTIFS(STATUS!$Q:$Q,H$1,STATUS!$K:$K,"РЕШ УВ DONE",STATUS!$D:$D,$A36)</f>
        <v>0</v>
      </c>
      <c r="I36" s="5">
        <f>COUNTIFS(STATUS!$Q:$Q,I$1,STATUS!$K:$K,"РЕШ УВ DONE",STATUS!$D:$D,$A36)</f>
        <v>0</v>
      </c>
      <c r="J36" s="5">
        <f t="shared" si="2"/>
        <v>23</v>
      </c>
    </row>
    <row r="37" spans="1:10" x14ac:dyDescent="0.35">
      <c r="A37" s="4">
        <v>43865</v>
      </c>
      <c r="B37" s="5">
        <f>COUNTIFS(STATUS!$Q:$Q,B$1,STATUS!$K:$K,"РЕШ УВ DONE",STATUS!$D:$D,$A37)</f>
        <v>4</v>
      </c>
      <c r="C37" s="5">
        <f>COUNTIFS(STATUS!$Q:$Q,C$1,STATUS!$K:$K,"РЕШ УВ DONE",STATUS!$D:$D,$A37)</f>
        <v>3</v>
      </c>
      <c r="D37" s="5">
        <f>COUNTIFS(STATUS!$Q:$Q,D$1,STATUS!$K:$K,"РЕШ УВ DONE",STATUS!$D:$D,$A37)</f>
        <v>4</v>
      </c>
      <c r="E37" s="5">
        <f>COUNTIFS(STATUS!$Q:$Q,E$1,STATUS!$K:$K,"РЕШ УВ DONE",STATUS!$D:$D,$A37)</f>
        <v>3</v>
      </c>
      <c r="F37" s="5">
        <f>COUNTIFS(STATUS!$Q:$Q,F$1,STATUS!$K:$K,"РЕШ УВ DONE",STATUS!$D:$D,$A37)</f>
        <v>0</v>
      </c>
      <c r="G37" s="5">
        <f>COUNTIFS(STATUS!$Q:$Q,G$1,STATUS!$K:$K,"РЕШ УВ DONE",STATUS!$D:$D,$A37)</f>
        <v>2</v>
      </c>
      <c r="H37" s="5">
        <f>COUNTIFS(STATUS!$Q:$Q,H$1,STATUS!$K:$K,"РЕШ УВ DONE",STATUS!$D:$D,$A37)</f>
        <v>0</v>
      </c>
      <c r="I37" s="5">
        <f>COUNTIFS(STATUS!$Q:$Q,I$1,STATUS!$K:$K,"РЕШ УВ DONE",STATUS!$D:$D,$A37)</f>
        <v>0</v>
      </c>
      <c r="J37" s="5">
        <f t="shared" si="2"/>
        <v>16</v>
      </c>
    </row>
    <row r="38" spans="1:10" x14ac:dyDescent="0.35">
      <c r="A38" s="4">
        <v>43866</v>
      </c>
      <c r="B38" s="5">
        <f>COUNTIFS(STATUS!$Q:$Q,B$1,STATUS!$K:$K,"РЕШ УВ DONE",STATUS!$D:$D,$A38)</f>
        <v>8</v>
      </c>
      <c r="C38" s="5">
        <f>COUNTIFS(STATUS!$Q:$Q,C$1,STATUS!$K:$K,"РЕШ УВ DONE",STATUS!$D:$D,$A38)</f>
        <v>3</v>
      </c>
      <c r="D38" s="5">
        <f>COUNTIFS(STATUS!$Q:$Q,D$1,STATUS!$K:$K,"РЕШ УВ DONE",STATUS!$D:$D,$A38)</f>
        <v>5</v>
      </c>
      <c r="E38" s="5">
        <f>COUNTIFS(STATUS!$Q:$Q,E$1,STATUS!$K:$K,"РЕШ УВ DONE",STATUS!$D:$D,$A38)</f>
        <v>2</v>
      </c>
      <c r="F38" s="5">
        <f>COUNTIFS(STATUS!$Q:$Q,F$1,STATUS!$K:$K,"РЕШ УВ DONE",STATUS!$D:$D,$A38)</f>
        <v>0</v>
      </c>
      <c r="G38" s="5">
        <f>COUNTIFS(STATUS!$Q:$Q,G$1,STATUS!$K:$K,"РЕШ УВ DONE",STATUS!$D:$D,$A38)</f>
        <v>5</v>
      </c>
      <c r="H38" s="5">
        <f>COUNTIFS(STATUS!$Q:$Q,H$1,STATUS!$K:$K,"РЕШ УВ DONE",STATUS!$D:$D,$A38)</f>
        <v>0</v>
      </c>
      <c r="I38" s="5">
        <f>COUNTIFS(STATUS!$Q:$Q,I$1,STATUS!$K:$K,"РЕШ УВ DONE",STATUS!$D:$D,$A38)</f>
        <v>0</v>
      </c>
      <c r="J38" s="5">
        <f t="shared" si="2"/>
        <v>23</v>
      </c>
    </row>
    <row r="39" spans="1:10" x14ac:dyDescent="0.35">
      <c r="A39" s="4">
        <v>43867</v>
      </c>
      <c r="B39" s="5">
        <f>COUNTIFS(STATUS!$Q:$Q,B$1,STATUS!$K:$K,"РЕШ УВ DONE",STATUS!$D:$D,$A39)</f>
        <v>3</v>
      </c>
      <c r="C39" s="5">
        <f>COUNTIFS(STATUS!$Q:$Q,C$1,STATUS!$K:$K,"РЕШ УВ DONE",STATUS!$D:$D,$A39)</f>
        <v>2</v>
      </c>
      <c r="D39" s="5">
        <f>COUNTIFS(STATUS!$Q:$Q,D$1,STATUS!$K:$K,"РЕШ УВ DONE",STATUS!$D:$D,$A39)</f>
        <v>2</v>
      </c>
      <c r="E39" s="5">
        <f>COUNTIFS(STATUS!$Q:$Q,E$1,STATUS!$K:$K,"РЕШ УВ DONE",STATUS!$D:$D,$A39)</f>
        <v>5</v>
      </c>
      <c r="F39" s="5">
        <f>COUNTIFS(STATUS!$Q:$Q,F$1,STATUS!$K:$K,"РЕШ УВ DONE",STATUS!$D:$D,$A39)</f>
        <v>0</v>
      </c>
      <c r="G39" s="5">
        <f>COUNTIFS(STATUS!$Q:$Q,G$1,STATUS!$K:$K,"РЕШ УВ DONE",STATUS!$D:$D,$A39)</f>
        <v>3</v>
      </c>
      <c r="H39" s="5">
        <f>COUNTIFS(STATUS!$Q:$Q,H$1,STATUS!$K:$K,"РЕШ УВ DONE",STATUS!$D:$D,$A39)</f>
        <v>0</v>
      </c>
      <c r="I39" s="5">
        <f>COUNTIFS(STATUS!$Q:$Q,I$1,STATUS!$K:$K,"РЕШ УВ DONE",STATUS!$D:$D,$A39)</f>
        <v>0</v>
      </c>
      <c r="J39" s="5">
        <f t="shared" si="2"/>
        <v>15</v>
      </c>
    </row>
    <row r="40" spans="1:10" x14ac:dyDescent="0.35">
      <c r="A40" s="4">
        <v>43868</v>
      </c>
      <c r="B40" s="5">
        <f>COUNTIFS(STATUS!$Q:$Q,B$1,STATUS!$K:$K,"РЕШ УВ DONE",STATUS!$D:$D,$A40)</f>
        <v>3</v>
      </c>
      <c r="C40" s="5">
        <f>COUNTIFS(STATUS!$Q:$Q,C$1,STATUS!$K:$K,"РЕШ УВ DONE",STATUS!$D:$D,$A40)</f>
        <v>1</v>
      </c>
      <c r="D40" s="5">
        <f>COUNTIFS(STATUS!$Q:$Q,D$1,STATUS!$K:$K,"РЕШ УВ DONE",STATUS!$D:$D,$A40)</f>
        <v>2</v>
      </c>
      <c r="E40" s="5">
        <f>COUNTIFS(STATUS!$Q:$Q,E$1,STATUS!$K:$K,"РЕШ УВ DONE",STATUS!$D:$D,$A40)</f>
        <v>4</v>
      </c>
      <c r="F40" s="5">
        <f>COUNTIFS(STATUS!$Q:$Q,F$1,STATUS!$K:$K,"РЕШ УВ DONE",STATUS!$D:$D,$A40)</f>
        <v>0</v>
      </c>
      <c r="G40" s="5">
        <f>COUNTIFS(STATUS!$Q:$Q,G$1,STATUS!$K:$K,"РЕШ УВ DONE",STATUS!$D:$D,$A40)</f>
        <v>1</v>
      </c>
      <c r="H40" s="5">
        <f>COUNTIFS(STATUS!$Q:$Q,H$1,STATUS!$K:$K,"РЕШ УВ DONE",STATUS!$D:$D,$A40)</f>
        <v>0</v>
      </c>
      <c r="I40" s="5">
        <f>COUNTIFS(STATUS!$Q:$Q,I$1,STATUS!$K:$K,"РЕШ УВ DONE",STATUS!$D:$D,$A40)</f>
        <v>0</v>
      </c>
      <c r="J40" s="5">
        <f t="shared" si="2"/>
        <v>11</v>
      </c>
    </row>
    <row r="41" spans="1:10" x14ac:dyDescent="0.35">
      <c r="A41" s="4">
        <v>43871</v>
      </c>
      <c r="B41" s="5">
        <f>COUNTIFS(STATUS!$Q:$Q,B$1,STATUS!$K:$K,"РЕШ УВ DONE",STATUS!$D:$D,$A41)</f>
        <v>3</v>
      </c>
      <c r="C41" s="5">
        <f>COUNTIFS(STATUS!$Q:$Q,C$1,STATUS!$K:$K,"РЕШ УВ DONE",STATUS!$D:$D,$A41)</f>
        <v>3</v>
      </c>
      <c r="D41" s="5">
        <f>COUNTIFS(STATUS!$Q:$Q,D$1,STATUS!$K:$K,"РЕШ УВ DONE",STATUS!$D:$D,$A41)</f>
        <v>2</v>
      </c>
      <c r="E41" s="5">
        <f>COUNTIFS(STATUS!$Q:$Q,E$1,STATUS!$K:$K,"РЕШ УВ DONE",STATUS!$D:$D,$A41)</f>
        <v>5</v>
      </c>
      <c r="F41" s="5">
        <f>COUNTIFS(STATUS!$Q:$Q,F$1,STATUS!$K:$K,"РЕШ УВ DONE",STATUS!$D:$D,$A41)</f>
        <v>0</v>
      </c>
      <c r="G41" s="5">
        <f>COUNTIFS(STATUS!$Q:$Q,G$1,STATUS!$K:$K,"РЕШ УВ DONE",STATUS!$D:$D,$A41)</f>
        <v>4</v>
      </c>
      <c r="H41" s="5">
        <f>COUNTIFS(STATUS!$Q:$Q,H$1,STATUS!$K:$K,"РЕШ УВ DONE",STATUS!$D:$D,$A41)</f>
        <v>0</v>
      </c>
      <c r="I41" s="5">
        <f>COUNTIFS(STATUS!$Q:$Q,I$1,STATUS!$K:$K,"РЕШ УВ DONE",STATUS!$D:$D,$A41)</f>
        <v>1</v>
      </c>
      <c r="J41" s="5">
        <f t="shared" si="2"/>
        <v>18</v>
      </c>
    </row>
    <row r="42" spans="1:10" x14ac:dyDescent="0.35">
      <c r="A42" s="4">
        <v>43872</v>
      </c>
      <c r="B42" s="5">
        <f>COUNTIFS(STATUS!$Q:$Q,B$1,STATUS!$K:$K,"РЕШ УВ DONE",STATUS!$D:$D,$A42)</f>
        <v>5</v>
      </c>
      <c r="C42" s="5">
        <f>COUNTIFS(STATUS!$Q:$Q,C$1,STATUS!$K:$K,"РЕШ УВ DONE",STATUS!$D:$D,$A42)</f>
        <v>5</v>
      </c>
      <c r="D42" s="5">
        <f>COUNTIFS(STATUS!$Q:$Q,D$1,STATUS!$K:$K,"РЕШ УВ DONE",STATUS!$D:$D,$A42)</f>
        <v>5</v>
      </c>
      <c r="E42" s="5">
        <f>COUNTIFS(STATUS!$Q:$Q,E$1,STATUS!$K:$K,"РЕШ УВ DONE",STATUS!$D:$D,$A42)</f>
        <v>5</v>
      </c>
      <c r="F42" s="5">
        <f>COUNTIFS(STATUS!$Q:$Q,F$1,STATUS!$K:$K,"РЕШ УВ DONE",STATUS!$D:$D,$A42)</f>
        <v>0</v>
      </c>
      <c r="G42" s="5">
        <f>COUNTIFS(STATUS!$Q:$Q,G$1,STATUS!$K:$K,"РЕШ УВ DONE",STATUS!$D:$D,$A42)</f>
        <v>7</v>
      </c>
      <c r="H42" s="5">
        <f>COUNTIFS(STATUS!$Q:$Q,H$1,STATUS!$K:$K,"РЕШ УВ DONE",STATUS!$D:$D,$A42)</f>
        <v>0</v>
      </c>
      <c r="I42" s="5">
        <f>COUNTIFS(STATUS!$Q:$Q,I$1,STATUS!$K:$K,"РЕШ УВ DONE",STATUS!$D:$D,$A42)</f>
        <v>5</v>
      </c>
      <c r="J42" s="5">
        <f t="shared" si="2"/>
        <v>32</v>
      </c>
    </row>
    <row r="43" spans="1:10" x14ac:dyDescent="0.35">
      <c r="A43" s="4">
        <v>43873</v>
      </c>
      <c r="B43" s="5">
        <f>COUNTIFS(STATUS!$Q:$Q,B$1,STATUS!$K:$K,"РЕШ УВ DONE",STATUS!$D:$D,$A43)</f>
        <v>3</v>
      </c>
      <c r="C43" s="5">
        <f>COUNTIFS(STATUS!$Q:$Q,C$1,STATUS!$K:$K,"РЕШ УВ DONE",STATUS!$D:$D,$A43)</f>
        <v>3</v>
      </c>
      <c r="D43" s="5">
        <f>COUNTIFS(STATUS!$Q:$Q,D$1,STATUS!$K:$K,"РЕШ УВ DONE",STATUS!$D:$D,$A43)</f>
        <v>4</v>
      </c>
      <c r="E43" s="5">
        <f>COUNTIFS(STATUS!$Q:$Q,E$1,STATUS!$K:$K,"РЕШ УВ DONE",STATUS!$D:$D,$A43)</f>
        <v>6</v>
      </c>
      <c r="F43" s="5">
        <f>COUNTIFS(STATUS!$Q:$Q,F$1,STATUS!$K:$K,"РЕШ УВ DONE",STATUS!$D:$D,$A43)</f>
        <v>0</v>
      </c>
      <c r="G43" s="5">
        <f>COUNTIFS(STATUS!$Q:$Q,G$1,STATUS!$K:$K,"РЕШ УВ DONE",STATUS!$D:$D,$A43)</f>
        <v>3</v>
      </c>
      <c r="H43" s="5">
        <f>COUNTIFS(STATUS!$Q:$Q,H$1,STATUS!$K:$K,"РЕШ УВ DONE",STATUS!$D:$D,$A43)</f>
        <v>0</v>
      </c>
      <c r="I43" s="5">
        <f>COUNTIFS(STATUS!$Q:$Q,I$1,STATUS!$K:$K,"РЕШ УВ DONE",STATUS!$D:$D,$A43)</f>
        <v>4</v>
      </c>
      <c r="J43" s="5">
        <f t="shared" si="2"/>
        <v>23</v>
      </c>
    </row>
    <row r="44" spans="1:10" x14ac:dyDescent="0.35">
      <c r="A44" s="4">
        <v>43879</v>
      </c>
      <c r="B44" s="5">
        <f>COUNTIFS(STATUS!$Q:$Q,B$1,STATUS!$K:$K,"РЕШ УВ DONE",STATUS!$D:$D,$A44)</f>
        <v>4</v>
      </c>
      <c r="C44" s="5">
        <f>COUNTIFS(STATUS!$Q:$Q,C$1,STATUS!$K:$K,"РЕШ УВ DONE",STATUS!$D:$D,$A44)</f>
        <v>5</v>
      </c>
      <c r="D44" s="5">
        <f>COUNTIFS(STATUS!$Q:$Q,D$1,STATUS!$K:$K,"РЕШ УВ DONE",STATUS!$D:$D,$A44)</f>
        <v>3</v>
      </c>
      <c r="E44" s="5">
        <f>COUNTIFS(STATUS!$Q:$Q,E$1,STATUS!$K:$K,"РЕШ УВ DONE",STATUS!$D:$D,$A44)</f>
        <v>4</v>
      </c>
      <c r="F44" s="5">
        <f>COUNTIFS(STATUS!$Q:$Q,F$1,STATUS!$K:$K,"РЕШ УВ DONE",STATUS!$D:$D,$A44)</f>
        <v>0</v>
      </c>
      <c r="G44" s="5">
        <f>COUNTIFS(STATUS!$Q:$Q,G$1,STATUS!$K:$K,"РЕШ УВ DONE",STATUS!$D:$D,$A44)</f>
        <v>3</v>
      </c>
      <c r="H44" s="5">
        <f>COUNTIFS(STATUS!$Q:$Q,H$1,STATUS!$K:$K,"РЕШ УВ DONE",STATUS!$D:$D,$A44)</f>
        <v>0</v>
      </c>
      <c r="I44" s="5">
        <f>COUNTIFS(STATUS!$Q:$Q,I$1,STATUS!$K:$K,"РЕШ УВ DONE",STATUS!$D:$D,$A44)</f>
        <v>0</v>
      </c>
      <c r="J44" s="5">
        <f t="shared" si="2"/>
        <v>19</v>
      </c>
    </row>
    <row r="45" spans="1:10" x14ac:dyDescent="0.35">
      <c r="A45" s="4">
        <v>43880</v>
      </c>
      <c r="B45" s="5">
        <f>COUNTIFS(STATUS!$Q:$Q,B$1,STATUS!$K:$K,"РЕШ УВ DONE",STATUS!$D:$D,$A45)</f>
        <v>3</v>
      </c>
      <c r="C45" s="5">
        <f>COUNTIFS(STATUS!$Q:$Q,C$1,STATUS!$K:$K,"РЕШ УВ DONE",STATUS!$D:$D,$A45)</f>
        <v>5</v>
      </c>
      <c r="D45" s="5">
        <f>COUNTIFS(STATUS!$Q:$Q,D$1,STATUS!$K:$K,"РЕШ УВ DONE",STATUS!$D:$D,$A45)</f>
        <v>3</v>
      </c>
      <c r="E45" s="5">
        <f>COUNTIFS(STATUS!$Q:$Q,E$1,STATUS!$K:$K,"РЕШ УВ DONE",STATUS!$D:$D,$A45)</f>
        <v>4</v>
      </c>
      <c r="F45" s="5">
        <f>COUNTIFS(STATUS!$Q:$Q,F$1,STATUS!$K:$K,"РЕШ УВ DONE",STATUS!$D:$D,$A45)</f>
        <v>0</v>
      </c>
      <c r="G45" s="5">
        <f>COUNTIFS(STATUS!$Q:$Q,G$1,STATUS!$K:$K,"РЕШ УВ DONE",STATUS!$D:$D,$A45)</f>
        <v>3</v>
      </c>
      <c r="H45" s="5">
        <f>COUNTIFS(STATUS!$Q:$Q,H$1,STATUS!$K:$K,"РЕШ УВ DONE",STATUS!$D:$D,$A45)</f>
        <v>0</v>
      </c>
      <c r="I45" s="5">
        <f>COUNTIFS(STATUS!$Q:$Q,I$1,STATUS!$K:$K,"РЕШ УВ DONE",STATUS!$D:$D,$A45)</f>
        <v>0</v>
      </c>
      <c r="J45" s="5">
        <f t="shared" si="2"/>
        <v>18</v>
      </c>
    </row>
    <row r="46" spans="1:10" x14ac:dyDescent="0.35">
      <c r="A46" s="4">
        <v>43881</v>
      </c>
      <c r="B46" s="5">
        <f>COUNTIFS(STATUS!$Q:$Q,B$1,STATUS!$K:$K,"РЕШ УВ DONE",STATUS!$D:$D,$A46)</f>
        <v>3</v>
      </c>
      <c r="C46" s="5">
        <f>COUNTIFS(STATUS!$Q:$Q,C$1,STATUS!$K:$K,"РЕШ УВ DONE",STATUS!$D:$D,$A46)</f>
        <v>3</v>
      </c>
      <c r="D46" s="5">
        <f>COUNTIFS(STATUS!$Q:$Q,D$1,STATUS!$K:$K,"РЕШ УВ DONE",STATUS!$D:$D,$A46)</f>
        <v>6</v>
      </c>
      <c r="E46" s="5">
        <f>COUNTIFS(STATUS!$Q:$Q,E$1,STATUS!$K:$K,"РЕШ УВ DONE",STATUS!$D:$D,$A46)</f>
        <v>3</v>
      </c>
      <c r="F46" s="5">
        <f>COUNTIFS(STATUS!$Q:$Q,F$1,STATUS!$K:$K,"РЕШ УВ DONE",STATUS!$D:$D,$A46)</f>
        <v>0</v>
      </c>
      <c r="G46" s="5">
        <f>COUNTIFS(STATUS!$Q:$Q,G$1,STATUS!$K:$K,"РЕШ УВ DONE",STATUS!$D:$D,$A46)</f>
        <v>3</v>
      </c>
      <c r="H46" s="5">
        <f>COUNTIFS(STATUS!$Q:$Q,H$1,STATUS!$K:$K,"РЕШ УВ DONE",STATUS!$D:$D,$A46)</f>
        <v>0</v>
      </c>
      <c r="I46" s="5">
        <f>COUNTIFS(STATUS!$Q:$Q,I$1,STATUS!$K:$K,"РЕШ УВ DONE",STATUS!$D:$D,$A46)</f>
        <v>0</v>
      </c>
      <c r="J46" s="5">
        <f t="shared" si="2"/>
        <v>18</v>
      </c>
    </row>
    <row r="47" spans="1:10" x14ac:dyDescent="0.35">
      <c r="A47" s="4">
        <v>43882</v>
      </c>
      <c r="B47" s="5">
        <f>COUNTIFS(STATUS!$Q:$Q,B$1,STATUS!$K:$K,"РЕШ УВ DONE",STATUS!$D:$D,$A47)</f>
        <v>3</v>
      </c>
      <c r="C47" s="5">
        <f>COUNTIFS(STATUS!$Q:$Q,C$1,STATUS!$K:$K,"РЕШ УВ DONE",STATUS!$D:$D,$A47)</f>
        <v>3</v>
      </c>
      <c r="D47" s="5">
        <f>COUNTIFS(STATUS!$Q:$Q,D$1,STATUS!$K:$K,"РЕШ УВ DONE",STATUS!$D:$D,$A47)</f>
        <v>6</v>
      </c>
      <c r="E47" s="5">
        <f>COUNTIFS(STATUS!$Q:$Q,E$1,STATUS!$K:$K,"РЕШ УВ DONE",STATUS!$D:$D,$A47)</f>
        <v>2</v>
      </c>
      <c r="F47" s="5">
        <f>COUNTIFS(STATUS!$Q:$Q,F$1,STATUS!$K:$K,"РЕШ УВ DONE",STATUS!$D:$D,$A47)</f>
        <v>0</v>
      </c>
      <c r="G47" s="5">
        <f>COUNTIFS(STATUS!$Q:$Q,G$1,STATUS!$K:$K,"РЕШ УВ DONE",STATUS!$D:$D,$A47)</f>
        <v>3</v>
      </c>
      <c r="H47" s="5">
        <f>COUNTIFS(STATUS!$Q:$Q,H$1,STATUS!$K:$K,"РЕШ УВ DONE",STATUS!$D:$D,$A47)</f>
        <v>0</v>
      </c>
      <c r="I47" s="5">
        <f>COUNTIFS(STATUS!$Q:$Q,I$1,STATUS!$K:$K,"РЕШ УВ DONE",STATUS!$D:$D,$A47)</f>
        <v>0</v>
      </c>
      <c r="J47" s="5">
        <f t="shared" si="2"/>
        <v>17</v>
      </c>
    </row>
    <row r="48" spans="1:10" x14ac:dyDescent="0.35">
      <c r="A48" s="4">
        <v>43886</v>
      </c>
      <c r="B48" s="5">
        <f>COUNTIFS(STATUS!$Q:$Q,B$1,STATUS!$K:$K,"РЕШ УВ DONE",STATUS!$D:$D,$A48)</f>
        <v>6</v>
      </c>
      <c r="C48" s="5">
        <f>COUNTIFS(STATUS!$Q:$Q,C$1,STATUS!$K:$K,"РЕШ УВ DONE",STATUS!$D:$D,$A48)</f>
        <v>4</v>
      </c>
      <c r="D48" s="5">
        <f>COUNTIFS(STATUS!$Q:$Q,D$1,STATUS!$K:$K,"РЕШ УВ DONE",STATUS!$D:$D,$A48)</f>
        <v>5</v>
      </c>
      <c r="E48" s="5">
        <f>COUNTIFS(STATUS!$Q:$Q,E$1,STATUS!$K:$K,"РЕШ УВ DONE",STATUS!$D:$D,$A48)</f>
        <v>3</v>
      </c>
      <c r="F48" s="5">
        <f>COUNTIFS(STATUS!$Q:$Q,F$1,STATUS!$K:$K,"РЕШ УВ DONE",STATUS!$D:$D,$A48)</f>
        <v>0</v>
      </c>
      <c r="G48" s="5">
        <f>COUNTIFS(STATUS!$Q:$Q,G$1,STATUS!$K:$K,"РЕШ УВ DONE",STATUS!$D:$D,$A48)</f>
        <v>2</v>
      </c>
      <c r="H48" s="5">
        <f>COUNTIFS(STATUS!$Q:$Q,H$1,STATUS!$K:$K,"РЕШ УВ DONE",STATUS!$D:$D,$A48)</f>
        <v>0</v>
      </c>
      <c r="I48" s="5">
        <f>COUNTIFS(STATUS!$Q:$Q,I$1,STATUS!$K:$K,"РЕШ УВ DONE",STATUS!$D:$D,$A48)</f>
        <v>0</v>
      </c>
      <c r="J48" s="5">
        <f t="shared" si="2"/>
        <v>20</v>
      </c>
    </row>
    <row r="49" spans="1:10" x14ac:dyDescent="0.35">
      <c r="A49" s="4">
        <v>43887</v>
      </c>
      <c r="B49" s="5">
        <f>COUNTIFS(STATUS!$Q:$Q,B$1,STATUS!$K:$K,"РЕШ УВ DONE",STATUS!$D:$D,$A49)</f>
        <v>5</v>
      </c>
      <c r="C49" s="5">
        <f>COUNTIFS(STATUS!$Q:$Q,C$1,STATUS!$K:$K,"РЕШ УВ DONE",STATUS!$D:$D,$A49)</f>
        <v>4</v>
      </c>
      <c r="D49" s="5">
        <f>COUNTIFS(STATUS!$Q:$Q,D$1,STATUS!$K:$K,"РЕШ УВ DONE",STATUS!$D:$D,$A49)</f>
        <v>4</v>
      </c>
      <c r="E49" s="5">
        <f>COUNTIFS(STATUS!$Q:$Q,E$1,STATUS!$K:$K,"РЕШ УВ DONE",STATUS!$D:$D,$A49)</f>
        <v>7</v>
      </c>
      <c r="F49" s="5">
        <f>COUNTIFS(STATUS!$Q:$Q,F$1,STATUS!$K:$K,"РЕШ УВ DONE",STATUS!$D:$D,$A49)</f>
        <v>0</v>
      </c>
      <c r="G49" s="5">
        <f>COUNTIFS(STATUS!$Q:$Q,G$1,STATUS!$K:$K,"РЕШ УВ DONE",STATUS!$D:$D,$A49)</f>
        <v>4</v>
      </c>
      <c r="H49" s="5">
        <f>COUNTIFS(STATUS!$Q:$Q,H$1,STATUS!$K:$K,"РЕШ УВ DONE",STATUS!$D:$D,$A49)</f>
        <v>0</v>
      </c>
      <c r="I49" s="5">
        <f>COUNTIFS(STATUS!$Q:$Q,I$1,STATUS!$K:$K,"РЕШ УВ DONE",STATUS!$D:$D,$A49)</f>
        <v>0</v>
      </c>
      <c r="J49" s="5">
        <f t="shared" si="2"/>
        <v>24</v>
      </c>
    </row>
    <row r="50" spans="1:10" x14ac:dyDescent="0.35">
      <c r="A50" s="4">
        <v>43888</v>
      </c>
      <c r="B50" s="5">
        <f>COUNTIFS(STATUS!$Q:$Q,B$1,STATUS!$K:$K,"РЕШ УВ DONE",STATUS!$D:$D,$A50)</f>
        <v>5</v>
      </c>
      <c r="C50" s="5">
        <f>COUNTIFS(STATUS!$Q:$Q,C$1,STATUS!$K:$K,"РЕШ УВ DONE",STATUS!$D:$D,$A50)</f>
        <v>5</v>
      </c>
      <c r="D50" s="5">
        <f>COUNTIFS(STATUS!$Q:$Q,D$1,STATUS!$K:$K,"РЕШ УВ DONE",STATUS!$D:$D,$A50)</f>
        <v>5</v>
      </c>
      <c r="E50" s="5">
        <f>COUNTIFS(STATUS!$Q:$Q,E$1,STATUS!$K:$K,"РЕШ УВ DONE",STATUS!$D:$D,$A50)</f>
        <v>3</v>
      </c>
      <c r="F50" s="5">
        <f>COUNTIFS(STATUS!$Q:$Q,F$1,STATUS!$K:$K,"РЕШ УВ DONE",STATUS!$D:$D,$A50)</f>
        <v>0</v>
      </c>
      <c r="G50" s="5">
        <f>COUNTIFS(STATUS!$Q:$Q,G$1,STATUS!$K:$K,"РЕШ УВ DONE",STATUS!$D:$D,$A50)</f>
        <v>5</v>
      </c>
      <c r="H50" s="5">
        <f>COUNTIFS(STATUS!$Q:$Q,H$1,STATUS!$K:$K,"РЕШ УВ DONE",STATUS!$D:$D,$A50)</f>
        <v>0</v>
      </c>
      <c r="I50" s="5">
        <f>COUNTIFS(STATUS!$Q:$Q,I$1,STATUS!$K:$K,"РЕШ УВ DONE",STATUS!$D:$D,$A50)</f>
        <v>0</v>
      </c>
      <c r="J50" s="5">
        <f t="shared" si="2"/>
        <v>23</v>
      </c>
    </row>
    <row r="51" spans="1:10" x14ac:dyDescent="0.35">
      <c r="A51" s="4">
        <v>43889</v>
      </c>
      <c r="B51" s="5">
        <f>COUNTIFS(STATUS!$Q:$Q,B$1,STATUS!$K:$K,"РЕШ УВ DONE",STATUS!$D:$D,$A51)</f>
        <v>2</v>
      </c>
      <c r="C51" s="5">
        <f>COUNTIFS(STATUS!$Q:$Q,C$1,STATUS!$K:$K,"РЕШ УВ DONE",STATUS!$D:$D,$A51)</f>
        <v>4</v>
      </c>
      <c r="D51" s="5">
        <f>COUNTIFS(STATUS!$Q:$Q,D$1,STATUS!$K:$K,"РЕШ УВ DONE",STATUS!$D:$D,$A51)</f>
        <v>3</v>
      </c>
      <c r="E51" s="5">
        <f>COUNTIFS(STATUS!$Q:$Q,E$1,STATUS!$K:$K,"РЕШ УВ DONE",STATUS!$D:$D,$A51)</f>
        <v>2</v>
      </c>
      <c r="F51" s="5">
        <f>COUNTIFS(STATUS!$Q:$Q,F$1,STATUS!$K:$K,"РЕШ УВ DONE",STATUS!$D:$D,$A51)</f>
        <v>0</v>
      </c>
      <c r="G51" s="5">
        <f>COUNTIFS(STATUS!$Q:$Q,G$1,STATUS!$K:$K,"РЕШ УВ DONE",STATUS!$D:$D,$A51)</f>
        <v>5</v>
      </c>
      <c r="H51" s="5">
        <f>COUNTIFS(STATUS!$Q:$Q,H$1,STATUS!$K:$K,"РЕШ УВ DONE",STATUS!$D:$D,$A51)</f>
        <v>0</v>
      </c>
      <c r="I51" s="5">
        <f>COUNTIFS(STATUS!$Q:$Q,I$1,STATUS!$K:$K,"РЕШ УВ DONE",STATUS!$D:$D,$A51)</f>
        <v>0</v>
      </c>
      <c r="J51" s="5">
        <f t="shared" si="2"/>
        <v>16</v>
      </c>
    </row>
    <row r="52" spans="1:10" x14ac:dyDescent="0.35">
      <c r="A52" s="4">
        <v>43892</v>
      </c>
      <c r="B52" s="5">
        <f>COUNTIFS(STATUS!$Q:$Q,B$1,STATUS!$K:$K,"РЕШ УВ DONE",STATUS!$D:$D,$A52)</f>
        <v>4</v>
      </c>
      <c r="C52" s="5">
        <f>COUNTIFS(STATUS!$Q:$Q,C$1,STATUS!$K:$K,"РЕШ УВ DONE",STATUS!$D:$D,$A52)</f>
        <v>5</v>
      </c>
      <c r="D52" s="5">
        <f>COUNTIFS(STATUS!$Q:$Q,D$1,STATUS!$K:$K,"РЕШ УВ DONE",STATUS!$D:$D,$A52)</f>
        <v>3</v>
      </c>
      <c r="E52" s="5">
        <f>COUNTIFS(STATUS!$Q:$Q,E$1,STATUS!$K:$K,"РЕШ УВ DONE",STATUS!$D:$D,$A52)</f>
        <v>3</v>
      </c>
      <c r="F52" s="5">
        <f>COUNTIFS(STATUS!$Q:$Q,F$1,STATUS!$K:$K,"РЕШ УВ DONE",STATUS!$D:$D,$A52)</f>
        <v>0</v>
      </c>
      <c r="G52" s="5">
        <f>COUNTIFS(STATUS!$Q:$Q,G$1,STATUS!$K:$K,"РЕШ УВ DONE",STATUS!$D:$D,$A52)</f>
        <v>4</v>
      </c>
      <c r="H52" s="5">
        <f>COUNTIFS(STATUS!$Q:$Q,H$1,STATUS!$K:$K,"РЕШ УВ DONE",STATUS!$D:$D,$A52)</f>
        <v>0</v>
      </c>
      <c r="I52" s="5">
        <f>COUNTIFS(STATUS!$Q:$Q,I$1,STATUS!$K:$K,"РЕШ УВ DONE",STATUS!$D:$D,$A52)</f>
        <v>0</v>
      </c>
      <c r="J52" s="5">
        <f t="shared" si="2"/>
        <v>19</v>
      </c>
    </row>
    <row r="53" spans="1:10" x14ac:dyDescent="0.35">
      <c r="A53" s="4">
        <v>43893</v>
      </c>
      <c r="B53" s="5">
        <f>COUNTIFS(STATUS!$Q:$Q,B$1,STATUS!$K:$K,"РЕШ УВ DONE",STATUS!$D:$D,$A53)</f>
        <v>4</v>
      </c>
      <c r="C53" s="5">
        <f>COUNTIFS(STATUS!$Q:$Q,C$1,STATUS!$K:$K,"РЕШ УВ DONE",STATUS!$D:$D,$A53)</f>
        <v>2</v>
      </c>
      <c r="D53" s="5">
        <f>COUNTIFS(STATUS!$Q:$Q,D$1,STATUS!$K:$K,"РЕШ УВ DONE",STATUS!$D:$D,$A53)</f>
        <v>4</v>
      </c>
      <c r="E53" s="5">
        <f>COUNTIFS(STATUS!$Q:$Q,E$1,STATUS!$K:$K,"РЕШ УВ DONE",STATUS!$D:$D,$A53)</f>
        <v>5</v>
      </c>
      <c r="F53" s="5">
        <f>COUNTIFS(STATUS!$Q:$Q,F$1,STATUS!$K:$K,"РЕШ УВ DONE",STATUS!$D:$D,$A53)</f>
        <v>0</v>
      </c>
      <c r="G53" s="5">
        <f>COUNTIFS(STATUS!$Q:$Q,G$1,STATUS!$K:$K,"РЕШ УВ DONE",STATUS!$D:$D,$A53)</f>
        <v>3</v>
      </c>
      <c r="H53" s="5">
        <f>COUNTIFS(STATUS!$Q:$Q,H$1,STATUS!$K:$K,"РЕШ УВ DONE",STATUS!$D:$D,$A53)</f>
        <v>0</v>
      </c>
      <c r="I53" s="5">
        <f>COUNTIFS(STATUS!$Q:$Q,I$1,STATUS!$K:$K,"РЕШ УВ DONE",STATUS!$D:$D,$A53)</f>
        <v>0</v>
      </c>
      <c r="J53" s="5">
        <f t="shared" si="2"/>
        <v>18</v>
      </c>
    </row>
    <row r="54" spans="1:10" x14ac:dyDescent="0.35">
      <c r="A54" s="4">
        <v>43894</v>
      </c>
      <c r="B54" s="5">
        <f>COUNTIFS(STATUS!$Q:$Q,B$1,STATUS!$K:$K,"РЕШ УВ DONE",STATUS!$D:$D,$A54)</f>
        <v>4</v>
      </c>
      <c r="C54" s="5">
        <f>COUNTIFS(STATUS!$Q:$Q,C$1,STATUS!$K:$K,"РЕШ УВ DONE",STATUS!$D:$D,$A54)</f>
        <v>5</v>
      </c>
      <c r="D54" s="5">
        <f>COUNTIFS(STATUS!$Q:$Q,D$1,STATUS!$K:$K,"РЕШ УВ DONE",STATUS!$D:$D,$A54)</f>
        <v>4</v>
      </c>
      <c r="E54" s="5">
        <f>COUNTIFS(STATUS!$Q:$Q,E$1,STATUS!$K:$K,"РЕШ УВ DONE",STATUS!$D:$D,$A54)</f>
        <v>5</v>
      </c>
      <c r="F54" s="5">
        <f>COUNTIFS(STATUS!$Q:$Q,F$1,STATUS!$K:$K,"РЕШ УВ DONE",STATUS!$D:$D,$A54)</f>
        <v>0</v>
      </c>
      <c r="G54" s="5">
        <f>COUNTIFS(STATUS!$Q:$Q,G$1,STATUS!$K:$K,"РЕШ УВ DONE",STATUS!$D:$D,$A54)</f>
        <v>0</v>
      </c>
      <c r="H54" s="5">
        <f>COUNTIFS(STATUS!$Q:$Q,H$1,STATUS!$K:$K,"РЕШ УВ DONE",STATUS!$D:$D,$A54)</f>
        <v>0</v>
      </c>
      <c r="I54" s="5">
        <f>COUNTIFS(STATUS!$Q:$Q,I$1,STATUS!$K:$K,"РЕШ УВ DONE",STATUS!$D:$D,$A54)</f>
        <v>0</v>
      </c>
      <c r="J54" s="5">
        <f t="shared" si="2"/>
        <v>18</v>
      </c>
    </row>
    <row r="55" spans="1:10" x14ac:dyDescent="0.35">
      <c r="A55" s="4">
        <v>43895</v>
      </c>
      <c r="B55" s="5">
        <f>COUNTIFS(STATUS!$Q:$Q,B$1,STATUS!$K:$K,"РЕШ УВ DONE",STATUS!$D:$D,$A55)</f>
        <v>5</v>
      </c>
      <c r="C55" s="5">
        <f>COUNTIFS(STATUS!$Q:$Q,C$1,STATUS!$K:$K,"РЕШ УВ DONE",STATUS!$D:$D,$A55)</f>
        <v>5</v>
      </c>
      <c r="D55" s="5">
        <f>COUNTIFS(STATUS!$Q:$Q,D$1,STATUS!$K:$K,"РЕШ УВ DONE",STATUS!$D:$D,$A55)</f>
        <v>5</v>
      </c>
      <c r="E55" s="5">
        <f>COUNTIFS(STATUS!$Q:$Q,E$1,STATUS!$K:$K,"РЕШ УВ DONE",STATUS!$D:$D,$A55)</f>
        <v>3</v>
      </c>
      <c r="F55" s="5">
        <f>COUNTIFS(STATUS!$Q:$Q,F$1,STATUS!$K:$K,"РЕШ УВ DONE",STATUS!$D:$D,$A55)</f>
        <v>0</v>
      </c>
      <c r="G55" s="5">
        <f>COUNTIFS(STATUS!$Q:$Q,G$1,STATUS!$K:$K,"РЕШ УВ DONE",STATUS!$D:$D,$A55)</f>
        <v>0</v>
      </c>
      <c r="H55" s="5">
        <f>COUNTIFS(STATUS!$Q:$Q,H$1,STATUS!$K:$K,"РЕШ УВ DONE",STATUS!$D:$D,$A55)</f>
        <v>0</v>
      </c>
      <c r="I55" s="5">
        <f>COUNTIFS(STATUS!$Q:$Q,I$1,STATUS!$K:$K,"РЕШ УВ DONE",STATUS!$D:$D,$A55)</f>
        <v>0</v>
      </c>
      <c r="J55" s="5">
        <f t="shared" si="2"/>
        <v>18</v>
      </c>
    </row>
    <row r="56" spans="1:10" x14ac:dyDescent="0.35">
      <c r="A56" s="4">
        <v>43896</v>
      </c>
      <c r="B56" s="5">
        <f>COUNTIFS(STATUS!$Q:$Q,B$1,STATUS!$K:$K,"РЕШ УВ DONE",STATUS!$D:$D,$A56)</f>
        <v>4</v>
      </c>
      <c r="C56" s="5">
        <f>COUNTIFS(STATUS!$Q:$Q,C$1,STATUS!$K:$K,"РЕШ УВ DONE",STATUS!$D:$D,$A56)</f>
        <v>6</v>
      </c>
      <c r="D56" s="5">
        <f>COUNTIFS(STATUS!$Q:$Q,D$1,STATUS!$K:$K,"РЕШ УВ DONE",STATUS!$D:$D,$A56)</f>
        <v>3</v>
      </c>
      <c r="E56" s="5">
        <f>COUNTIFS(STATUS!$Q:$Q,E$1,STATUS!$K:$K,"РЕШ УВ DONE",STATUS!$D:$D,$A56)</f>
        <v>6</v>
      </c>
      <c r="F56" s="5">
        <f>COUNTIFS(STATUS!$Q:$Q,F$1,STATUS!$K:$K,"РЕШ УВ DONE",STATUS!$D:$D,$A56)</f>
        <v>0</v>
      </c>
      <c r="G56" s="5">
        <f>COUNTIFS(STATUS!$Q:$Q,G$1,STATUS!$K:$K,"РЕШ УВ DONE",STATUS!$D:$D,$A56)</f>
        <v>0</v>
      </c>
      <c r="H56" s="5">
        <f>COUNTIFS(STATUS!$Q:$Q,H$1,STATUS!$K:$K,"РЕШ УВ DONE",STATUS!$D:$D,$A56)</f>
        <v>0</v>
      </c>
      <c r="I56" s="5">
        <f>COUNTIFS(STATUS!$Q:$Q,I$1,STATUS!$K:$K,"РЕШ УВ DONE",STATUS!$D:$D,$A56)</f>
        <v>0</v>
      </c>
      <c r="J56" s="5">
        <f t="shared" ref="J56:J73" si="3">SUM(B56:I56)</f>
        <v>19</v>
      </c>
    </row>
    <row r="57" spans="1:10" x14ac:dyDescent="0.35">
      <c r="A57" s="4">
        <v>43900</v>
      </c>
      <c r="B57" s="5">
        <f>COUNTIFS(STATUS!$Q:$Q,B$1,STATUS!$K:$K,"РЕШ УВ DONE",STATUS!$D:$D,$A57)</f>
        <v>4</v>
      </c>
      <c r="C57" s="5">
        <f>COUNTIFS(STATUS!$Q:$Q,C$1,STATUS!$K:$K,"РЕШ УВ DONE",STATUS!$D:$D,$A57)</f>
        <v>3</v>
      </c>
      <c r="D57" s="5">
        <f>COUNTIFS(STATUS!$Q:$Q,D$1,STATUS!$K:$K,"РЕШ УВ DONE",STATUS!$D:$D,$A57)</f>
        <v>4</v>
      </c>
      <c r="E57" s="5">
        <f>COUNTIFS(STATUS!$Q:$Q,E$1,STATUS!$K:$K,"РЕШ УВ DONE",STATUS!$D:$D,$A57)</f>
        <v>2</v>
      </c>
      <c r="F57" s="5">
        <f>COUNTIFS(STATUS!$Q:$Q,F$1,STATUS!$K:$K,"РЕШ УВ DONE",STATUS!$D:$D,$A57)</f>
        <v>0</v>
      </c>
      <c r="G57" s="5">
        <f>COUNTIFS(STATUS!$Q:$Q,G$1,STATUS!$K:$K,"РЕШ УВ DONE",STATUS!$D:$D,$A57)</f>
        <v>0</v>
      </c>
      <c r="H57" s="5">
        <f>COUNTIFS(STATUS!$Q:$Q,H$1,STATUS!$K:$K,"РЕШ УВ DONE",STATUS!$D:$D,$A57)</f>
        <v>0</v>
      </c>
      <c r="I57" s="5">
        <f>COUNTIFS(STATUS!$Q:$Q,I$1,STATUS!$K:$K,"РЕШ УВ DONE",STATUS!$D:$D,$A57)</f>
        <v>0</v>
      </c>
      <c r="J57" s="5">
        <f t="shared" si="3"/>
        <v>13</v>
      </c>
    </row>
    <row r="58" spans="1:10" x14ac:dyDescent="0.35">
      <c r="A58" s="4">
        <v>43901</v>
      </c>
      <c r="B58" s="5">
        <f>COUNTIFS(STATUS!$Q:$Q,B$1,STATUS!$K:$K,"РЕШ УВ DONE",STATUS!$D:$D,$A58)</f>
        <v>4</v>
      </c>
      <c r="C58" s="5">
        <f>COUNTIFS(STATUS!$Q:$Q,C$1,STATUS!$K:$K,"РЕШ УВ DONE",STATUS!$D:$D,$A58)</f>
        <v>5</v>
      </c>
      <c r="D58" s="5">
        <f>COUNTIFS(STATUS!$Q:$Q,D$1,STATUS!$K:$K,"РЕШ УВ DONE",STATUS!$D:$D,$A58)</f>
        <v>3</v>
      </c>
      <c r="E58" s="5">
        <f>COUNTIFS(STATUS!$Q:$Q,E$1,STATUS!$K:$K,"РЕШ УВ DONE",STATUS!$D:$D,$A58)</f>
        <v>6</v>
      </c>
      <c r="F58" s="5">
        <f>COUNTIFS(STATUS!$Q:$Q,F$1,STATUS!$K:$K,"РЕШ УВ DONE",STATUS!$D:$D,$A58)</f>
        <v>0</v>
      </c>
      <c r="G58" s="5">
        <f>COUNTIFS(STATUS!$Q:$Q,G$1,STATUS!$K:$K,"РЕШ УВ DONE",STATUS!$D:$D,$A58)</f>
        <v>0</v>
      </c>
      <c r="H58" s="5">
        <f>COUNTIFS(STATUS!$Q:$Q,H$1,STATUS!$K:$K,"РЕШ УВ DONE",STATUS!$D:$D,$A58)</f>
        <v>0</v>
      </c>
      <c r="I58" s="5">
        <f>COUNTIFS(STATUS!$Q:$Q,I$1,STATUS!$K:$K,"РЕШ УВ DONE",STATUS!$D:$D,$A58)</f>
        <v>0</v>
      </c>
      <c r="J58" s="5">
        <f t="shared" si="3"/>
        <v>18</v>
      </c>
    </row>
    <row r="59" spans="1:10" x14ac:dyDescent="0.35">
      <c r="A59" s="4">
        <v>43902</v>
      </c>
      <c r="B59" s="5">
        <f>COUNTIFS(STATUS!$Q:$Q,B$1,STATUS!$K:$K,"РЕШ УВ DONE",STATUS!$D:$D,$A59)</f>
        <v>4</v>
      </c>
      <c r="C59" s="5">
        <f>COUNTIFS(STATUS!$Q:$Q,C$1,STATUS!$K:$K,"РЕШ УВ DONE",STATUS!$D:$D,$A59)</f>
        <v>5</v>
      </c>
      <c r="D59" s="5">
        <f>COUNTIFS(STATUS!$Q:$Q,D$1,STATUS!$K:$K,"РЕШ УВ DONE",STATUS!$D:$D,$A59)</f>
        <v>3</v>
      </c>
      <c r="E59" s="5">
        <f>COUNTIFS(STATUS!$Q:$Q,E$1,STATUS!$K:$K,"РЕШ УВ DONE",STATUS!$D:$D,$A59)</f>
        <v>4</v>
      </c>
      <c r="F59" s="5">
        <f>COUNTIFS(STATUS!$Q:$Q,F$1,STATUS!$K:$K,"РЕШ УВ DONE",STATUS!$D:$D,$A59)</f>
        <v>0</v>
      </c>
      <c r="G59" s="5">
        <f>COUNTIFS(STATUS!$Q:$Q,G$1,STATUS!$K:$K,"РЕШ УВ DONE",STATUS!$D:$D,$A59)</f>
        <v>0</v>
      </c>
      <c r="H59" s="5">
        <f>COUNTIFS(STATUS!$Q:$Q,H$1,STATUS!$K:$K,"РЕШ УВ DONE",STATUS!$D:$D,$A59)</f>
        <v>0</v>
      </c>
      <c r="I59" s="5">
        <f>COUNTIFS(STATUS!$Q:$Q,I$1,STATUS!$K:$K,"РЕШ УВ DONE",STATUS!$D:$D,$A59)</f>
        <v>0</v>
      </c>
      <c r="J59" s="5">
        <f t="shared" si="3"/>
        <v>16</v>
      </c>
    </row>
    <row r="60" spans="1:10" x14ac:dyDescent="0.35">
      <c r="A60" s="4">
        <v>43903</v>
      </c>
      <c r="B60" s="5">
        <f>COUNTIFS(STATUS!$Q:$Q,B$1,STATUS!$K:$K,"РЕШ УВ DONE",STATUS!$D:$D,$A60)</f>
        <v>3</v>
      </c>
      <c r="C60" s="5">
        <f>COUNTIFS(STATUS!$Q:$Q,C$1,STATUS!$K:$K,"РЕШ УВ DONE",STATUS!$D:$D,$A60)</f>
        <v>6</v>
      </c>
      <c r="D60" s="5">
        <f>COUNTIFS(STATUS!$Q:$Q,D$1,STATUS!$K:$K,"РЕШ УВ DONE",STATUS!$D:$D,$A60)</f>
        <v>5</v>
      </c>
      <c r="E60" s="5">
        <f>COUNTIFS(STATUS!$Q:$Q,E$1,STATUS!$K:$K,"РЕШ УВ DONE",STATUS!$D:$D,$A60)</f>
        <v>3</v>
      </c>
      <c r="F60" s="5">
        <f>COUNTIFS(STATUS!$Q:$Q,F$1,STATUS!$K:$K,"РЕШ УВ DONE",STATUS!$D:$D,$A60)</f>
        <v>0</v>
      </c>
      <c r="G60" s="5">
        <f>COUNTIFS(STATUS!$Q:$Q,G$1,STATUS!$K:$K,"РЕШ УВ DONE",STATUS!$D:$D,$A60)</f>
        <v>0</v>
      </c>
      <c r="H60" s="5">
        <f>COUNTIFS(STATUS!$Q:$Q,H$1,STATUS!$K:$K,"РЕШ УВ DONE",STATUS!$D:$D,$A60)</f>
        <v>0</v>
      </c>
      <c r="I60" s="5">
        <f>COUNTIFS(STATUS!$Q:$Q,I$1,STATUS!$K:$K,"РЕШ УВ DONE",STATUS!$D:$D,$A60)</f>
        <v>0</v>
      </c>
      <c r="J60" s="5">
        <f t="shared" si="3"/>
        <v>17</v>
      </c>
    </row>
    <row r="61" spans="1:10" x14ac:dyDescent="0.35">
      <c r="A61" s="4">
        <v>43906</v>
      </c>
      <c r="B61" s="5">
        <f>COUNTIFS(STATUS!$Q:$Q,B$1,STATUS!$K:$K,"РЕШ УВ DONE",STATUS!$D:$D,$A61)</f>
        <v>4</v>
      </c>
      <c r="C61" s="5">
        <f>COUNTIFS(STATUS!$Q:$Q,C$1,STATUS!$K:$K,"РЕШ УВ DONE",STATUS!$D:$D,$A61)</f>
        <v>4</v>
      </c>
      <c r="D61" s="5">
        <f>COUNTIFS(STATUS!$Q:$Q,D$1,STATUS!$K:$K,"РЕШ УВ DONE",STATUS!$D:$D,$A61)</f>
        <v>3</v>
      </c>
      <c r="E61" s="5">
        <f>COUNTIFS(STATUS!$Q:$Q,E$1,STATUS!$K:$K,"РЕШ УВ DONE",STATUS!$D:$D,$A61)</f>
        <v>4</v>
      </c>
      <c r="F61" s="5">
        <f>COUNTIFS(STATUS!$Q:$Q,F$1,STATUS!$K:$K,"РЕШ УВ DONE",STATUS!$D:$D,$A61)</f>
        <v>0</v>
      </c>
      <c r="G61" s="5">
        <f>COUNTIFS(STATUS!$Q:$Q,G$1,STATUS!$K:$K,"РЕШ УВ DONE",STATUS!$D:$D,$A61)</f>
        <v>0</v>
      </c>
      <c r="H61" s="5">
        <f>COUNTIFS(STATUS!$Q:$Q,H$1,STATUS!$K:$K,"РЕШ УВ DONE",STATUS!$D:$D,$A61)</f>
        <v>0</v>
      </c>
      <c r="I61" s="5">
        <f>COUNTIFS(STATUS!$Q:$Q,I$1,STATUS!$K:$K,"РЕШ УВ DONE",STATUS!$D:$D,$A61)</f>
        <v>0</v>
      </c>
      <c r="J61" s="5">
        <f t="shared" si="3"/>
        <v>15</v>
      </c>
    </row>
    <row r="62" spans="1:10" x14ac:dyDescent="0.35">
      <c r="A62" s="4">
        <v>43907</v>
      </c>
      <c r="B62" s="5">
        <f>COUNTIFS(STATUS!$Q:$Q,B$1,STATUS!$K:$K,"РЕШ УВ DONE",STATUS!$D:$D,$A62)</f>
        <v>3</v>
      </c>
      <c r="C62" s="5">
        <f>COUNTIFS(STATUS!$Q:$Q,C$1,STATUS!$K:$K,"РЕШ УВ DONE",STATUS!$D:$D,$A62)</f>
        <v>6</v>
      </c>
      <c r="D62" s="5">
        <f>COUNTIFS(STATUS!$Q:$Q,D$1,STATUS!$K:$K,"РЕШ УВ DONE",STATUS!$D:$D,$A62)</f>
        <v>3</v>
      </c>
      <c r="E62" s="5">
        <f>COUNTIFS(STATUS!$Q:$Q,E$1,STATUS!$K:$K,"РЕШ УВ DONE",STATUS!$D:$D,$A62)</f>
        <v>4</v>
      </c>
      <c r="F62" s="5">
        <f>COUNTIFS(STATUS!$Q:$Q,F$1,STATUS!$K:$K,"РЕШ УВ DONE",STATUS!$D:$D,$A62)</f>
        <v>0</v>
      </c>
      <c r="G62" s="5">
        <f>COUNTIFS(STATUS!$Q:$Q,G$1,STATUS!$K:$K,"РЕШ УВ DONE",STATUS!$D:$D,$A62)</f>
        <v>0</v>
      </c>
      <c r="H62" s="5">
        <f>COUNTIFS(STATUS!$Q:$Q,H$1,STATUS!$K:$K,"РЕШ УВ DONE",STATUS!$D:$D,$A62)</f>
        <v>0</v>
      </c>
      <c r="I62" s="5">
        <f>COUNTIFS(STATUS!$Q:$Q,I$1,STATUS!$K:$K,"РЕШ УВ DONE",STATUS!$D:$D,$A62)</f>
        <v>0</v>
      </c>
      <c r="J62" s="5">
        <f t="shared" si="3"/>
        <v>16</v>
      </c>
    </row>
    <row r="63" spans="1:10" x14ac:dyDescent="0.35">
      <c r="A63" s="4">
        <v>43908</v>
      </c>
      <c r="B63" s="5">
        <f>COUNTIFS(STATUS!$Q:$Q,B$1,STATUS!$K:$K,"РЕШ УВ DONE",STATUS!$D:$D,$A63)</f>
        <v>4</v>
      </c>
      <c r="C63" s="5">
        <f>COUNTIFS(STATUS!$Q:$Q,C$1,STATUS!$K:$K,"РЕШ УВ DONE",STATUS!$D:$D,$A63)</f>
        <v>5</v>
      </c>
      <c r="D63" s="5">
        <f>COUNTIFS(STATUS!$Q:$Q,D$1,STATUS!$K:$K,"РЕШ УВ DONE",STATUS!$D:$D,$A63)</f>
        <v>4</v>
      </c>
      <c r="E63" s="5">
        <f>COUNTIFS(STATUS!$Q:$Q,E$1,STATUS!$K:$K,"РЕШ УВ DONE",STATUS!$D:$D,$A63)</f>
        <v>5</v>
      </c>
      <c r="F63" s="5">
        <f>COUNTIFS(STATUS!$Q:$Q,F$1,STATUS!$K:$K,"РЕШ УВ DONE",STATUS!$D:$D,$A63)</f>
        <v>0</v>
      </c>
      <c r="G63" s="5">
        <f>COUNTIFS(STATUS!$Q:$Q,G$1,STATUS!$K:$K,"РЕШ УВ DONE",STATUS!$D:$D,$A63)</f>
        <v>0</v>
      </c>
      <c r="H63" s="5">
        <f>COUNTIFS(STATUS!$Q:$Q,H$1,STATUS!$K:$K,"РЕШ УВ DONE",STATUS!$D:$D,$A63)</f>
        <v>0</v>
      </c>
      <c r="I63" s="5">
        <f>COUNTIFS(STATUS!$Q:$Q,I$1,STATUS!$K:$K,"РЕШ УВ DONE",STATUS!$D:$D,$A63)</f>
        <v>0</v>
      </c>
      <c r="J63" s="5">
        <f t="shared" si="3"/>
        <v>18</v>
      </c>
    </row>
    <row r="64" spans="1:10" x14ac:dyDescent="0.35">
      <c r="A64" s="4">
        <v>43909</v>
      </c>
      <c r="B64" s="5">
        <f>COUNTIFS(STATUS!$Q:$Q,B$1,STATUS!$K:$K,"РЕШ УВ DONE",STATUS!$D:$D,$A64)</f>
        <v>4</v>
      </c>
      <c r="C64" s="5">
        <f>COUNTIFS(STATUS!$Q:$Q,C$1,STATUS!$K:$K,"РЕШ УВ DONE",STATUS!$D:$D,$A64)</f>
        <v>5</v>
      </c>
      <c r="D64" s="5">
        <f>COUNTIFS(STATUS!$Q:$Q,D$1,STATUS!$K:$K,"РЕШ УВ DONE",STATUS!$D:$D,$A64)</f>
        <v>6</v>
      </c>
      <c r="E64" s="5">
        <f>COUNTIFS(STATUS!$Q:$Q,E$1,STATUS!$K:$K,"РЕШ УВ DONE",STATUS!$D:$D,$A64)</f>
        <v>4</v>
      </c>
      <c r="F64" s="5">
        <f>COUNTIFS(STATUS!$Q:$Q,F$1,STATUS!$K:$K,"РЕШ УВ DONE",STATUS!$D:$D,$A64)</f>
        <v>0</v>
      </c>
      <c r="G64" s="5">
        <f>COUNTIFS(STATUS!$Q:$Q,G$1,STATUS!$K:$K,"РЕШ УВ DONE",STATUS!$D:$D,$A64)</f>
        <v>0</v>
      </c>
      <c r="H64" s="5">
        <f>COUNTIFS(STATUS!$Q:$Q,H$1,STATUS!$K:$K,"РЕШ УВ DONE",STATUS!$D:$D,$A64)</f>
        <v>0</v>
      </c>
      <c r="I64" s="5">
        <f>COUNTIFS(STATUS!$Q:$Q,I$1,STATUS!$K:$K,"РЕШ УВ DONE",STATUS!$D:$D,$A64)</f>
        <v>0</v>
      </c>
      <c r="J64" s="5">
        <f t="shared" si="3"/>
        <v>19</v>
      </c>
    </row>
    <row r="65" spans="1:10" x14ac:dyDescent="0.35">
      <c r="A65" s="4">
        <v>43910</v>
      </c>
      <c r="B65" s="5">
        <f>COUNTIFS(STATUS!$Q:$Q,B$1,STATUS!$K:$K,"РЕШ УВ DONE",STATUS!$D:$D,$A65)</f>
        <v>2</v>
      </c>
      <c r="C65" s="5">
        <f>COUNTIFS(STATUS!$Q:$Q,C$1,STATUS!$K:$K,"РЕШ УВ DONE",STATUS!$D:$D,$A65)</f>
        <v>4</v>
      </c>
      <c r="D65" s="5">
        <f>COUNTIFS(STATUS!$Q:$Q,D$1,STATUS!$K:$K,"РЕШ УВ DONE",STATUS!$D:$D,$A65)</f>
        <v>2</v>
      </c>
      <c r="E65" s="5">
        <f>COUNTIFS(STATUS!$Q:$Q,E$1,STATUS!$K:$K,"РЕШ УВ DONE",STATUS!$D:$D,$A65)</f>
        <v>2</v>
      </c>
      <c r="F65" s="5">
        <f>COUNTIFS(STATUS!$Q:$Q,F$1,STATUS!$K:$K,"РЕШ УВ DONE",STATUS!$D:$D,$A65)</f>
        <v>0</v>
      </c>
      <c r="G65" s="5">
        <f>COUNTIFS(STATUS!$Q:$Q,G$1,STATUS!$K:$K,"РЕШ УВ DONE",STATUS!$D:$D,$A65)</f>
        <v>0</v>
      </c>
      <c r="H65" s="5">
        <f>COUNTIFS(STATUS!$Q:$Q,H$1,STATUS!$K:$K,"РЕШ УВ DONE",STATUS!$D:$D,$A65)</f>
        <v>0</v>
      </c>
      <c r="I65" s="5">
        <f>COUNTIFS(STATUS!$Q:$Q,I$1,STATUS!$K:$K,"РЕШ УВ DONE",STATUS!$D:$D,$A65)</f>
        <v>0</v>
      </c>
      <c r="J65" s="5">
        <f t="shared" si="3"/>
        <v>10</v>
      </c>
    </row>
    <row r="66" spans="1:10" x14ac:dyDescent="0.35">
      <c r="A66" s="4">
        <v>43913</v>
      </c>
      <c r="B66" s="5">
        <f>COUNTIFS(STATUS!$Q:$Q,B$1,STATUS!$K:$K,"РЕШ УВ DONE",STATUS!$D:$D,$A66)</f>
        <v>5</v>
      </c>
      <c r="C66" s="5">
        <f>COUNTIFS(STATUS!$Q:$Q,C$1,STATUS!$K:$K,"РЕШ УВ DONE",STATUS!$D:$D,$A66)</f>
        <v>4</v>
      </c>
      <c r="D66" s="5">
        <f>COUNTIFS(STATUS!$Q:$Q,D$1,STATUS!$K:$K,"РЕШ УВ DONE",STATUS!$D:$D,$A66)</f>
        <v>6</v>
      </c>
      <c r="E66" s="5">
        <f>COUNTIFS(STATUS!$Q:$Q,E$1,STATUS!$K:$K,"РЕШ УВ DONE",STATUS!$D:$D,$A66)</f>
        <v>4</v>
      </c>
      <c r="F66" s="5">
        <f>COUNTIFS(STATUS!$Q:$Q,F$1,STATUS!$K:$K,"РЕШ УВ DONE",STATUS!$D:$D,$A66)</f>
        <v>0</v>
      </c>
      <c r="G66" s="5">
        <f>COUNTIFS(STATUS!$Q:$Q,G$1,STATUS!$K:$K,"РЕШ УВ DONE",STATUS!$D:$D,$A66)</f>
        <v>0</v>
      </c>
      <c r="H66" s="5">
        <f>COUNTIFS(STATUS!$Q:$Q,H$1,STATUS!$K:$K,"РЕШ УВ DONE",STATUS!$D:$D,$A66)</f>
        <v>7</v>
      </c>
      <c r="I66" s="5">
        <f>COUNTIFS(STATUS!$Q:$Q,I$1,STATUS!$K:$K,"РЕШ УВ DONE",STATUS!$D:$D,$A66)</f>
        <v>0</v>
      </c>
      <c r="J66" s="5">
        <f t="shared" si="3"/>
        <v>26</v>
      </c>
    </row>
    <row r="67" spans="1:10" x14ac:dyDescent="0.35">
      <c r="A67" s="4">
        <v>43914</v>
      </c>
      <c r="B67" s="5">
        <f>COUNTIFS(STATUS!$Q:$Q,B$1,STATUS!$K:$K,"РЕШ УВ DONE",STATUS!$D:$D,$A67)</f>
        <v>4</v>
      </c>
      <c r="C67" s="5">
        <f>COUNTIFS(STATUS!$Q:$Q,C$1,STATUS!$K:$K,"РЕШ УВ DONE",STATUS!$D:$D,$A67)</f>
        <v>3</v>
      </c>
      <c r="D67" s="5">
        <f>COUNTIFS(STATUS!$Q:$Q,D$1,STATUS!$K:$K,"РЕШ УВ DONE",STATUS!$D:$D,$A67)</f>
        <v>3</v>
      </c>
      <c r="E67" s="5">
        <f>COUNTIFS(STATUS!$Q:$Q,E$1,STATUS!$K:$K,"РЕШ УВ DONE",STATUS!$D:$D,$A67)</f>
        <v>2</v>
      </c>
      <c r="F67" s="5">
        <f>COUNTIFS(STATUS!$Q:$Q,F$1,STATUS!$K:$K,"РЕШ УВ DONE",STATUS!$D:$D,$A67)</f>
        <v>0</v>
      </c>
      <c r="G67" s="5">
        <f>COUNTIFS(STATUS!$Q:$Q,G$1,STATUS!$K:$K,"РЕШ УВ DONE",STATUS!$D:$D,$A67)</f>
        <v>0</v>
      </c>
      <c r="H67" s="5">
        <f>COUNTIFS(STATUS!$Q:$Q,H$1,STATUS!$K:$K,"РЕШ УВ DONE",STATUS!$D:$D,$A67)</f>
        <v>3</v>
      </c>
      <c r="I67" s="5">
        <f>COUNTIFS(STATUS!$Q:$Q,I$1,STATUS!$K:$K,"РЕШ УВ DONE",STATUS!$D:$D,$A67)</f>
        <v>0</v>
      </c>
      <c r="J67" s="5">
        <f t="shared" si="3"/>
        <v>15</v>
      </c>
    </row>
    <row r="68" spans="1:10" x14ac:dyDescent="0.35">
      <c r="A68" s="4">
        <v>43915</v>
      </c>
      <c r="B68" s="5">
        <f>COUNTIFS(STATUS!$Q:$Q,B$1,STATUS!$K:$K,"РЕШ УВ DONE",STATUS!$D:$D,$A68)</f>
        <v>3</v>
      </c>
      <c r="C68" s="5">
        <f>COUNTIFS(STATUS!$Q:$Q,C$1,STATUS!$K:$K,"РЕШ УВ DONE",STATUS!$D:$D,$A68)</f>
        <v>5</v>
      </c>
      <c r="D68" s="5">
        <f>COUNTIFS(STATUS!$Q:$Q,D$1,STATUS!$K:$K,"РЕШ УВ DONE",STATUS!$D:$D,$A68)</f>
        <v>4</v>
      </c>
      <c r="E68" s="5">
        <f>COUNTIFS(STATUS!$Q:$Q,E$1,STATUS!$K:$K,"РЕШ УВ DONE",STATUS!$D:$D,$A68)</f>
        <v>5</v>
      </c>
      <c r="F68" s="5">
        <f>COUNTIFS(STATUS!$Q:$Q,F$1,STATUS!$K:$K,"РЕШ УВ DONE",STATUS!$D:$D,$A68)</f>
        <v>0</v>
      </c>
      <c r="G68" s="5">
        <f>COUNTIFS(STATUS!$Q:$Q,G$1,STATUS!$K:$K,"РЕШ УВ DONE",STATUS!$D:$D,$A68)</f>
        <v>0</v>
      </c>
      <c r="H68" s="5">
        <f>COUNTIFS(STATUS!$Q:$Q,H$1,STATUS!$K:$K,"РЕШ УВ DONE",STATUS!$D:$D,$A68)</f>
        <v>6</v>
      </c>
      <c r="I68" s="5">
        <f>COUNTIFS(STATUS!$Q:$Q,I$1,STATUS!$K:$K,"РЕШ УВ DONE",STATUS!$D:$D,$A68)</f>
        <v>0</v>
      </c>
      <c r="J68" s="5">
        <f t="shared" si="3"/>
        <v>23</v>
      </c>
    </row>
    <row r="69" spans="1:10" x14ac:dyDescent="0.35">
      <c r="A69" s="4">
        <v>43916</v>
      </c>
      <c r="B69" s="5">
        <f>COUNTIFS(STATUS!$Q:$Q,B$1,STATUS!$K:$K,"РЕШ УВ DONE",STATUS!$D:$D,$A69)</f>
        <v>3</v>
      </c>
      <c r="C69" s="5">
        <f>COUNTIFS(STATUS!$Q:$Q,C$1,STATUS!$K:$K,"РЕШ УВ DONE",STATUS!$D:$D,$A69)</f>
        <v>5</v>
      </c>
      <c r="D69" s="5">
        <f>COUNTIFS(STATUS!$Q:$Q,D$1,STATUS!$K:$K,"РЕШ УВ DONE",STATUS!$D:$D,$A69)</f>
        <v>4</v>
      </c>
      <c r="E69" s="5">
        <f>COUNTIFS(STATUS!$Q:$Q,E$1,STATUS!$K:$K,"РЕШ УВ DONE",STATUS!$D:$D,$A69)</f>
        <v>4</v>
      </c>
      <c r="F69" s="5">
        <f>COUNTIFS(STATUS!$Q:$Q,F$1,STATUS!$K:$K,"РЕШ УВ DONE",STATUS!$D:$D,$A69)</f>
        <v>0</v>
      </c>
      <c r="G69" s="5">
        <f>COUNTIFS(STATUS!$Q:$Q,G$1,STATUS!$K:$K,"РЕШ УВ DONE",STATUS!$D:$D,$A69)</f>
        <v>0</v>
      </c>
      <c r="H69" s="5">
        <f>COUNTIFS(STATUS!$Q:$Q,H$1,STATUS!$K:$K,"РЕШ УВ DONE",STATUS!$D:$D,$A69)</f>
        <v>4</v>
      </c>
      <c r="I69" s="5">
        <f>COUNTIFS(STATUS!$Q:$Q,I$1,STATUS!$K:$K,"РЕШ УВ DONE",STATUS!$D:$D,$A69)</f>
        <v>0</v>
      </c>
      <c r="J69" s="5">
        <f t="shared" si="3"/>
        <v>20</v>
      </c>
    </row>
    <row r="70" spans="1:10" x14ac:dyDescent="0.35">
      <c r="A70" s="4">
        <v>43917</v>
      </c>
      <c r="B70" s="5">
        <f>COUNTIFS(STATUS!$Q:$Q,B$1,STATUS!$K:$K,"РЕШ УВ DONE",STATUS!$D:$D,$A70)</f>
        <v>2</v>
      </c>
      <c r="C70" s="5">
        <f>COUNTIFS(STATUS!$Q:$Q,C$1,STATUS!$K:$K,"РЕШ УВ DONE",STATUS!$D:$D,$A70)</f>
        <v>5</v>
      </c>
      <c r="D70" s="5">
        <f>COUNTIFS(STATUS!$Q:$Q,D$1,STATUS!$K:$K,"РЕШ УВ DONE",STATUS!$D:$D,$A70)</f>
        <v>5</v>
      </c>
      <c r="E70" s="5">
        <f>COUNTIFS(STATUS!$Q:$Q,E$1,STATUS!$K:$K,"РЕШ УВ DONE",STATUS!$D:$D,$A70)</f>
        <v>2</v>
      </c>
      <c r="F70" s="5">
        <f>COUNTIFS(STATUS!$Q:$Q,F$1,STATUS!$K:$K,"РЕШ УВ DONE",STATUS!$D:$D,$A70)</f>
        <v>0</v>
      </c>
      <c r="G70" s="5">
        <f>COUNTIFS(STATUS!$Q:$Q,G$1,STATUS!$K:$K,"РЕШ УВ DONE",STATUS!$D:$D,$A70)</f>
        <v>0</v>
      </c>
      <c r="H70" s="5">
        <f>COUNTIFS(STATUS!$Q:$Q,H$1,STATUS!$K:$K,"РЕШ УВ DONE",STATUS!$D:$D,$A70)</f>
        <v>2</v>
      </c>
      <c r="I70" s="5">
        <f>COUNTIFS(STATUS!$Q:$Q,I$1,STATUS!$K:$K,"РЕШ УВ DONE",STATUS!$D:$D,$A70)</f>
        <v>0</v>
      </c>
      <c r="J70" s="5">
        <f t="shared" si="3"/>
        <v>16</v>
      </c>
    </row>
    <row r="71" spans="1:10" x14ac:dyDescent="0.35">
      <c r="A71" s="4">
        <v>43927</v>
      </c>
      <c r="B71" s="5">
        <f>COUNTIFS(STATUS!$Q:$Q,B$1,STATUS!$K:$K,"РЕШ УВ DONE",STATUS!$D:$D,$A71)</f>
        <v>4</v>
      </c>
      <c r="C71" s="5">
        <f>COUNTIFS(STATUS!$Q:$Q,C$1,STATUS!$K:$K,"РЕШ УВ DONE",STATUS!$D:$D,$A71)</f>
        <v>4</v>
      </c>
      <c r="D71" s="5">
        <f>COUNTIFS(STATUS!$Q:$Q,D$1,STATUS!$K:$K,"РЕШ УВ DONE",STATUS!$D:$D,$A71)</f>
        <v>4</v>
      </c>
      <c r="E71" s="5">
        <f>COUNTIFS(STATUS!$Q:$Q,E$1,STATUS!$K:$K,"РЕШ УВ DONE",STATUS!$D:$D,$A71)</f>
        <v>3</v>
      </c>
      <c r="F71" s="5">
        <f>COUNTIFS(STATUS!$Q:$Q,F$1,STATUS!$K:$K,"РЕШ УВ DONE",STATUS!$D:$D,$A71)</f>
        <v>0</v>
      </c>
      <c r="G71" s="5">
        <f>COUNTIFS(STATUS!$Q:$Q,G$1,STATUS!$K:$K,"РЕШ УВ DONE",STATUS!$D:$D,$A71)</f>
        <v>7</v>
      </c>
      <c r="H71" s="5">
        <f>COUNTIFS(STATUS!$Q:$Q,H$1,STATUS!$K:$K,"РЕШ УВ DONE",STATUS!$D:$D,$A71)</f>
        <v>4</v>
      </c>
      <c r="I71" s="5">
        <f>COUNTIFS(STATUS!$Q:$Q,I$1,STATUS!$K:$K,"РЕШ УВ DONE",STATUS!$D:$D,$A71)</f>
        <v>0</v>
      </c>
      <c r="J71" s="5">
        <f t="shared" si="3"/>
        <v>26</v>
      </c>
    </row>
    <row r="72" spans="1:10" x14ac:dyDescent="0.35">
      <c r="A72" s="4">
        <v>43928</v>
      </c>
      <c r="B72" s="5">
        <f>COUNTIFS(STATUS!$Q:$Q,B$1,STATUS!$K:$K,"РЕШ УВ DONE",STATUS!$D:$D,$A72)</f>
        <v>3</v>
      </c>
      <c r="C72" s="5">
        <f>COUNTIFS(STATUS!$Q:$Q,C$1,STATUS!$K:$K,"РЕШ УВ DONE",STATUS!$D:$D,$A72)</f>
        <v>2</v>
      </c>
      <c r="D72" s="5">
        <f>COUNTIFS(STATUS!$Q:$Q,D$1,STATUS!$K:$K,"РЕШ УВ DONE",STATUS!$D:$D,$A72)</f>
        <v>6</v>
      </c>
      <c r="E72" s="5">
        <f>COUNTIFS(STATUS!$Q:$Q,E$1,STATUS!$K:$K,"РЕШ УВ DONE",STATUS!$D:$D,$A72)</f>
        <v>4</v>
      </c>
      <c r="F72" s="5">
        <f>COUNTIFS(STATUS!$Q:$Q,F$1,STATUS!$K:$K,"РЕШ УВ DONE",STATUS!$D:$D,$A72)</f>
        <v>0</v>
      </c>
      <c r="G72" s="5">
        <f>COUNTIFS(STATUS!$Q:$Q,G$1,STATUS!$K:$K,"РЕШ УВ DONE",STATUS!$D:$D,$A72)</f>
        <v>2</v>
      </c>
      <c r="H72" s="5">
        <f>COUNTIFS(STATUS!$Q:$Q,H$1,STATUS!$K:$K,"РЕШ УВ DONE",STATUS!$D:$D,$A72)</f>
        <v>5</v>
      </c>
      <c r="I72" s="5">
        <f>COUNTIFS(STATUS!$Q:$Q,I$1,STATUS!$K:$K,"РЕШ УВ DONE",STATUS!$D:$D,$A72)</f>
        <v>0</v>
      </c>
      <c r="J72" s="5">
        <f t="shared" si="3"/>
        <v>22</v>
      </c>
    </row>
    <row r="73" spans="1:10" x14ac:dyDescent="0.35">
      <c r="A73" s="4">
        <v>43929</v>
      </c>
      <c r="B73" s="5">
        <f>COUNTIFS(STATUS!$Q:$Q,B$1,STATUS!$K:$K,"РЕШ УВ DONE",STATUS!$D:$D,$A73)</f>
        <v>0</v>
      </c>
      <c r="C73" s="5">
        <f>COUNTIFS(STATUS!$Q:$Q,C$1,STATUS!$K:$K,"РЕШ УВ DONE",STATUS!$D:$D,$A73)</f>
        <v>6</v>
      </c>
      <c r="D73" s="5">
        <f>COUNTIFS(STATUS!$Q:$Q,D$1,STATUS!$K:$K,"РЕШ УВ DONE",STATUS!$D:$D,$A73)</f>
        <v>6</v>
      </c>
      <c r="E73" s="5">
        <f>COUNTIFS(STATUS!$Q:$Q,E$1,STATUS!$K:$K,"РЕШ УВ DONE",STATUS!$D:$D,$A73)</f>
        <v>1</v>
      </c>
      <c r="F73" s="5">
        <f>COUNTIFS(STATUS!$Q:$Q,F$1,STATUS!$K:$K,"РЕШ УВ DONE",STATUS!$D:$D,$A73)</f>
        <v>0</v>
      </c>
      <c r="G73" s="5">
        <f>COUNTIFS(STATUS!$Q:$Q,G$1,STATUS!$K:$K,"РЕШ УВ DONE",STATUS!$D:$D,$A73)</f>
        <v>4</v>
      </c>
      <c r="H73" s="5">
        <f>COUNTIFS(STATUS!$Q:$Q,H$1,STATUS!$K:$K,"РЕШ УВ DONE",STATUS!$D:$D,$A73)</f>
        <v>2</v>
      </c>
      <c r="I73" s="5">
        <f>COUNTIFS(STATUS!$Q:$Q,I$1,STATUS!$K:$K,"РЕШ УВ DONE",STATUS!$D:$D,$A73)</f>
        <v>0</v>
      </c>
      <c r="J73" s="5">
        <f t="shared" si="3"/>
        <v>19</v>
      </c>
    </row>
    <row r="74" spans="1:10" x14ac:dyDescent="0.35">
      <c r="A74" s="4">
        <v>43963</v>
      </c>
      <c r="B74" s="5">
        <f>COUNTIFS(STATUS!$Q:$Q,B$1,STATUS!$K:$K,"РЕШ УВ DONE",STATUS!$D:$D,$A74)</f>
        <v>5</v>
      </c>
      <c r="C74" s="5">
        <f>COUNTIFS(STATUS!$Q:$Q,C$1,STATUS!$K:$K,"РЕШ УВ DONE",STATUS!$D:$D,$A74)</f>
        <v>3</v>
      </c>
      <c r="D74" s="5">
        <f>COUNTIFS(STATUS!$Q:$Q,D$1,STATUS!$K:$K,"РЕШ УВ DONE",STATUS!$D:$D,$A74)</f>
        <v>5</v>
      </c>
      <c r="E74" s="5">
        <f>COUNTIFS(STATUS!$Q:$Q,E$1,STATUS!$K:$K,"РЕШ УВ DONE",STATUS!$D:$D,$A74)</f>
        <v>3</v>
      </c>
      <c r="F74" s="5">
        <f>COUNTIFS(STATUS!$Q:$Q,F$1,STATUS!$K:$K,"РЕШ УВ DONE",STATUS!$D:$D,$A74)</f>
        <v>0</v>
      </c>
      <c r="G74" s="5">
        <f>COUNTIFS(STATUS!$Q:$Q,G$1,STATUS!$K:$K,"РЕШ УВ DONE",STATUS!$D:$D,$A74)</f>
        <v>5</v>
      </c>
      <c r="H74" s="5">
        <f>COUNTIFS(STATUS!$Q:$Q,H$1,STATUS!$K:$K,"РЕШ УВ DONE",STATUS!$D:$D,$A74)</f>
        <v>0</v>
      </c>
      <c r="I74" s="5">
        <f>COUNTIFS(STATUS!$Q:$Q,I$1,STATUS!$K:$K,"РЕШ УВ DONE",STATUS!$D:$D,$A74)</f>
        <v>0</v>
      </c>
      <c r="J74" s="5">
        <f t="shared" ref="J74:J87" si="4">SUM(B74:I74)</f>
        <v>21</v>
      </c>
    </row>
    <row r="75" spans="1:10" x14ac:dyDescent="0.35">
      <c r="A75" s="4">
        <v>43964</v>
      </c>
      <c r="B75" s="5">
        <f>COUNTIFS(STATUS!$Q:$Q,B$1,STATUS!$K:$K,"РЕШ УВ DONE",STATUS!$D:$D,$A75)</f>
        <v>2</v>
      </c>
      <c r="C75" s="5">
        <f>COUNTIFS(STATUS!$Q:$Q,C$1,STATUS!$K:$K,"РЕШ УВ DONE",STATUS!$D:$D,$A75)</f>
        <v>6</v>
      </c>
      <c r="D75" s="5">
        <f>COUNTIFS(STATUS!$Q:$Q,D$1,STATUS!$K:$K,"РЕШ УВ DONE",STATUS!$D:$D,$A75)</f>
        <v>7</v>
      </c>
      <c r="E75" s="5">
        <f>COUNTIFS(STATUS!$Q:$Q,E$1,STATUS!$K:$K,"РЕШ УВ DONE",STATUS!$D:$D,$A75)</f>
        <v>6</v>
      </c>
      <c r="F75" s="5">
        <f>COUNTIFS(STATUS!$Q:$Q,F$1,STATUS!$K:$K,"РЕШ УВ DONE",STATUS!$D:$D,$A75)</f>
        <v>0</v>
      </c>
      <c r="G75" s="5">
        <f>COUNTIFS(STATUS!$Q:$Q,G$1,STATUS!$K:$K,"РЕШ УВ DONE",STATUS!$D:$D,$A75)</f>
        <v>5</v>
      </c>
      <c r="H75" s="5">
        <f>COUNTIFS(STATUS!$Q:$Q,H$1,STATUS!$K:$K,"РЕШ УВ DONE",STATUS!$D:$D,$A75)</f>
        <v>0</v>
      </c>
      <c r="I75" s="5">
        <f>COUNTIFS(STATUS!$Q:$Q,I$1,STATUS!$K:$K,"РЕШ УВ DONE",STATUS!$D:$D,$A75)</f>
        <v>0</v>
      </c>
      <c r="J75" s="5">
        <f t="shared" si="4"/>
        <v>26</v>
      </c>
    </row>
    <row r="76" spans="1:10" x14ac:dyDescent="0.35">
      <c r="A76" s="4">
        <v>43965</v>
      </c>
      <c r="B76" s="5">
        <f>COUNTIFS(STATUS!$Q:$Q,B$1,STATUS!$K:$K,"РЕШ УВ DONE",STATUS!$D:$D,$A76)</f>
        <v>4</v>
      </c>
      <c r="C76" s="5">
        <f>COUNTIFS(STATUS!$Q:$Q,C$1,STATUS!$K:$K,"РЕШ УВ DONE",STATUS!$D:$D,$A76)</f>
        <v>3</v>
      </c>
      <c r="D76" s="5">
        <f>COUNTIFS(STATUS!$Q:$Q,D$1,STATUS!$K:$K,"РЕШ УВ DONE",STATUS!$D:$D,$A76)</f>
        <v>5</v>
      </c>
      <c r="E76" s="5">
        <f>COUNTIFS(STATUS!$Q:$Q,E$1,STATUS!$K:$K,"РЕШ УВ DONE",STATUS!$D:$D,$A76)</f>
        <v>4</v>
      </c>
      <c r="F76" s="5">
        <f>COUNTIFS(STATUS!$Q:$Q,F$1,STATUS!$K:$K,"РЕШ УВ DONE",STATUS!$D:$D,$A76)</f>
        <v>0</v>
      </c>
      <c r="G76" s="5">
        <f>COUNTIFS(STATUS!$Q:$Q,G$1,STATUS!$K:$K,"РЕШ УВ DONE",STATUS!$D:$D,$A76)</f>
        <v>2</v>
      </c>
      <c r="H76" s="5">
        <f>COUNTIFS(STATUS!$Q:$Q,H$1,STATUS!$K:$K,"РЕШ УВ DONE",STATUS!$D:$D,$A76)</f>
        <v>0</v>
      </c>
      <c r="I76" s="5">
        <f>COUNTIFS(STATUS!$Q:$Q,I$1,STATUS!$K:$K,"РЕШ УВ DONE",STATUS!$D:$D,$A76)</f>
        <v>0</v>
      </c>
      <c r="J76" s="5">
        <f t="shared" si="4"/>
        <v>18</v>
      </c>
    </row>
    <row r="77" spans="1:10" x14ac:dyDescent="0.35">
      <c r="A77" s="4">
        <v>43966</v>
      </c>
      <c r="B77" s="5">
        <f>COUNTIFS(STATUS!$Q:$Q,B$1,STATUS!$K:$K,"РЕШ УВ DONE",STATUS!$D:$D,$A77)</f>
        <v>4</v>
      </c>
      <c r="C77" s="5">
        <f>COUNTIFS(STATUS!$Q:$Q,C$1,STATUS!$K:$K,"РЕШ УВ DONE",STATUS!$D:$D,$A77)</f>
        <v>3</v>
      </c>
      <c r="D77" s="5">
        <f>COUNTIFS(STATUS!$Q:$Q,D$1,STATUS!$K:$K,"РЕШ УВ DONE",STATUS!$D:$D,$A77)</f>
        <v>3</v>
      </c>
      <c r="E77" s="5">
        <f>COUNTIFS(STATUS!$Q:$Q,E$1,STATUS!$K:$K,"РЕШ УВ DONE",STATUS!$D:$D,$A77)</f>
        <v>3</v>
      </c>
      <c r="F77" s="5">
        <f>COUNTIFS(STATUS!$Q:$Q,F$1,STATUS!$K:$K,"РЕШ УВ DONE",STATUS!$D:$D,$A77)</f>
        <v>0</v>
      </c>
      <c r="G77" s="5">
        <f>COUNTIFS(STATUS!$Q:$Q,G$1,STATUS!$K:$K,"РЕШ УВ DONE",STATUS!$D:$D,$A77)</f>
        <v>3</v>
      </c>
      <c r="H77" s="5">
        <f>COUNTIFS(STATUS!$Q:$Q,H$1,STATUS!$K:$K,"РЕШ УВ DONE",STATUS!$D:$D,$A77)</f>
        <v>0</v>
      </c>
      <c r="I77" s="5">
        <f>COUNTIFS(STATUS!$Q:$Q,I$1,STATUS!$K:$K,"РЕШ УВ DONE",STATUS!$D:$D,$A77)</f>
        <v>0</v>
      </c>
      <c r="J77" s="5">
        <f t="shared" si="4"/>
        <v>16</v>
      </c>
    </row>
    <row r="78" spans="1:10" x14ac:dyDescent="0.35">
      <c r="A78" s="4">
        <v>43969</v>
      </c>
      <c r="B78" s="5">
        <f>COUNTIFS(STATUS!$Q:$Q,B$1,STATUS!$K:$K,"РЕШ УВ DONE",STATUS!$D:$D,$A78)</f>
        <v>3</v>
      </c>
      <c r="C78" s="5">
        <f>COUNTIFS(STATUS!$Q:$Q,C$1,STATUS!$K:$K,"РЕШ УВ DONE",STATUS!$D:$D,$A78)</f>
        <v>5</v>
      </c>
      <c r="D78" s="5">
        <f>COUNTIFS(STATUS!$Q:$Q,D$1,STATUS!$K:$K,"РЕШ УВ DONE",STATUS!$D:$D,$A78)</f>
        <v>6</v>
      </c>
      <c r="E78" s="5">
        <f>COUNTIFS(STATUS!$Q:$Q,E$1,STATUS!$K:$K,"РЕШ УВ DONE",STATUS!$D:$D,$A78)</f>
        <v>6</v>
      </c>
      <c r="F78" s="5">
        <f>COUNTIFS(STATUS!$Q:$Q,F$1,STATUS!$K:$K,"РЕШ УВ DONE",STATUS!$D:$D,$A78)</f>
        <v>0</v>
      </c>
      <c r="G78" s="5">
        <f>COUNTIFS(STATUS!$Q:$Q,G$1,STATUS!$K:$K,"РЕШ УВ DONE",STATUS!$D:$D,$A78)</f>
        <v>5</v>
      </c>
      <c r="H78" s="5">
        <f>COUNTIFS(STATUS!$Q:$Q,H$1,STATUS!$K:$K,"РЕШ УВ DONE",STATUS!$D:$D,$A78)</f>
        <v>0</v>
      </c>
      <c r="I78" s="5">
        <f>COUNTIFS(STATUS!$Q:$Q,I$1,STATUS!$K:$K,"РЕШ УВ DONE",STATUS!$D:$D,$A78)</f>
        <v>0</v>
      </c>
      <c r="J78" s="5">
        <f t="shared" si="4"/>
        <v>25</v>
      </c>
    </row>
    <row r="79" spans="1:10" x14ac:dyDescent="0.35">
      <c r="A79" s="4">
        <v>43970</v>
      </c>
      <c r="B79" s="5">
        <f>COUNTIFS(STATUS!$Q:$Q,B$1,STATUS!$K:$K,"РЕШ УВ DONE",STATUS!$D:$D,$A79)</f>
        <v>5</v>
      </c>
      <c r="C79" s="5">
        <f>COUNTIFS(STATUS!$Q:$Q,C$1,STATUS!$K:$K,"РЕШ УВ DONE",STATUS!$D:$D,$A79)</f>
        <v>5</v>
      </c>
      <c r="D79" s="5">
        <f>COUNTIFS(STATUS!$Q:$Q,D$1,STATUS!$K:$K,"РЕШ УВ DONE",STATUS!$D:$D,$A79)</f>
        <v>7</v>
      </c>
      <c r="E79" s="5">
        <f>COUNTIFS(STATUS!$Q:$Q,E$1,STATUS!$K:$K,"РЕШ УВ DONE",STATUS!$D:$D,$A79)</f>
        <v>5</v>
      </c>
      <c r="F79" s="5">
        <f>COUNTIFS(STATUS!$Q:$Q,F$1,STATUS!$K:$K,"РЕШ УВ DONE",STATUS!$D:$D,$A79)</f>
        <v>0</v>
      </c>
      <c r="G79" s="5">
        <f>COUNTIFS(STATUS!$Q:$Q,G$1,STATUS!$K:$K,"РЕШ УВ DONE",STATUS!$D:$D,$A79)</f>
        <v>4</v>
      </c>
      <c r="H79" s="5">
        <f>COUNTIFS(STATUS!$Q:$Q,H$1,STATUS!$K:$K,"РЕШ УВ DONE",STATUS!$D:$D,$A79)</f>
        <v>0</v>
      </c>
      <c r="I79" s="5">
        <f>COUNTIFS(STATUS!$Q:$Q,I$1,STATUS!$K:$K,"РЕШ УВ DONE",STATUS!$D:$D,$A79)</f>
        <v>0</v>
      </c>
      <c r="J79" s="5">
        <f t="shared" si="4"/>
        <v>26</v>
      </c>
    </row>
    <row r="80" spans="1:10" x14ac:dyDescent="0.35">
      <c r="A80" s="4">
        <v>43971</v>
      </c>
      <c r="B80" s="5">
        <f>COUNTIFS(STATUS!$Q:$Q,B$1,STATUS!$K:$K,"РЕШ УВ DONE",STATUS!$D:$D,$A80)</f>
        <v>6</v>
      </c>
      <c r="C80" s="5">
        <f>COUNTIFS(STATUS!$Q:$Q,C$1,STATUS!$K:$K,"РЕШ УВ DONE",STATUS!$D:$D,$A80)</f>
        <v>5</v>
      </c>
      <c r="D80" s="5">
        <f>COUNTIFS(STATUS!$Q:$Q,D$1,STATUS!$K:$K,"РЕШ УВ DONE",STATUS!$D:$D,$A80)</f>
        <v>5</v>
      </c>
      <c r="E80" s="5">
        <f>COUNTIFS(STATUS!$Q:$Q,E$1,STATUS!$K:$K,"РЕШ УВ DONE",STATUS!$D:$D,$A80)</f>
        <v>3</v>
      </c>
      <c r="F80" s="5">
        <f>COUNTIFS(STATUS!$Q:$Q,F$1,STATUS!$K:$K,"РЕШ УВ DONE",STATUS!$D:$D,$A80)</f>
        <v>0</v>
      </c>
      <c r="G80" s="5">
        <f>COUNTIFS(STATUS!$Q:$Q,G$1,STATUS!$K:$K,"РЕШ УВ DONE",STATUS!$D:$D,$A80)</f>
        <v>4</v>
      </c>
      <c r="H80" s="5">
        <f>COUNTIFS(STATUS!$Q:$Q,H$1,STATUS!$K:$K,"РЕШ УВ DONE",STATUS!$D:$D,$A80)</f>
        <v>0</v>
      </c>
      <c r="I80" s="5">
        <f>COUNTIFS(STATUS!$Q:$Q,I$1,STATUS!$K:$K,"РЕШ УВ DONE",STATUS!$D:$D,$A80)</f>
        <v>0</v>
      </c>
      <c r="J80" s="5">
        <f t="shared" si="4"/>
        <v>23</v>
      </c>
    </row>
    <row r="81" spans="1:10" x14ac:dyDescent="0.35">
      <c r="A81" s="4">
        <v>43972</v>
      </c>
      <c r="B81" s="5">
        <f>COUNTIFS(STATUS!$Q:$Q,B$1,STATUS!$K:$K,"РЕШ УВ DONE",STATUS!$D:$D,$A81)</f>
        <v>5</v>
      </c>
      <c r="C81" s="5">
        <f>COUNTIFS(STATUS!$Q:$Q,C$1,STATUS!$K:$K,"РЕШ УВ DONE",STATUS!$D:$D,$A81)</f>
        <v>5</v>
      </c>
      <c r="D81" s="5">
        <f>COUNTIFS(STATUS!$Q:$Q,D$1,STATUS!$K:$K,"РЕШ УВ DONE",STATUS!$D:$D,$A81)</f>
        <v>6</v>
      </c>
      <c r="E81" s="5">
        <f>COUNTIFS(STATUS!$Q:$Q,E$1,STATUS!$K:$K,"РЕШ УВ DONE",STATUS!$D:$D,$A81)</f>
        <v>4</v>
      </c>
      <c r="F81" s="5">
        <f>COUNTIFS(STATUS!$Q:$Q,F$1,STATUS!$K:$K,"РЕШ УВ DONE",STATUS!$D:$D,$A81)</f>
        <v>0</v>
      </c>
      <c r="G81" s="5">
        <f>COUNTIFS(STATUS!$Q:$Q,G$1,STATUS!$K:$K,"РЕШ УВ DONE",STATUS!$D:$D,$A81)</f>
        <v>2</v>
      </c>
      <c r="H81" s="5">
        <f>COUNTIFS(STATUS!$Q:$Q,H$1,STATUS!$K:$K,"РЕШ УВ DONE",STATUS!$D:$D,$A81)</f>
        <v>0</v>
      </c>
      <c r="I81" s="5">
        <f>COUNTIFS(STATUS!$Q:$Q,I$1,STATUS!$K:$K,"РЕШ УВ DONE",STATUS!$D:$D,$A81)</f>
        <v>0</v>
      </c>
      <c r="J81" s="5">
        <f t="shared" si="4"/>
        <v>22</v>
      </c>
    </row>
    <row r="82" spans="1:10" x14ac:dyDescent="0.35">
      <c r="A82" s="4">
        <v>43973</v>
      </c>
      <c r="B82" s="5">
        <f>COUNTIFS(STATUS!$Q:$Q,B$1,STATUS!$K:$K,"РЕШ УВ DONE",STATUS!$D:$D,$A82)</f>
        <v>5</v>
      </c>
      <c r="C82" s="5">
        <f>COUNTIFS(STATUS!$Q:$Q,C$1,STATUS!$K:$K,"РЕШ УВ DONE",STATUS!$D:$D,$A82)</f>
        <v>4</v>
      </c>
      <c r="D82" s="5">
        <f>COUNTIFS(STATUS!$Q:$Q,D$1,STATUS!$K:$K,"РЕШ УВ DONE",STATUS!$D:$D,$A82)</f>
        <v>4</v>
      </c>
      <c r="E82" s="5">
        <f>COUNTIFS(STATUS!$Q:$Q,E$1,STATUS!$K:$K,"РЕШ УВ DONE",STATUS!$D:$D,$A82)</f>
        <v>4</v>
      </c>
      <c r="F82" s="5">
        <f>COUNTIFS(STATUS!$Q:$Q,F$1,STATUS!$K:$K,"РЕШ УВ DONE",STATUS!$D:$D,$A82)</f>
        <v>0</v>
      </c>
      <c r="G82" s="5">
        <f>COUNTIFS(STATUS!$Q:$Q,G$1,STATUS!$K:$K,"РЕШ УВ DONE",STATUS!$D:$D,$A82)</f>
        <v>3</v>
      </c>
      <c r="H82" s="5">
        <f>COUNTIFS(STATUS!$Q:$Q,H$1,STATUS!$K:$K,"РЕШ УВ DONE",STATUS!$D:$D,$A82)</f>
        <v>0</v>
      </c>
      <c r="I82" s="5">
        <f>COUNTIFS(STATUS!$Q:$Q,I$1,STATUS!$K:$K,"РЕШ УВ DONE",STATUS!$D:$D,$A82)</f>
        <v>0</v>
      </c>
      <c r="J82" s="5">
        <f t="shared" si="4"/>
        <v>20</v>
      </c>
    </row>
    <row r="83" spans="1:10" x14ac:dyDescent="0.35">
      <c r="A83" s="4">
        <v>43976</v>
      </c>
      <c r="B83" s="5">
        <f>COUNTIFS(STATUS!$Q:$Q,B$1,STATUS!$K:$K,"РЕШ УВ DONE",STATUS!$D:$D,$A83)</f>
        <v>6</v>
      </c>
      <c r="C83" s="5">
        <f>COUNTIFS(STATUS!$Q:$Q,C$1,STATUS!$K:$K,"РЕШ УВ DONE",STATUS!$D:$D,$A83)</f>
        <v>3</v>
      </c>
      <c r="D83" s="5">
        <f>COUNTIFS(STATUS!$Q:$Q,D$1,STATUS!$K:$K,"РЕШ УВ DONE",STATUS!$D:$D,$A83)</f>
        <v>3</v>
      </c>
      <c r="E83" s="5">
        <f>COUNTIFS(STATUS!$Q:$Q,E$1,STATUS!$K:$K,"РЕШ УВ DONE",STATUS!$D:$D,$A83)</f>
        <v>1</v>
      </c>
      <c r="F83" s="5">
        <f>COUNTIFS(STATUS!$Q:$Q,F$1,STATUS!$K:$K,"РЕШ УВ DONE",STATUS!$D:$D,$A83)</f>
        <v>0</v>
      </c>
      <c r="G83" s="5">
        <f>COUNTIFS(STATUS!$Q:$Q,G$1,STATUS!$K:$K,"РЕШ УВ DONE",STATUS!$D:$D,$A83)</f>
        <v>6</v>
      </c>
      <c r="H83" s="5">
        <f>COUNTIFS(STATUS!$Q:$Q,H$1,STATUS!$K:$K,"РЕШ УВ DONE",STATUS!$D:$D,$A83)</f>
        <v>0</v>
      </c>
      <c r="I83" s="5">
        <f>COUNTIFS(STATUS!$Q:$Q,I$1,STATUS!$K:$K,"РЕШ УВ DONE",STATUS!$D:$D,$A83)</f>
        <v>0</v>
      </c>
      <c r="J83" s="5">
        <f t="shared" si="4"/>
        <v>19</v>
      </c>
    </row>
    <row r="84" spans="1:10" x14ac:dyDescent="0.35">
      <c r="A84" s="4">
        <v>43977</v>
      </c>
      <c r="B84" s="5">
        <f>COUNTIFS(STATUS!$Q:$Q,B$1,STATUS!$K:$K,"РЕШ УВ DONE",STATUS!$D:$D,$A84)</f>
        <v>2</v>
      </c>
      <c r="C84" s="5">
        <f>COUNTIFS(STATUS!$Q:$Q,C$1,STATUS!$K:$K,"РЕШ УВ DONE",STATUS!$D:$D,$A84)</f>
        <v>3</v>
      </c>
      <c r="D84" s="5">
        <f>COUNTIFS(STATUS!$Q:$Q,D$1,STATUS!$K:$K,"РЕШ УВ DONE",STATUS!$D:$D,$A84)</f>
        <v>3</v>
      </c>
      <c r="E84" s="5">
        <f>COUNTIFS(STATUS!$Q:$Q,E$1,STATUS!$K:$K,"РЕШ УВ DONE",STATUS!$D:$D,$A84)</f>
        <v>5</v>
      </c>
      <c r="F84" s="5">
        <f>COUNTIFS(STATUS!$Q:$Q,F$1,STATUS!$K:$K,"РЕШ УВ DONE",STATUS!$D:$D,$A84)</f>
        <v>0</v>
      </c>
      <c r="G84" s="5">
        <f>COUNTIFS(STATUS!$Q:$Q,G$1,STATUS!$K:$K,"РЕШ УВ DONE",STATUS!$D:$D,$A84)</f>
        <v>2</v>
      </c>
      <c r="H84" s="5">
        <f>COUNTIFS(STATUS!$Q:$Q,H$1,STATUS!$K:$K,"РЕШ УВ DONE",STATUS!$D:$D,$A84)</f>
        <v>0</v>
      </c>
      <c r="I84" s="5">
        <f>COUNTIFS(STATUS!$Q:$Q,I$1,STATUS!$K:$K,"РЕШ УВ DONE",STATUS!$D:$D,$A84)</f>
        <v>0</v>
      </c>
      <c r="J84" s="5">
        <f t="shared" si="4"/>
        <v>15</v>
      </c>
    </row>
    <row r="85" spans="1:10" x14ac:dyDescent="0.35">
      <c r="A85" s="4">
        <v>43978</v>
      </c>
      <c r="B85" s="5">
        <f>COUNTIFS(STATUS!$Q:$Q,B$1,STATUS!$K:$K,"РЕШ УВ DONE",STATUS!$D:$D,$A85)</f>
        <v>17</v>
      </c>
      <c r="C85" s="5">
        <f>COUNTIFS(STATUS!$Q:$Q,C$1,STATUS!$K:$K,"РЕШ УВ DONE",STATUS!$D:$D,$A85)</f>
        <v>11</v>
      </c>
      <c r="D85" s="5">
        <f>COUNTIFS(STATUS!$Q:$Q,D$1,STATUS!$K:$K,"РЕШ УВ DONE",STATUS!$D:$D,$A85)</f>
        <v>12</v>
      </c>
      <c r="E85" s="5">
        <f>COUNTIFS(STATUS!$Q:$Q,E$1,STATUS!$K:$K,"РЕШ УВ DONE",STATUS!$D:$D,$A85)</f>
        <v>4</v>
      </c>
      <c r="F85" s="5">
        <f>COUNTIFS(STATUS!$Q:$Q,F$1,STATUS!$K:$K,"РЕШ УВ DONE",STATUS!$D:$D,$A85)</f>
        <v>0</v>
      </c>
      <c r="G85" s="5">
        <f>COUNTIFS(STATUS!$Q:$Q,G$1,STATUS!$K:$K,"РЕШ УВ DONE",STATUS!$D:$D,$A85)</f>
        <v>0</v>
      </c>
      <c r="H85" s="5">
        <f>COUNTIFS(STATUS!$Q:$Q,H$1,STATUS!$K:$K,"РЕШ УВ DONE",STATUS!$D:$D,$A85)</f>
        <v>0</v>
      </c>
      <c r="I85" s="5">
        <f>COUNTIFS(STATUS!$Q:$Q,I$1,STATUS!$K:$K,"РЕШ УВ DONE",STATUS!$D:$D,$A85)</f>
        <v>0</v>
      </c>
      <c r="J85" s="5">
        <f t="shared" si="4"/>
        <v>44</v>
      </c>
    </row>
    <row r="86" spans="1:10" x14ac:dyDescent="0.35">
      <c r="A86" s="4">
        <v>43979</v>
      </c>
      <c r="B86" s="5">
        <f>COUNTIFS(STATUS!$Q:$Q,B$1,STATUS!$K:$K,"РЕШ УВ DONE",STATUS!$D:$D,$A86)</f>
        <v>0</v>
      </c>
      <c r="C86" s="5">
        <f>COUNTIFS(STATUS!$Q:$Q,C$1,STATUS!$K:$K,"РЕШ УВ DONE",STATUS!$D:$D,$A86)</f>
        <v>0</v>
      </c>
      <c r="D86" s="5">
        <f>COUNTIFS(STATUS!$Q:$Q,D$1,STATUS!$K:$K,"РЕШ УВ DONE",STATUS!$D:$D,$A86)</f>
        <v>1</v>
      </c>
      <c r="E86" s="5">
        <f>COUNTIFS(STATUS!$Q:$Q,E$1,STATUS!$K:$K,"РЕШ УВ DONE",STATUS!$D:$D,$A86)</f>
        <v>3</v>
      </c>
      <c r="F86" s="5">
        <f>COUNTIFS(STATUS!$Q:$Q,F$1,STATUS!$K:$K,"РЕШ УВ DONE",STATUS!$D:$D,$A86)</f>
        <v>0</v>
      </c>
      <c r="G86" s="5">
        <f>COUNTIFS(STATUS!$Q:$Q,G$1,STATUS!$K:$K,"РЕШ УВ DONE",STATUS!$D:$D,$A86)</f>
        <v>0</v>
      </c>
      <c r="H86" s="5">
        <f>COUNTIFS(STATUS!$Q:$Q,H$1,STATUS!$K:$K,"РЕШ УВ DONE",STATUS!$D:$D,$A86)</f>
        <v>0</v>
      </c>
      <c r="I86" s="5">
        <f>COUNTIFS(STATUS!$Q:$Q,I$1,STATUS!$K:$K,"РЕШ УВ DONE",STATUS!$D:$D,$A86)</f>
        <v>0</v>
      </c>
      <c r="J86" s="5">
        <f t="shared" si="4"/>
        <v>4</v>
      </c>
    </row>
    <row r="87" spans="1:10" x14ac:dyDescent="0.35">
      <c r="A87" s="4">
        <v>43980</v>
      </c>
      <c r="B87" s="5">
        <f>COUNTIFS(STATUS!$Q:$Q,B$1,STATUS!$K:$K,"РЕШ УВ DONE",STATUS!$D:$D,$A87)</f>
        <v>0</v>
      </c>
      <c r="C87" s="5">
        <f>COUNTIFS(STATUS!$Q:$Q,C$1,STATUS!$K:$K,"РЕШ УВ DONE",STATUS!$D:$D,$A87)</f>
        <v>0</v>
      </c>
      <c r="D87" s="5">
        <f>COUNTIFS(STATUS!$Q:$Q,D$1,STATUS!$K:$K,"РЕШ УВ DONE",STATUS!$D:$D,$A87)</f>
        <v>1</v>
      </c>
      <c r="E87" s="5">
        <f>COUNTIFS(STATUS!$Q:$Q,E$1,STATUS!$K:$K,"РЕШ УВ DONE",STATUS!$D:$D,$A87)</f>
        <v>0</v>
      </c>
      <c r="F87" s="5">
        <f>COUNTIFS(STATUS!$Q:$Q,F$1,STATUS!$K:$K,"РЕШ УВ DONE",STATUS!$D:$D,$A87)</f>
        <v>0</v>
      </c>
      <c r="G87" s="5">
        <f>COUNTIFS(STATUS!$Q:$Q,G$1,STATUS!$K:$K,"РЕШ УВ DONE",STATUS!$D:$D,$A87)</f>
        <v>0</v>
      </c>
      <c r="H87" s="5">
        <f>COUNTIFS(STATUS!$Q:$Q,H$1,STATUS!$K:$K,"РЕШ УВ DONE",STATUS!$D:$D,$A87)</f>
        <v>0</v>
      </c>
      <c r="I87" s="5">
        <f>COUNTIFS(STATUS!$Q:$Q,I$1,STATUS!$K:$K,"РЕШ УВ DONE",STATUS!$D:$D,$A87)</f>
        <v>0</v>
      </c>
      <c r="J87" s="5">
        <f t="shared" si="4"/>
        <v>1</v>
      </c>
    </row>
    <row r="88" spans="1:10" x14ac:dyDescent="0.35">
      <c r="A88" s="4">
        <v>43981</v>
      </c>
      <c r="B88" s="5">
        <f>COUNTIFS(STATUS!$Q:$Q,B$1,STATUS!$K:$K,"РЕШ УВ DONE",STATUS!$D:$D,$A88)</f>
        <v>0</v>
      </c>
      <c r="C88" s="5">
        <f>COUNTIFS(STATUS!$Q:$Q,C$1,STATUS!$K:$K,"РЕШ УВ DONE",STATUS!$D:$D,$A88)</f>
        <v>0</v>
      </c>
      <c r="D88" s="5">
        <f>COUNTIFS(STATUS!$Q:$Q,D$1,STATUS!$K:$K,"РЕШ УВ DONE",STATUS!$D:$D,$A88)</f>
        <v>0</v>
      </c>
      <c r="E88" s="5">
        <f>COUNTIFS(STATUS!$Q:$Q,E$1,STATUS!$K:$K,"РЕШ УВ DONE",STATUS!$D:$D,$A88)</f>
        <v>0</v>
      </c>
      <c r="F88" s="5">
        <f>COUNTIFS(STATUS!$Q:$Q,F$1,STATUS!$K:$K,"РЕШ УВ DONE",STATUS!$D:$D,$A88)</f>
        <v>0</v>
      </c>
      <c r="G88" s="5">
        <f>COUNTIFS(STATUS!$Q:$Q,G$1,STATUS!$K:$K,"РЕШ УВ DONE",STATUS!$D:$D,$A88)</f>
        <v>0</v>
      </c>
      <c r="H88" s="5">
        <f>COUNTIFS(STATUS!$Q:$Q,H$1,STATUS!$K:$K,"РЕШ УВ DONE",STATUS!$D:$D,$A88)</f>
        <v>0</v>
      </c>
      <c r="I88" s="5">
        <f>COUNTIFS(STATUS!$Q:$Q,I$1,STATUS!$K:$K,"РЕШ УВ DONE",STATUS!$D:$D,$A88)</f>
        <v>0</v>
      </c>
      <c r="J88" s="5">
        <f t="shared" ref="J88:J96" si="5">SUM(B88:I88)</f>
        <v>0</v>
      </c>
    </row>
    <row r="89" spans="1:10" x14ac:dyDescent="0.35">
      <c r="A89" s="4">
        <v>43982</v>
      </c>
      <c r="B89" s="5">
        <f>COUNTIFS(STATUS!$Q:$Q,B$1,STATUS!$K:$K,"РЕШ УВ DONE",STATUS!$D:$D,$A89)</f>
        <v>0</v>
      </c>
      <c r="C89" s="5">
        <f>COUNTIFS(STATUS!$Q:$Q,C$1,STATUS!$K:$K,"РЕШ УВ DONE",STATUS!$D:$D,$A89)</f>
        <v>0</v>
      </c>
      <c r="D89" s="5">
        <f>COUNTIFS(STATUS!$Q:$Q,D$1,STATUS!$K:$K,"РЕШ УВ DONE",STATUS!$D:$D,$A89)</f>
        <v>0</v>
      </c>
      <c r="E89" s="5">
        <f>COUNTIFS(STATUS!$Q:$Q,E$1,STATUS!$K:$K,"РЕШ УВ DONE",STATUS!$D:$D,$A89)</f>
        <v>0</v>
      </c>
      <c r="F89" s="5">
        <f>COUNTIFS(STATUS!$Q:$Q,F$1,STATUS!$K:$K,"РЕШ УВ DONE",STATUS!$D:$D,$A89)</f>
        <v>0</v>
      </c>
      <c r="G89" s="5">
        <f>COUNTIFS(STATUS!$Q:$Q,G$1,STATUS!$K:$K,"РЕШ УВ DONE",STATUS!$D:$D,$A89)</f>
        <v>0</v>
      </c>
      <c r="H89" s="5">
        <f>COUNTIFS(STATUS!$Q:$Q,H$1,STATUS!$K:$K,"РЕШ УВ DONE",STATUS!$D:$D,$A89)</f>
        <v>0</v>
      </c>
      <c r="I89" s="5">
        <f>COUNTIFS(STATUS!$Q:$Q,I$1,STATUS!$K:$K,"РЕШ УВ DONE",STATUS!$D:$D,$A89)</f>
        <v>0</v>
      </c>
      <c r="J89" s="5">
        <f t="shared" si="5"/>
        <v>0</v>
      </c>
    </row>
    <row r="90" spans="1:10" x14ac:dyDescent="0.35">
      <c r="A90" s="4">
        <v>43983</v>
      </c>
      <c r="B90" s="5">
        <f>COUNTIFS(STATUS!$Q:$Q,B$1,STATUS!$K:$K,"РЕШ УВ DONE",STATUS!$D:$D,$A90)</f>
        <v>15</v>
      </c>
      <c r="C90" s="5">
        <f>COUNTIFS(STATUS!$Q:$Q,C$1,STATUS!$K:$K,"РЕШ УВ DONE",STATUS!$D:$D,$A90)</f>
        <v>17</v>
      </c>
      <c r="D90" s="5">
        <f>COUNTIFS(STATUS!$Q:$Q,D$1,STATUS!$K:$K,"РЕШ УВ DONE",STATUS!$D:$D,$A90)</f>
        <v>21</v>
      </c>
      <c r="E90" s="5">
        <f>COUNTIFS(STATUS!$Q:$Q,E$1,STATUS!$K:$K,"РЕШ УВ DONE",STATUS!$D:$D,$A90)</f>
        <v>16</v>
      </c>
      <c r="F90" s="5">
        <f>COUNTIFS(STATUS!$Q:$Q,F$1,STATUS!$K:$K,"РЕШ УВ DONE",STATUS!$D:$D,$A90)</f>
        <v>0</v>
      </c>
      <c r="G90" s="5">
        <f>COUNTIFS(STATUS!$Q:$Q,G$1,STATUS!$K:$K,"РЕШ УВ DONE",STATUS!$D:$D,$A90)</f>
        <v>15</v>
      </c>
      <c r="H90" s="5">
        <f>COUNTIFS(STATUS!$Q:$Q,H$1,STATUS!$K:$K,"РЕШ УВ DONE",STATUS!$D:$D,$A90)</f>
        <v>0</v>
      </c>
      <c r="I90" s="5">
        <f>COUNTIFS(STATUS!$Q:$Q,I$1,STATUS!$K:$K,"РЕШ УВ DONE",STATUS!$D:$D,$A90)</f>
        <v>0</v>
      </c>
      <c r="J90" s="5">
        <f t="shared" si="5"/>
        <v>84</v>
      </c>
    </row>
    <row r="91" spans="1:10" x14ac:dyDescent="0.35">
      <c r="A91" s="4">
        <v>43984</v>
      </c>
      <c r="B91" s="5">
        <f>COUNTIFS(STATUS!$Q:$Q,B$1,STATUS!$K:$K,"РЕШ УВ DONE",STATUS!$D:$D,$A91)</f>
        <v>5</v>
      </c>
      <c r="C91" s="5">
        <f>COUNTIFS(STATUS!$Q:$Q,C$1,STATUS!$K:$K,"РЕШ УВ DONE",STATUS!$D:$D,$A91)</f>
        <v>2</v>
      </c>
      <c r="D91" s="5">
        <f>COUNTIFS(STATUS!$Q:$Q,D$1,STATUS!$K:$K,"РЕШ УВ DONE",STATUS!$D:$D,$A91)</f>
        <v>1</v>
      </c>
      <c r="E91" s="5">
        <f>COUNTIFS(STATUS!$Q:$Q,E$1,STATUS!$K:$K,"РЕШ УВ DONE",STATUS!$D:$D,$A91)</f>
        <v>4</v>
      </c>
      <c r="F91" s="5">
        <f>COUNTIFS(STATUS!$Q:$Q,F$1,STATUS!$K:$K,"РЕШ УВ DONE",STATUS!$D:$D,$A91)</f>
        <v>0</v>
      </c>
      <c r="G91" s="5">
        <f>COUNTIFS(STATUS!$Q:$Q,G$1,STATUS!$K:$K,"РЕШ УВ DONE",STATUS!$D:$D,$A91)</f>
        <v>3</v>
      </c>
      <c r="H91" s="5">
        <f>COUNTIFS(STATUS!$Q:$Q,H$1,STATUS!$K:$K,"РЕШ УВ DONE",STATUS!$D:$D,$A91)</f>
        <v>0</v>
      </c>
      <c r="I91" s="5">
        <f>COUNTIFS(STATUS!$Q:$Q,I$1,STATUS!$K:$K,"РЕШ УВ DONE",STATUS!$D:$D,$A91)</f>
        <v>0</v>
      </c>
      <c r="J91" s="5">
        <f t="shared" si="5"/>
        <v>15</v>
      </c>
    </row>
    <row r="92" spans="1:10" x14ac:dyDescent="0.35">
      <c r="A92" s="4">
        <v>43985</v>
      </c>
      <c r="B92" s="5">
        <f>COUNTIFS(STATUS!$Q:$Q,B$1,STATUS!$K:$K,"РЕШ УВ DONE",STATUS!$D:$D,$A92)</f>
        <v>5</v>
      </c>
      <c r="C92" s="5">
        <f>COUNTIFS(STATUS!$Q:$Q,C$1,STATUS!$K:$K,"РЕШ УВ DONE",STATUS!$D:$D,$A92)</f>
        <v>1</v>
      </c>
      <c r="D92" s="5">
        <f>COUNTIFS(STATUS!$Q:$Q,D$1,STATUS!$K:$K,"РЕШ УВ DONE",STATUS!$D:$D,$A92)</f>
        <v>2</v>
      </c>
      <c r="E92" s="5">
        <f>COUNTIFS(STATUS!$Q:$Q,E$1,STATUS!$K:$K,"РЕШ УВ DONE",STATUS!$D:$D,$A92)</f>
        <v>1</v>
      </c>
      <c r="F92" s="5">
        <f>COUNTIFS(STATUS!$Q:$Q,F$1,STATUS!$K:$K,"РЕШ УВ DONE",STATUS!$D:$D,$A92)</f>
        <v>0</v>
      </c>
      <c r="G92" s="5">
        <f>COUNTIFS(STATUS!$Q:$Q,G$1,STATUS!$K:$K,"РЕШ УВ DONE",STATUS!$D:$D,$A92)</f>
        <v>2</v>
      </c>
      <c r="H92" s="5">
        <f>COUNTIFS(STATUS!$Q:$Q,H$1,STATUS!$K:$K,"РЕШ УВ DONE",STATUS!$D:$D,$A92)</f>
        <v>0</v>
      </c>
      <c r="I92" s="5">
        <f>COUNTIFS(STATUS!$Q:$Q,I$1,STATUS!$K:$K,"РЕШ УВ DONE",STATUS!$D:$D,$A92)</f>
        <v>0</v>
      </c>
      <c r="J92" s="5">
        <f t="shared" si="5"/>
        <v>11</v>
      </c>
    </row>
    <row r="93" spans="1:10" x14ac:dyDescent="0.35">
      <c r="A93" s="4">
        <v>43986</v>
      </c>
      <c r="B93" s="5">
        <f>COUNTIFS(STATUS!$Q:$Q,B$1,STATUS!$K:$K,"РЕШ УВ DONE",STATUS!$D:$D,$A93)</f>
        <v>3</v>
      </c>
      <c r="C93" s="5">
        <f>COUNTIFS(STATUS!$Q:$Q,C$1,STATUS!$K:$K,"РЕШ УВ DONE",STATUS!$D:$D,$A93)</f>
        <v>3</v>
      </c>
      <c r="D93" s="5">
        <f>COUNTIFS(STATUS!$Q:$Q,D$1,STATUS!$K:$K,"РЕШ УВ DONE",STATUS!$D:$D,$A93)</f>
        <v>4</v>
      </c>
      <c r="E93" s="5">
        <f>COUNTIFS(STATUS!$Q:$Q,E$1,STATUS!$K:$K,"РЕШ УВ DONE",STATUS!$D:$D,$A93)</f>
        <v>3</v>
      </c>
      <c r="F93" s="5">
        <f>COUNTIFS(STATUS!$Q:$Q,F$1,STATUS!$K:$K,"РЕШ УВ DONE",STATUS!$D:$D,$A93)</f>
        <v>0</v>
      </c>
      <c r="G93" s="5">
        <f>COUNTIFS(STATUS!$Q:$Q,G$1,STATUS!$K:$K,"РЕШ УВ DONE",STATUS!$D:$D,$A93)</f>
        <v>5</v>
      </c>
      <c r="H93" s="5">
        <f>COUNTIFS(STATUS!$Q:$Q,H$1,STATUS!$K:$K,"РЕШ УВ DONE",STATUS!$D:$D,$A93)</f>
        <v>0</v>
      </c>
      <c r="I93" s="5">
        <f>COUNTIFS(STATUS!$Q:$Q,I$1,STATUS!$K:$K,"РЕШ УВ DONE",STATUS!$D:$D,$A93)</f>
        <v>0</v>
      </c>
      <c r="J93" s="5">
        <f t="shared" si="5"/>
        <v>18</v>
      </c>
    </row>
    <row r="94" spans="1:10" x14ac:dyDescent="0.35">
      <c r="A94" s="4">
        <v>43987</v>
      </c>
      <c r="B94" s="5">
        <f>COUNTIFS(STATUS!$Q:$Q,B$1,STATUS!$K:$K,"РЕШ УВ DONE",STATUS!$D:$D,$A94)</f>
        <v>3</v>
      </c>
      <c r="C94" s="5">
        <f>COUNTIFS(STATUS!$Q:$Q,C$1,STATUS!$K:$K,"РЕШ УВ DONE",STATUS!$D:$D,$A94)</f>
        <v>3</v>
      </c>
      <c r="D94" s="5">
        <f>COUNTIFS(STATUS!$Q:$Q,D$1,STATUS!$K:$K,"РЕШ УВ DONE",STATUS!$D:$D,$A94)</f>
        <v>3</v>
      </c>
      <c r="E94" s="5">
        <f>COUNTIFS(STATUS!$Q:$Q,E$1,STATUS!$K:$K,"РЕШ УВ DONE",STATUS!$D:$D,$A94)</f>
        <v>2</v>
      </c>
      <c r="F94" s="5">
        <f>COUNTIFS(STATUS!$Q:$Q,F$1,STATUS!$K:$K,"РЕШ УВ DONE",STATUS!$D:$D,$A94)</f>
        <v>0</v>
      </c>
      <c r="G94" s="5">
        <f>COUNTIFS(STATUS!$Q:$Q,G$1,STATUS!$K:$K,"РЕШ УВ DONE",STATUS!$D:$D,$A94)</f>
        <v>3</v>
      </c>
      <c r="H94" s="5">
        <f>COUNTIFS(STATUS!$Q:$Q,H$1,STATUS!$K:$K,"РЕШ УВ DONE",STATUS!$D:$D,$A94)</f>
        <v>0</v>
      </c>
      <c r="I94" s="5">
        <f>COUNTIFS(STATUS!$Q:$Q,I$1,STATUS!$K:$K,"РЕШ УВ DONE",STATUS!$D:$D,$A94)</f>
        <v>0</v>
      </c>
      <c r="J94" s="5">
        <f t="shared" si="5"/>
        <v>14</v>
      </c>
    </row>
    <row r="95" spans="1:10" x14ac:dyDescent="0.35">
      <c r="A95" s="4">
        <v>43988</v>
      </c>
      <c r="B95" s="5">
        <f>COUNTIFS(STATUS!$Q:$Q,B$1,STATUS!$K:$K,"РЕШ УВ DONE",STATUS!$D:$D,$A95)</f>
        <v>0</v>
      </c>
      <c r="C95" s="5">
        <f>COUNTIFS(STATUS!$Q:$Q,C$1,STATUS!$K:$K,"РЕШ УВ DONE",STATUS!$D:$D,$A95)</f>
        <v>0</v>
      </c>
      <c r="D95" s="5">
        <f>COUNTIFS(STATUS!$Q:$Q,D$1,STATUS!$K:$K,"РЕШ УВ DONE",STATUS!$D:$D,$A95)</f>
        <v>0</v>
      </c>
      <c r="E95" s="5">
        <f>COUNTIFS(STATUS!$Q:$Q,E$1,STATUS!$K:$K,"РЕШ УВ DONE",STATUS!$D:$D,$A95)</f>
        <v>0</v>
      </c>
      <c r="F95" s="5">
        <f>COUNTIFS(STATUS!$Q:$Q,F$1,STATUS!$K:$K,"РЕШ УВ DONE",STATUS!$D:$D,$A95)</f>
        <v>0</v>
      </c>
      <c r="G95" s="5">
        <f>COUNTIFS(STATUS!$Q:$Q,G$1,STATUS!$K:$K,"РЕШ УВ DONE",STATUS!$D:$D,$A95)</f>
        <v>0</v>
      </c>
      <c r="H95" s="5">
        <f>COUNTIFS(STATUS!$Q:$Q,H$1,STATUS!$K:$K,"РЕШ УВ DONE",STATUS!$D:$D,$A95)</f>
        <v>0</v>
      </c>
      <c r="I95" s="5">
        <f>COUNTIFS(STATUS!$Q:$Q,I$1,STATUS!$K:$K,"РЕШ УВ DONE",STATUS!$D:$D,$A95)</f>
        <v>0</v>
      </c>
      <c r="J95" s="5">
        <f t="shared" si="5"/>
        <v>0</v>
      </c>
    </row>
    <row r="96" spans="1:10" x14ac:dyDescent="0.35">
      <c r="A96" s="4">
        <v>43989</v>
      </c>
      <c r="B96" s="5">
        <f>COUNTIFS(STATUS!$Q:$Q,B$1,STATUS!$K:$K,"РЕШ УВ DONE",STATUS!$D:$D,$A96)</f>
        <v>0</v>
      </c>
      <c r="C96" s="5">
        <f>COUNTIFS(STATUS!$Q:$Q,C$1,STATUS!$K:$K,"РЕШ УВ DONE",STATUS!$D:$D,$A96)</f>
        <v>0</v>
      </c>
      <c r="D96" s="5">
        <f>COUNTIFS(STATUS!$Q:$Q,D$1,STATUS!$K:$K,"РЕШ УВ DONE",STATUS!$D:$D,$A96)</f>
        <v>0</v>
      </c>
      <c r="E96" s="5">
        <f>COUNTIFS(STATUS!$Q:$Q,E$1,STATUS!$K:$K,"РЕШ УВ DONE",STATUS!$D:$D,$A96)</f>
        <v>0</v>
      </c>
      <c r="F96" s="5">
        <f>COUNTIFS(STATUS!$Q:$Q,F$1,STATUS!$K:$K,"РЕШ УВ DONE",STATUS!$D:$D,$A96)</f>
        <v>0</v>
      </c>
      <c r="G96" s="5">
        <f>COUNTIFS(STATUS!$Q:$Q,G$1,STATUS!$K:$K,"РЕШ УВ DONE",STATUS!$D:$D,$A96)</f>
        <v>0</v>
      </c>
      <c r="H96" s="5">
        <f>COUNTIFS(STATUS!$Q:$Q,H$1,STATUS!$K:$K,"РЕШ УВ DONE",STATUS!$D:$D,$A96)</f>
        <v>0</v>
      </c>
      <c r="I96" s="5">
        <f>COUNTIFS(STATUS!$Q:$Q,I$1,STATUS!$K:$K,"РЕШ УВ DONE",STATUS!$D:$D,$A96)</f>
        <v>0</v>
      </c>
      <c r="J96" s="5">
        <f t="shared" si="5"/>
        <v>0</v>
      </c>
    </row>
    <row r="97" spans="1:10" x14ac:dyDescent="0.35">
      <c r="A97" s="4">
        <v>43990</v>
      </c>
      <c r="B97" s="5">
        <f>COUNTIFS(STATUS!$Q:$Q,B$1,STATUS!$K:$K,"РЕШ УВ DONE",STATUS!$D:$D,$A97)</f>
        <v>1</v>
      </c>
      <c r="C97" s="5">
        <f>COUNTIFS(STATUS!$Q:$Q,C$1,STATUS!$K:$K,"РЕШ УВ DONE",STATUS!$D:$D,$A97)</f>
        <v>3</v>
      </c>
      <c r="D97" s="5">
        <f>COUNTIFS(STATUS!$Q:$Q,D$1,STATUS!$K:$K,"РЕШ УВ DONE",STATUS!$D:$D,$A97)</f>
        <v>7</v>
      </c>
      <c r="E97" s="5">
        <f>COUNTIFS(STATUS!$Q:$Q,E$1,STATUS!$K:$K,"РЕШ УВ DONE",STATUS!$D:$D,$A97)</f>
        <v>5</v>
      </c>
      <c r="F97" s="5">
        <f>COUNTIFS(STATUS!$Q:$Q,F$1,STATUS!$K:$K,"РЕШ УВ DONE",STATUS!$D:$D,$A97)</f>
        <v>0</v>
      </c>
      <c r="G97" s="5">
        <f>COUNTIFS(STATUS!$Q:$Q,G$1,STATUS!$K:$K,"РЕШ УВ DONE",STATUS!$D:$D,$A97)</f>
        <v>5</v>
      </c>
      <c r="H97" s="5">
        <f>COUNTIFS(STATUS!$Q:$Q,H$1,STATUS!$K:$K,"РЕШ УВ DONE",STATUS!$D:$D,$A97)</f>
        <v>0</v>
      </c>
      <c r="I97" s="5">
        <f>COUNTIFS(STATUS!$Q:$Q,I$1,STATUS!$K:$K,"РЕШ УВ DONE",STATUS!$D:$D,$A97)</f>
        <v>0</v>
      </c>
      <c r="J97" s="5">
        <f t="shared" ref="J97:J114" si="6">SUM(B97:I97)</f>
        <v>21</v>
      </c>
    </row>
    <row r="98" spans="1:10" x14ac:dyDescent="0.35">
      <c r="A98" s="4">
        <v>43991</v>
      </c>
      <c r="B98" s="5">
        <f>COUNTIFS(STATUS!$Q:$Q,B$1,STATUS!$K:$K,"РЕШ УВ DONE",STATUS!$D:$D,$A98)</f>
        <v>5</v>
      </c>
      <c r="C98" s="5">
        <f>COUNTIFS(STATUS!$Q:$Q,C$1,STATUS!$K:$K,"РЕШ УВ DONE",STATUS!$D:$D,$A98)</f>
        <v>5</v>
      </c>
      <c r="D98" s="5">
        <f>COUNTIFS(STATUS!$Q:$Q,D$1,STATUS!$K:$K,"РЕШ УВ DONE",STATUS!$D:$D,$A98)</f>
        <v>3</v>
      </c>
      <c r="E98" s="5">
        <f>COUNTIFS(STATUS!$Q:$Q,E$1,STATUS!$K:$K,"РЕШ УВ DONE",STATUS!$D:$D,$A98)</f>
        <v>3</v>
      </c>
      <c r="F98" s="5">
        <f>COUNTIFS(STATUS!$Q:$Q,F$1,STATUS!$K:$K,"РЕШ УВ DONE",STATUS!$D:$D,$A98)</f>
        <v>0</v>
      </c>
      <c r="G98" s="5">
        <f>COUNTIFS(STATUS!$Q:$Q,G$1,STATUS!$K:$K,"РЕШ УВ DONE",STATUS!$D:$D,$A98)</f>
        <v>2</v>
      </c>
      <c r="H98" s="5">
        <f>COUNTIFS(STATUS!$Q:$Q,H$1,STATUS!$K:$K,"РЕШ УВ DONE",STATUS!$D:$D,$A98)</f>
        <v>0</v>
      </c>
      <c r="I98" s="5">
        <f>COUNTIFS(STATUS!$Q:$Q,I$1,STATUS!$K:$K,"РЕШ УВ DONE",STATUS!$D:$D,$A98)</f>
        <v>0</v>
      </c>
      <c r="J98" s="5">
        <f t="shared" si="6"/>
        <v>18</v>
      </c>
    </row>
    <row r="99" spans="1:10" x14ac:dyDescent="0.35">
      <c r="A99" s="4">
        <v>43992</v>
      </c>
      <c r="B99" s="5">
        <f>COUNTIFS(STATUS!$Q:$Q,B$1,STATUS!$K:$K,"РЕШ УВ DONE",STATUS!$D:$D,$A99)</f>
        <v>5</v>
      </c>
      <c r="C99" s="5">
        <f>COUNTIFS(STATUS!$Q:$Q,C$1,STATUS!$K:$K,"РЕШ УВ DONE",STATUS!$D:$D,$A99)</f>
        <v>3</v>
      </c>
      <c r="D99" s="5">
        <f>COUNTIFS(STATUS!$Q:$Q,D$1,STATUS!$K:$K,"РЕШ УВ DONE",STATUS!$D:$D,$A99)</f>
        <v>3</v>
      </c>
      <c r="E99" s="5">
        <f>COUNTIFS(STATUS!$Q:$Q,E$1,STATUS!$K:$K,"РЕШ УВ DONE",STATUS!$D:$D,$A99)</f>
        <v>3</v>
      </c>
      <c r="F99" s="5">
        <f>COUNTIFS(STATUS!$Q:$Q,F$1,STATUS!$K:$K,"РЕШ УВ DONE",STATUS!$D:$D,$A99)</f>
        <v>0</v>
      </c>
      <c r="G99" s="5">
        <f>COUNTIFS(STATUS!$Q:$Q,G$1,STATUS!$K:$K,"РЕШ УВ DONE",STATUS!$D:$D,$A99)</f>
        <v>4</v>
      </c>
      <c r="H99" s="5">
        <f>COUNTIFS(STATUS!$Q:$Q,H$1,STATUS!$K:$K,"РЕШ УВ DONE",STATUS!$D:$D,$A99)</f>
        <v>0</v>
      </c>
      <c r="I99" s="5">
        <f>COUNTIFS(STATUS!$Q:$Q,I$1,STATUS!$K:$K,"РЕШ УВ DONE",STATUS!$D:$D,$A99)</f>
        <v>0</v>
      </c>
      <c r="J99" s="5">
        <f t="shared" si="6"/>
        <v>18</v>
      </c>
    </row>
    <row r="100" spans="1:10" x14ac:dyDescent="0.35">
      <c r="A100" s="4">
        <v>43993</v>
      </c>
      <c r="B100" s="5">
        <f>COUNTIFS(STATUS!$Q:$Q,B$1,STATUS!$K:$K,"РЕШ УВ DONE",STATUS!$D:$D,$A100)</f>
        <v>4</v>
      </c>
      <c r="C100" s="5">
        <f>COUNTIFS(STATUS!$Q:$Q,C$1,STATUS!$K:$K,"РЕШ УВ DONE",STATUS!$D:$D,$A100)</f>
        <v>4</v>
      </c>
      <c r="D100" s="5">
        <f>COUNTIFS(STATUS!$Q:$Q,D$1,STATUS!$K:$K,"РЕШ УВ DONE",STATUS!$D:$D,$A100)</f>
        <v>2</v>
      </c>
      <c r="E100" s="5">
        <f>COUNTIFS(STATUS!$Q:$Q,E$1,STATUS!$K:$K,"РЕШ УВ DONE",STATUS!$D:$D,$A100)</f>
        <v>2</v>
      </c>
      <c r="F100" s="5">
        <f>COUNTIFS(STATUS!$Q:$Q,F$1,STATUS!$K:$K,"РЕШ УВ DONE",STATUS!$D:$D,$A100)</f>
        <v>0</v>
      </c>
      <c r="G100" s="5">
        <f>COUNTIFS(STATUS!$Q:$Q,G$1,STATUS!$K:$K,"РЕШ УВ DONE",STATUS!$D:$D,$A100)</f>
        <v>3</v>
      </c>
      <c r="H100" s="5">
        <f>COUNTIFS(STATUS!$Q:$Q,H$1,STATUS!$K:$K,"РЕШ УВ DONE",STATUS!$D:$D,$A100)</f>
        <v>0</v>
      </c>
      <c r="I100" s="5">
        <f>COUNTIFS(STATUS!$Q:$Q,I$1,STATUS!$K:$K,"РЕШ УВ DONE",STATUS!$D:$D,$A100)</f>
        <v>0</v>
      </c>
      <c r="J100" s="5">
        <f t="shared" si="6"/>
        <v>15</v>
      </c>
    </row>
    <row r="101" spans="1:10" x14ac:dyDescent="0.35">
      <c r="A101" s="4">
        <v>43994</v>
      </c>
      <c r="B101" s="5">
        <f>COUNTIFS(STATUS!$Q:$Q,B$1,STATUS!$K:$K,"РЕШ УВ DONE",STATUS!$D:$D,$A101)</f>
        <v>0</v>
      </c>
      <c r="C101" s="5">
        <f>COUNTIFS(STATUS!$Q:$Q,C$1,STATUS!$K:$K,"РЕШ УВ DONE",STATUS!$D:$D,$A101)</f>
        <v>0</v>
      </c>
      <c r="D101" s="5">
        <f>COUNTIFS(STATUS!$Q:$Q,D$1,STATUS!$K:$K,"РЕШ УВ DONE",STATUS!$D:$D,$A101)</f>
        <v>0</v>
      </c>
      <c r="E101" s="5">
        <f>COUNTIFS(STATUS!$Q:$Q,E$1,STATUS!$K:$K,"РЕШ УВ DONE",STATUS!$D:$D,$A101)</f>
        <v>0</v>
      </c>
      <c r="F101" s="5">
        <f>COUNTIFS(STATUS!$Q:$Q,F$1,STATUS!$K:$K,"РЕШ УВ DONE",STATUS!$D:$D,$A101)</f>
        <v>0</v>
      </c>
      <c r="G101" s="5">
        <f>COUNTIFS(STATUS!$Q:$Q,G$1,STATUS!$K:$K,"РЕШ УВ DONE",STATUS!$D:$D,$A101)</f>
        <v>0</v>
      </c>
      <c r="H101" s="5">
        <f>COUNTIFS(STATUS!$Q:$Q,H$1,STATUS!$K:$K,"РЕШ УВ DONE",STATUS!$D:$D,$A101)</f>
        <v>0</v>
      </c>
      <c r="I101" s="5">
        <f>COUNTIFS(STATUS!$Q:$Q,I$1,STATUS!$K:$K,"РЕШ УВ DONE",STATUS!$D:$D,$A101)</f>
        <v>0</v>
      </c>
      <c r="J101" s="5">
        <f t="shared" si="6"/>
        <v>0</v>
      </c>
    </row>
    <row r="102" spans="1:10" x14ac:dyDescent="0.35">
      <c r="A102" s="4">
        <v>43995</v>
      </c>
      <c r="B102" s="5">
        <f>COUNTIFS(STATUS!$Q:$Q,B$1,STATUS!$K:$K,"РЕШ УВ DONE",STATUS!$D:$D,$A102)</f>
        <v>0</v>
      </c>
      <c r="C102" s="5">
        <f>COUNTIFS(STATUS!$Q:$Q,C$1,STATUS!$K:$K,"РЕШ УВ DONE",STATUS!$D:$D,$A102)</f>
        <v>0</v>
      </c>
      <c r="D102" s="5">
        <f>COUNTIFS(STATUS!$Q:$Q,D$1,STATUS!$K:$K,"РЕШ УВ DONE",STATUS!$D:$D,$A102)</f>
        <v>0</v>
      </c>
      <c r="E102" s="5">
        <f>COUNTIFS(STATUS!$Q:$Q,E$1,STATUS!$K:$K,"РЕШ УВ DONE",STATUS!$D:$D,$A102)</f>
        <v>0</v>
      </c>
      <c r="F102" s="5">
        <f>COUNTIFS(STATUS!$Q:$Q,F$1,STATUS!$K:$K,"РЕШ УВ DONE",STATUS!$D:$D,$A102)</f>
        <v>0</v>
      </c>
      <c r="G102" s="5">
        <f>COUNTIFS(STATUS!$Q:$Q,G$1,STATUS!$K:$K,"РЕШ УВ DONE",STATUS!$D:$D,$A102)</f>
        <v>0</v>
      </c>
      <c r="H102" s="5">
        <f>COUNTIFS(STATUS!$Q:$Q,H$1,STATUS!$K:$K,"РЕШ УВ DONE",STATUS!$D:$D,$A102)</f>
        <v>0</v>
      </c>
      <c r="I102" s="5">
        <f>COUNTIFS(STATUS!$Q:$Q,I$1,STATUS!$K:$K,"РЕШ УВ DONE",STATUS!$D:$D,$A102)</f>
        <v>0</v>
      </c>
      <c r="J102" s="5">
        <f t="shared" si="6"/>
        <v>0</v>
      </c>
    </row>
    <row r="103" spans="1:10" x14ac:dyDescent="0.35">
      <c r="A103" s="4">
        <v>43996</v>
      </c>
      <c r="B103" s="5">
        <f>COUNTIFS(STATUS!$Q:$Q,B$1,STATUS!$K:$K,"РЕШ УВ DONE",STATUS!$D:$D,$A103)</f>
        <v>0</v>
      </c>
      <c r="C103" s="5">
        <f>COUNTIFS(STATUS!$Q:$Q,C$1,STATUS!$K:$K,"РЕШ УВ DONE",STATUS!$D:$D,$A103)</f>
        <v>0</v>
      </c>
      <c r="D103" s="5">
        <f>COUNTIFS(STATUS!$Q:$Q,D$1,STATUS!$K:$K,"РЕШ УВ DONE",STATUS!$D:$D,$A103)</f>
        <v>0</v>
      </c>
      <c r="E103" s="5">
        <f>COUNTIFS(STATUS!$Q:$Q,E$1,STATUS!$K:$K,"РЕШ УВ DONE",STATUS!$D:$D,$A103)</f>
        <v>0</v>
      </c>
      <c r="F103" s="5">
        <f>COUNTIFS(STATUS!$Q:$Q,F$1,STATUS!$K:$K,"РЕШ УВ DONE",STATUS!$D:$D,$A103)</f>
        <v>0</v>
      </c>
      <c r="G103" s="5">
        <f>COUNTIFS(STATUS!$Q:$Q,G$1,STATUS!$K:$K,"РЕШ УВ DONE",STATUS!$D:$D,$A103)</f>
        <v>0</v>
      </c>
      <c r="H103" s="5">
        <f>COUNTIFS(STATUS!$Q:$Q,H$1,STATUS!$K:$K,"РЕШ УВ DONE",STATUS!$D:$D,$A103)</f>
        <v>0</v>
      </c>
      <c r="I103" s="5">
        <f>COUNTIFS(STATUS!$Q:$Q,I$1,STATUS!$K:$K,"РЕШ УВ DONE",STATUS!$D:$D,$A103)</f>
        <v>0</v>
      </c>
      <c r="J103" s="5">
        <f t="shared" si="6"/>
        <v>0</v>
      </c>
    </row>
    <row r="104" spans="1:10" x14ac:dyDescent="0.35">
      <c r="A104" s="4">
        <v>43997</v>
      </c>
      <c r="B104" s="5">
        <f>COUNTIFS(STATUS!$Q:$Q,B$1,STATUS!$K:$K,"РЕШ УВ DONE",STATUS!$D:$D,$A104)</f>
        <v>3</v>
      </c>
      <c r="C104" s="5">
        <f>COUNTIFS(STATUS!$Q:$Q,C$1,STATUS!$K:$K,"РЕШ УВ DONE",STATUS!$D:$D,$A104)</f>
        <v>2</v>
      </c>
      <c r="D104" s="5">
        <f>COUNTIFS(STATUS!$Q:$Q,D$1,STATUS!$K:$K,"РЕШ УВ DONE",STATUS!$D:$D,$A104)</f>
        <v>3</v>
      </c>
      <c r="E104" s="5">
        <f>COUNTIFS(STATUS!$Q:$Q,E$1,STATUS!$K:$K,"РЕШ УВ DONE",STATUS!$D:$D,$A104)</f>
        <v>3</v>
      </c>
      <c r="F104" s="5">
        <f>COUNTIFS(STATUS!$Q:$Q,F$1,STATUS!$K:$K,"РЕШ УВ DONE",STATUS!$D:$D,$A104)</f>
        <v>0</v>
      </c>
      <c r="G104" s="5">
        <f>COUNTIFS(STATUS!$Q:$Q,G$1,STATUS!$K:$K,"РЕШ УВ DONE",STATUS!$D:$D,$A104)</f>
        <v>3</v>
      </c>
      <c r="H104" s="5">
        <f>COUNTIFS(STATUS!$Q:$Q,H$1,STATUS!$K:$K,"РЕШ УВ DONE",STATUS!$D:$D,$A104)</f>
        <v>0</v>
      </c>
      <c r="I104" s="5">
        <f>COUNTIFS(STATUS!$Q:$Q,I$1,STATUS!$K:$K,"РЕШ УВ DONE",STATUS!$D:$D,$A104)</f>
        <v>0</v>
      </c>
      <c r="J104" s="5">
        <f t="shared" si="6"/>
        <v>14</v>
      </c>
    </row>
    <row r="105" spans="1:10" x14ac:dyDescent="0.35">
      <c r="A105" s="4">
        <v>43998</v>
      </c>
      <c r="B105" s="5">
        <f>COUNTIFS(STATUS!$Q:$Q,B$1,STATUS!$K:$K,"РЕШ УВ DONE",STATUS!$D:$D,$A105)</f>
        <v>37</v>
      </c>
      <c r="C105" s="5">
        <f>COUNTIFS(STATUS!$Q:$Q,C$1,STATUS!$K:$K,"РЕШ УВ DONE",STATUS!$D:$D,$A105)</f>
        <v>42</v>
      </c>
      <c r="D105" s="5">
        <f>COUNTIFS(STATUS!$Q:$Q,D$1,STATUS!$K:$K,"РЕШ УВ DONE",STATUS!$D:$D,$A105)</f>
        <v>41</v>
      </c>
      <c r="E105" s="5">
        <f>COUNTIFS(STATUS!$Q:$Q,E$1,STATUS!$K:$K,"РЕШ УВ DONE",STATUS!$D:$D,$A105)</f>
        <v>41</v>
      </c>
      <c r="F105" s="5">
        <f>COUNTIFS(STATUS!$Q:$Q,F$1,STATUS!$K:$K,"РЕШ УВ DONE",STATUS!$D:$D,$A105)</f>
        <v>0</v>
      </c>
      <c r="G105" s="5">
        <f>COUNTIFS(STATUS!$Q:$Q,G$1,STATUS!$K:$K,"РЕШ УВ DONE",STATUS!$D:$D,$A105)</f>
        <v>49</v>
      </c>
      <c r="H105" s="5">
        <f>COUNTIFS(STATUS!$Q:$Q,H$1,STATUS!$K:$K,"РЕШ УВ DONE",STATUS!$D:$D,$A105)</f>
        <v>0</v>
      </c>
      <c r="I105" s="5">
        <f>COUNTIFS(STATUS!$Q:$Q,I$1,STATUS!$K:$K,"РЕШ УВ DONE",STATUS!$D:$D,$A105)</f>
        <v>0</v>
      </c>
      <c r="J105" s="5">
        <f t="shared" si="6"/>
        <v>210</v>
      </c>
    </row>
    <row r="106" spans="1:10" x14ac:dyDescent="0.35">
      <c r="A106" s="4">
        <v>43999</v>
      </c>
      <c r="B106" s="5">
        <f>COUNTIFS(STATUS!$Q:$Q,B$1,STATUS!$K:$K,"РЕШ УВ DONE",STATUS!$D:$D,$A106)</f>
        <v>2</v>
      </c>
      <c r="C106" s="5">
        <f>COUNTIFS(STATUS!$Q:$Q,C$1,STATUS!$K:$K,"РЕШ УВ DONE",STATUS!$D:$D,$A106)</f>
        <v>3</v>
      </c>
      <c r="D106" s="5">
        <f>COUNTIFS(STATUS!$Q:$Q,D$1,STATUS!$K:$K,"РЕШ УВ DONE",STATUS!$D:$D,$A106)</f>
        <v>3</v>
      </c>
      <c r="E106" s="5">
        <f>COUNTIFS(STATUS!$Q:$Q,E$1,STATUS!$K:$K,"РЕШ УВ DONE",STATUS!$D:$D,$A106)</f>
        <v>1</v>
      </c>
      <c r="F106" s="5">
        <f>COUNTIFS(STATUS!$Q:$Q,F$1,STATUS!$K:$K,"РЕШ УВ DONE",STATUS!$D:$D,$A106)</f>
        <v>0</v>
      </c>
      <c r="G106" s="5">
        <f>COUNTIFS(STATUS!$Q:$Q,G$1,STATUS!$K:$K,"РЕШ УВ DONE",STATUS!$D:$D,$A106)</f>
        <v>4</v>
      </c>
      <c r="H106" s="5">
        <f>COUNTIFS(STATUS!$Q:$Q,H$1,STATUS!$K:$K,"РЕШ УВ DONE",STATUS!$D:$D,$A106)</f>
        <v>0</v>
      </c>
      <c r="I106" s="5">
        <f>COUNTIFS(STATUS!$Q:$Q,I$1,STATUS!$K:$K,"РЕШ УВ DONE",STATUS!$D:$D,$A106)</f>
        <v>0</v>
      </c>
      <c r="J106" s="5">
        <f t="shared" si="6"/>
        <v>13</v>
      </c>
    </row>
    <row r="107" spans="1:10" x14ac:dyDescent="0.35">
      <c r="A107" s="4">
        <v>44000</v>
      </c>
      <c r="B107" s="5">
        <f>COUNTIFS(STATUS!$Q:$Q,B$1,STATUS!$K:$K,"РЕШ УВ DONE",STATUS!$D:$D,$A107)</f>
        <v>3</v>
      </c>
      <c r="C107" s="5">
        <f>COUNTIFS(STATUS!$Q:$Q,C$1,STATUS!$K:$K,"РЕШ УВ DONE",STATUS!$D:$D,$A107)</f>
        <v>2</v>
      </c>
      <c r="D107" s="5">
        <f>COUNTIFS(STATUS!$Q:$Q,D$1,STATUS!$K:$K,"РЕШ УВ DONE",STATUS!$D:$D,$A107)</f>
        <v>1</v>
      </c>
      <c r="E107" s="5">
        <f>COUNTIFS(STATUS!$Q:$Q,E$1,STATUS!$K:$K,"РЕШ УВ DONE",STATUS!$D:$D,$A107)</f>
        <v>2</v>
      </c>
      <c r="F107" s="5">
        <f>COUNTIFS(STATUS!$Q:$Q,F$1,STATUS!$K:$K,"РЕШ УВ DONE",STATUS!$D:$D,$A107)</f>
        <v>0</v>
      </c>
      <c r="G107" s="5">
        <f>COUNTIFS(STATUS!$Q:$Q,G$1,STATUS!$K:$K,"РЕШ УВ DONE",STATUS!$D:$D,$A107)</f>
        <v>4</v>
      </c>
      <c r="H107" s="5">
        <f>COUNTIFS(STATUS!$Q:$Q,H$1,STATUS!$K:$K,"РЕШ УВ DONE",STATUS!$D:$D,$A107)</f>
        <v>0</v>
      </c>
      <c r="I107" s="5">
        <f>COUNTIFS(STATUS!$Q:$Q,I$1,STATUS!$K:$K,"РЕШ УВ DONE",STATUS!$D:$D,$A107)</f>
        <v>0</v>
      </c>
      <c r="J107" s="5">
        <f t="shared" si="6"/>
        <v>12</v>
      </c>
    </row>
    <row r="108" spans="1:10" x14ac:dyDescent="0.35">
      <c r="A108" s="4">
        <v>44001</v>
      </c>
      <c r="B108" s="5">
        <f>COUNTIFS(STATUS!$Q:$Q,B$1,STATUS!$K:$K,"РЕШ УВ DONE",STATUS!$D:$D,$A108)</f>
        <v>1</v>
      </c>
      <c r="C108" s="5">
        <f>COUNTIFS(STATUS!$Q:$Q,C$1,STATUS!$K:$K,"РЕШ УВ DONE",STATUS!$D:$D,$A108)</f>
        <v>4</v>
      </c>
      <c r="D108" s="5">
        <f>COUNTIFS(STATUS!$Q:$Q,D$1,STATUS!$K:$K,"РЕШ УВ DONE",STATUS!$D:$D,$A108)</f>
        <v>4</v>
      </c>
      <c r="E108" s="5">
        <f>COUNTIFS(STATUS!$Q:$Q,E$1,STATUS!$K:$K,"РЕШ УВ DONE",STATUS!$D:$D,$A108)</f>
        <v>4</v>
      </c>
      <c r="F108" s="5">
        <f>COUNTIFS(STATUS!$Q:$Q,F$1,STATUS!$K:$K,"РЕШ УВ DONE",STATUS!$D:$D,$A108)</f>
        <v>0</v>
      </c>
      <c r="G108" s="5">
        <f>COUNTIFS(STATUS!$Q:$Q,G$1,STATUS!$K:$K,"РЕШ УВ DONE",STATUS!$D:$D,$A108)</f>
        <v>3</v>
      </c>
      <c r="H108" s="5">
        <f>COUNTIFS(STATUS!$Q:$Q,H$1,STATUS!$K:$K,"РЕШ УВ DONE",STATUS!$D:$D,$A108)</f>
        <v>0</v>
      </c>
      <c r="I108" s="5">
        <f>COUNTIFS(STATUS!$Q:$Q,I$1,STATUS!$K:$K,"РЕШ УВ DONE",STATUS!$D:$D,$A108)</f>
        <v>0</v>
      </c>
      <c r="J108" s="5">
        <f t="shared" si="6"/>
        <v>16</v>
      </c>
    </row>
    <row r="109" spans="1:10" x14ac:dyDescent="0.35">
      <c r="A109" s="4">
        <v>44002</v>
      </c>
      <c r="B109" s="5">
        <f>COUNTIFS(STATUS!$Q:$Q,B$1,STATUS!$K:$K,"РЕШ УВ DONE",STATUS!$D:$D,$A109)</f>
        <v>0</v>
      </c>
      <c r="C109" s="5">
        <f>COUNTIFS(STATUS!$Q:$Q,C$1,STATUS!$K:$K,"РЕШ УВ DONE",STATUS!$D:$D,$A109)</f>
        <v>0</v>
      </c>
      <c r="D109" s="5">
        <f>COUNTIFS(STATUS!$Q:$Q,D$1,STATUS!$K:$K,"РЕШ УВ DONE",STATUS!$D:$D,$A109)</f>
        <v>0</v>
      </c>
      <c r="E109" s="5">
        <f>COUNTIFS(STATUS!$Q:$Q,E$1,STATUS!$K:$K,"РЕШ УВ DONE",STATUS!$D:$D,$A109)</f>
        <v>0</v>
      </c>
      <c r="F109" s="5">
        <f>COUNTIFS(STATUS!$Q:$Q,F$1,STATUS!$K:$K,"РЕШ УВ DONE",STATUS!$D:$D,$A109)</f>
        <v>0</v>
      </c>
      <c r="G109" s="5">
        <f>COUNTIFS(STATUS!$Q:$Q,G$1,STATUS!$K:$K,"РЕШ УВ DONE",STATUS!$D:$D,$A109)</f>
        <v>0</v>
      </c>
      <c r="H109" s="5">
        <f>COUNTIFS(STATUS!$Q:$Q,H$1,STATUS!$K:$K,"РЕШ УВ DONE",STATUS!$D:$D,$A109)</f>
        <v>0</v>
      </c>
      <c r="I109" s="5">
        <f>COUNTIFS(STATUS!$Q:$Q,I$1,STATUS!$K:$K,"РЕШ УВ DONE",STATUS!$D:$D,$A109)</f>
        <v>0</v>
      </c>
      <c r="J109" s="5">
        <f t="shared" si="6"/>
        <v>0</v>
      </c>
    </row>
    <row r="110" spans="1:10" x14ac:dyDescent="0.35">
      <c r="A110" s="4">
        <v>44003</v>
      </c>
      <c r="B110" s="5">
        <f>COUNTIFS(STATUS!$Q:$Q,B$1,STATUS!$K:$K,"РЕШ УВ DONE",STATUS!$D:$D,$A110)</f>
        <v>0</v>
      </c>
      <c r="C110" s="5">
        <f>COUNTIFS(STATUS!$Q:$Q,C$1,STATUS!$K:$K,"РЕШ УВ DONE",STATUS!$D:$D,$A110)</f>
        <v>0</v>
      </c>
      <c r="D110" s="5">
        <f>COUNTIFS(STATUS!$Q:$Q,D$1,STATUS!$K:$K,"РЕШ УВ DONE",STATUS!$D:$D,$A110)</f>
        <v>0</v>
      </c>
      <c r="E110" s="5">
        <f>COUNTIFS(STATUS!$Q:$Q,E$1,STATUS!$K:$K,"РЕШ УВ DONE",STATUS!$D:$D,$A110)</f>
        <v>0</v>
      </c>
      <c r="F110" s="5">
        <f>COUNTIFS(STATUS!$Q:$Q,F$1,STATUS!$K:$K,"РЕШ УВ DONE",STATUS!$D:$D,$A110)</f>
        <v>0</v>
      </c>
      <c r="G110" s="5">
        <f>COUNTIFS(STATUS!$Q:$Q,G$1,STATUS!$K:$K,"РЕШ УВ DONE",STATUS!$D:$D,$A110)</f>
        <v>0</v>
      </c>
      <c r="H110" s="5">
        <f>COUNTIFS(STATUS!$Q:$Q,H$1,STATUS!$K:$K,"РЕШ УВ DONE",STATUS!$D:$D,$A110)</f>
        <v>0</v>
      </c>
      <c r="I110" s="5">
        <f>COUNTIFS(STATUS!$Q:$Q,I$1,STATUS!$K:$K,"РЕШ УВ DONE",STATUS!$D:$D,$A110)</f>
        <v>0</v>
      </c>
      <c r="J110" s="5">
        <f t="shared" si="6"/>
        <v>0</v>
      </c>
    </row>
    <row r="111" spans="1:10" x14ac:dyDescent="0.35">
      <c r="A111" s="4">
        <v>44004</v>
      </c>
      <c r="B111" s="5">
        <f>COUNTIFS(STATUS!$Q:$Q,B$1,STATUS!$K:$K,"РЕШ УВ DONE",STATUS!$D:$D,$A111)</f>
        <v>0</v>
      </c>
      <c r="C111" s="5">
        <f>COUNTIFS(STATUS!$Q:$Q,C$1,STATUS!$K:$K,"РЕШ УВ DONE",STATUS!$D:$D,$A111)</f>
        <v>0</v>
      </c>
      <c r="D111" s="5">
        <f>COUNTIFS(STATUS!$Q:$Q,D$1,STATUS!$K:$K,"РЕШ УВ DONE",STATUS!$D:$D,$A111)</f>
        <v>0</v>
      </c>
      <c r="E111" s="5">
        <f>COUNTIFS(STATUS!$Q:$Q,E$1,STATUS!$K:$K,"РЕШ УВ DONE",STATUS!$D:$D,$A111)</f>
        <v>0</v>
      </c>
      <c r="F111" s="5">
        <f>COUNTIFS(STATUS!$Q:$Q,F$1,STATUS!$K:$K,"РЕШ УВ DONE",STATUS!$D:$D,$A111)</f>
        <v>0</v>
      </c>
      <c r="G111" s="5">
        <f>COUNTIFS(STATUS!$Q:$Q,G$1,STATUS!$K:$K,"РЕШ УВ DONE",STATUS!$D:$D,$A111)</f>
        <v>0</v>
      </c>
      <c r="H111" s="5">
        <f>COUNTIFS(STATUS!$Q:$Q,H$1,STATUS!$K:$K,"РЕШ УВ DONE",STATUS!$D:$D,$A111)</f>
        <v>0</v>
      </c>
      <c r="I111" s="5">
        <f>COUNTIFS(STATUS!$Q:$Q,I$1,STATUS!$K:$K,"РЕШ УВ DONE",STATUS!$D:$D,$A111)</f>
        <v>0</v>
      </c>
      <c r="J111" s="5">
        <f t="shared" si="6"/>
        <v>0</v>
      </c>
    </row>
    <row r="112" spans="1:10" x14ac:dyDescent="0.35">
      <c r="A112" s="4">
        <v>44005</v>
      </c>
      <c r="B112" s="5">
        <f>COUNTIFS(STATUS!$Q:$Q,B$1,STATUS!$K:$K,"РЕШ УВ DONE",STATUS!$D:$D,$A112)</f>
        <v>0</v>
      </c>
      <c r="C112" s="5">
        <f>COUNTIFS(STATUS!$Q:$Q,C$1,STATUS!$K:$K,"РЕШ УВ DONE",STATUS!$D:$D,$A112)</f>
        <v>0</v>
      </c>
      <c r="D112" s="5">
        <f>COUNTIFS(STATUS!$Q:$Q,D$1,STATUS!$K:$K,"РЕШ УВ DONE",STATUS!$D:$D,$A112)</f>
        <v>0</v>
      </c>
      <c r="E112" s="5">
        <f>COUNTIFS(STATUS!$Q:$Q,E$1,STATUS!$K:$K,"РЕШ УВ DONE",STATUS!$D:$D,$A112)</f>
        <v>0</v>
      </c>
      <c r="F112" s="5">
        <f>COUNTIFS(STATUS!$Q:$Q,F$1,STATUS!$K:$K,"РЕШ УВ DONE",STATUS!$D:$D,$A112)</f>
        <v>0</v>
      </c>
      <c r="G112" s="5">
        <f>COUNTIFS(STATUS!$Q:$Q,G$1,STATUS!$K:$K,"РЕШ УВ DONE",STATUS!$D:$D,$A112)</f>
        <v>0</v>
      </c>
      <c r="H112" s="5">
        <f>COUNTIFS(STATUS!$Q:$Q,H$1,STATUS!$K:$K,"РЕШ УВ DONE",STATUS!$D:$D,$A112)</f>
        <v>0</v>
      </c>
      <c r="I112" s="5">
        <f>COUNTIFS(STATUS!$Q:$Q,I$1,STATUS!$K:$K,"РЕШ УВ DONE",STATUS!$D:$D,$A112)</f>
        <v>0</v>
      </c>
      <c r="J112" s="5">
        <f t="shared" si="6"/>
        <v>0</v>
      </c>
    </row>
    <row r="113" spans="1:10" x14ac:dyDescent="0.35">
      <c r="A113" s="4">
        <v>44006</v>
      </c>
      <c r="B113" s="5">
        <f>COUNTIFS(STATUS!$Q:$Q,B$1,STATUS!$K:$K,"РЕШ УВ DONE",STATUS!$D:$D,$A113)</f>
        <v>0</v>
      </c>
      <c r="C113" s="5">
        <f>COUNTIFS(STATUS!$Q:$Q,C$1,STATUS!$K:$K,"РЕШ УВ DONE",STATUS!$D:$D,$A113)</f>
        <v>0</v>
      </c>
      <c r="D113" s="5">
        <f>COUNTIFS(STATUS!$Q:$Q,D$1,STATUS!$K:$K,"РЕШ УВ DONE",STATUS!$D:$D,$A113)</f>
        <v>0</v>
      </c>
      <c r="E113" s="5">
        <f>COUNTIFS(STATUS!$Q:$Q,E$1,STATUS!$K:$K,"РЕШ УВ DONE",STATUS!$D:$D,$A113)</f>
        <v>0</v>
      </c>
      <c r="F113" s="5">
        <f>COUNTIFS(STATUS!$Q:$Q,F$1,STATUS!$K:$K,"РЕШ УВ DONE",STATUS!$D:$D,$A113)</f>
        <v>0</v>
      </c>
      <c r="G113" s="5">
        <f>COUNTIFS(STATUS!$Q:$Q,G$1,STATUS!$K:$K,"РЕШ УВ DONE",STATUS!$D:$D,$A113)</f>
        <v>0</v>
      </c>
      <c r="H113" s="5">
        <f>COUNTIFS(STATUS!$Q:$Q,H$1,STATUS!$K:$K,"РЕШ УВ DONE",STATUS!$D:$D,$A113)</f>
        <v>0</v>
      </c>
      <c r="I113" s="5">
        <f>COUNTIFS(STATUS!$Q:$Q,I$1,STATUS!$K:$K,"РЕШ УВ DONE",STATUS!$D:$D,$A113)</f>
        <v>0</v>
      </c>
      <c r="J113" s="5">
        <f t="shared" si="6"/>
        <v>0</v>
      </c>
    </row>
    <row r="114" spans="1:10" x14ac:dyDescent="0.35">
      <c r="A114" s="4">
        <v>44007</v>
      </c>
      <c r="B114" s="5">
        <f>COUNTIFS(STATUS!$Q:$Q,B$1,STATUS!$K:$K,"РЕШ УВ DONE",STATUS!$D:$D,$A114)</f>
        <v>0</v>
      </c>
      <c r="C114" s="5">
        <f>COUNTIFS(STATUS!$Q:$Q,C$1,STATUS!$K:$K,"РЕШ УВ DONE",STATUS!$D:$D,$A114)</f>
        <v>0</v>
      </c>
      <c r="D114" s="5">
        <f>COUNTIFS(STATUS!$Q:$Q,D$1,STATUS!$K:$K,"РЕШ УВ DONE",STATUS!$D:$D,$A114)</f>
        <v>0</v>
      </c>
      <c r="E114" s="5">
        <f>COUNTIFS(STATUS!$Q:$Q,E$1,STATUS!$K:$K,"РЕШ УВ DONE",STATUS!$D:$D,$A114)</f>
        <v>0</v>
      </c>
      <c r="F114" s="5">
        <f>COUNTIFS(STATUS!$Q:$Q,F$1,STATUS!$K:$K,"РЕШ УВ DONE",STATUS!$D:$D,$A114)</f>
        <v>0</v>
      </c>
      <c r="G114" s="5">
        <f>COUNTIFS(STATUS!$Q:$Q,G$1,STATUS!$K:$K,"РЕШ УВ DONE",STATUS!$D:$D,$A114)</f>
        <v>0</v>
      </c>
      <c r="H114" s="5">
        <f>COUNTIFS(STATUS!$Q:$Q,H$1,STATUS!$K:$K,"РЕШ УВ DONE",STATUS!$D:$D,$A114)</f>
        <v>0</v>
      </c>
      <c r="I114" s="5">
        <f>COUNTIFS(STATUS!$Q:$Q,I$1,STATUS!$K:$K,"РЕШ УВ DONE",STATUS!$D:$D,$A114)</f>
        <v>0</v>
      </c>
      <c r="J114" s="5">
        <f t="shared" si="6"/>
        <v>0</v>
      </c>
    </row>
  </sheetData>
  <conditionalFormatting sqref="J1:J1048576">
    <cfRule type="colorScale" priority="3">
      <colorScale>
        <cfvo type="min"/>
        <cfvo type="percentile" val="50"/>
        <cfvo type="max"/>
        <color rgb="FF63BE7B"/>
        <color rgb="FFFFEB84"/>
        <color rgb="FFF8696B"/>
      </colorScale>
    </cfRule>
  </conditionalFormatting>
  <conditionalFormatting sqref="A1:A1048576">
    <cfRule type="timePeriod" dxfId="1" priority="1" timePeriod="today">
      <formula>FLOOR(A1,1)=TODAY()</formula>
    </cfRule>
  </conditionalFormatting>
  <conditionalFormatting sqref="B2:I114">
    <cfRule type="colorScale" priority="16110">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Q171"/>
  <sheetViews>
    <sheetView topLeftCell="A90" workbookViewId="0">
      <selection activeCell="L104" sqref="L104"/>
    </sheetView>
  </sheetViews>
  <sheetFormatPr defaultRowHeight="14.5" x14ac:dyDescent="0.35"/>
  <cols>
    <col min="1" max="1" width="9.81640625" bestFit="1" customWidth="1"/>
    <col min="2" max="2" width="13.453125" customWidth="1"/>
    <col min="3" max="3" width="11.1796875" customWidth="1"/>
    <col min="4" max="4" width="12.54296875" customWidth="1"/>
    <col min="5" max="5" width="10.7265625" customWidth="1"/>
    <col min="6" max="6" width="13.54296875" customWidth="1"/>
    <col min="7" max="9" width="15.26953125" customWidth="1"/>
    <col min="10" max="10" width="8.7265625" style="5"/>
  </cols>
  <sheetData>
    <row r="1" spans="1:17" ht="45.65" customHeight="1" thickTop="1" thickBot="1" x14ac:dyDescent="0.4">
      <c r="B1" s="338" t="s">
        <v>2097</v>
      </c>
      <c r="C1" s="337" t="s">
        <v>2056</v>
      </c>
      <c r="D1" s="341" t="s">
        <v>2163</v>
      </c>
      <c r="E1" s="343" t="s">
        <v>2130</v>
      </c>
      <c r="F1" s="344" t="s">
        <v>2409</v>
      </c>
      <c r="G1" s="345" t="s">
        <v>2447</v>
      </c>
      <c r="H1" s="345" t="s">
        <v>5501</v>
      </c>
      <c r="I1" s="377" t="s">
        <v>4142</v>
      </c>
      <c r="J1" s="350" t="s">
        <v>47</v>
      </c>
      <c r="K1" s="339">
        <f t="shared" ref="K1:P1" si="0">SUM(B:B)</f>
        <v>511</v>
      </c>
      <c r="L1" s="340">
        <f t="shared" si="0"/>
        <v>478</v>
      </c>
      <c r="M1" s="342">
        <f t="shared" si="0"/>
        <v>542</v>
      </c>
      <c r="N1" s="346">
        <f t="shared" si="0"/>
        <v>497</v>
      </c>
      <c r="O1" s="347">
        <f t="shared" si="0"/>
        <v>47</v>
      </c>
      <c r="P1" s="348">
        <f t="shared" si="0"/>
        <v>403</v>
      </c>
      <c r="Q1" s="349">
        <f>AVERAGE(J2:J73)</f>
        <v>20.375</v>
      </c>
    </row>
    <row r="2" spans="1:17" ht="15" thickTop="1" x14ac:dyDescent="0.35">
      <c r="A2" s="4">
        <v>43808</v>
      </c>
      <c r="B2" s="5">
        <f>COUNTIFS(STATUS!$Q:$Q,B$1,STATUS!$D:$D,$A2)</f>
        <v>4</v>
      </c>
      <c r="C2" s="5">
        <f>COUNTIFS(STATUS!$Q:$Q,C$1,STATUS!$D:$D,$A2)</f>
        <v>4</v>
      </c>
      <c r="D2" s="5">
        <f>COUNTIFS(STATUS!$Q:$Q,D$1,STATUS!$D:$D,$A2)</f>
        <v>4</v>
      </c>
      <c r="E2" s="5">
        <f>COUNTIFS(STATUS!$Q:$Q,E$1,STATUS!$D:$D,$A2)</f>
        <v>3</v>
      </c>
      <c r="F2" s="5">
        <f>COUNTIFS(STATUS!$Q:$Q,F$1,STATUS!$D:$D,$A2)</f>
        <v>0</v>
      </c>
      <c r="G2" s="5">
        <f>COUNTIFS(STATUS!$Q:$Q,G$1,STATUS!$D:$D,$A2)</f>
        <v>0</v>
      </c>
      <c r="H2" s="5">
        <f>COUNTIFS(STATUS!$Q:$Q,H$1,STATUS!$D:$D,$A2)</f>
        <v>0</v>
      </c>
      <c r="I2" s="5">
        <f>COUNTIFS(STATUS!$Q:$Q,I$1,STATUS!$D:$D,$A2)</f>
        <v>0</v>
      </c>
      <c r="J2" s="5">
        <f>SUM(B2:I2)</f>
        <v>15</v>
      </c>
    </row>
    <row r="3" spans="1:17" x14ac:dyDescent="0.35">
      <c r="A3" s="4">
        <v>43809</v>
      </c>
      <c r="B3" s="5">
        <f>COUNTIFS(STATUS!$Q:$Q,B$1,STATUS!$D:$D,$A3)</f>
        <v>2</v>
      </c>
      <c r="C3" s="5">
        <f>COUNTIFS(STATUS!$Q:$Q,C$1,STATUS!$D:$D,$A3)</f>
        <v>2</v>
      </c>
      <c r="D3" s="5">
        <f>COUNTIFS(STATUS!$Q:$Q,D$1,STATUS!$D:$D,$A3)</f>
        <v>4</v>
      </c>
      <c r="E3" s="5">
        <f>COUNTIFS(STATUS!$Q:$Q,E$1,STATUS!$D:$D,$A3)</f>
        <v>1</v>
      </c>
      <c r="F3" s="5">
        <f>COUNTIFS(STATUS!$Q:$Q,F$1,STATUS!$D:$D,$A3)</f>
        <v>0</v>
      </c>
      <c r="G3" s="5">
        <f>COUNTIFS(STATUS!$Q:$Q,G$1,STATUS!$D:$D,$A3)</f>
        <v>0</v>
      </c>
      <c r="H3" s="5">
        <f>COUNTIFS(STATUS!$Q:$Q,H$1,STATUS!$D:$D,$A3)</f>
        <v>0</v>
      </c>
      <c r="I3" s="5">
        <f>COUNTIFS(STATUS!$Q:$Q,I$1,STATUS!$D:$D,$A3)</f>
        <v>0</v>
      </c>
      <c r="J3" s="5">
        <f t="shared" ref="J3:J47" si="1">SUM(B3:I3)</f>
        <v>9</v>
      </c>
    </row>
    <row r="4" spans="1:17" x14ac:dyDescent="0.35">
      <c r="A4" s="4">
        <v>43810</v>
      </c>
      <c r="B4" s="5">
        <f>COUNTIFS(STATUS!$Q:$Q,B$1,STATUS!$D:$D,$A4)</f>
        <v>2</v>
      </c>
      <c r="C4" s="5">
        <f>COUNTIFS(STATUS!$Q:$Q,C$1,STATUS!$D:$D,$A4)</f>
        <v>2</v>
      </c>
      <c r="D4" s="5">
        <f>COUNTIFS(STATUS!$Q:$Q,D$1,STATUS!$D:$D,$A4)</f>
        <v>3</v>
      </c>
      <c r="E4" s="5">
        <f>COUNTIFS(STATUS!$Q:$Q,E$1,STATUS!$D:$D,$A4)</f>
        <v>4</v>
      </c>
      <c r="F4" s="5">
        <f>COUNTIFS(STATUS!$Q:$Q,F$1,STATUS!$D:$D,$A4)</f>
        <v>0</v>
      </c>
      <c r="G4" s="5">
        <f>COUNTIFS(STATUS!$Q:$Q,G$1,STATUS!$D:$D,$A4)</f>
        <v>0</v>
      </c>
      <c r="H4" s="5">
        <f>COUNTIFS(STATUS!$Q:$Q,H$1,STATUS!$D:$D,$A4)</f>
        <v>0</v>
      </c>
      <c r="I4" s="5">
        <f>COUNTIFS(STATUS!$Q:$Q,I$1,STATUS!$D:$D,$A4)</f>
        <v>0</v>
      </c>
      <c r="J4" s="5">
        <f t="shared" si="1"/>
        <v>11</v>
      </c>
    </row>
    <row r="5" spans="1:17" x14ac:dyDescent="0.35">
      <c r="A5" s="4">
        <v>43811</v>
      </c>
      <c r="B5" s="5">
        <f>COUNTIFS(STATUS!$Q:$Q,B$1,STATUS!$D:$D,$A5)</f>
        <v>4</v>
      </c>
      <c r="C5" s="5">
        <f>COUNTIFS(STATUS!$Q:$Q,C$1,STATUS!$D:$D,$A5)</f>
        <v>2</v>
      </c>
      <c r="D5" s="5">
        <f>COUNTIFS(STATUS!$Q:$Q,D$1,STATUS!$D:$D,$A5)</f>
        <v>5</v>
      </c>
      <c r="E5" s="5">
        <f>COUNTIFS(STATUS!$Q:$Q,E$1,STATUS!$D:$D,$A5)</f>
        <v>3</v>
      </c>
      <c r="F5" s="5">
        <f>COUNTIFS(STATUS!$Q:$Q,F$1,STATUS!$D:$D,$A5)</f>
        <v>0</v>
      </c>
      <c r="G5" s="5">
        <f>COUNTIFS(STATUS!$Q:$Q,G$1,STATUS!$D:$D,$A5)</f>
        <v>0</v>
      </c>
      <c r="H5" s="5">
        <f>COUNTIFS(STATUS!$Q:$Q,H$1,STATUS!$D:$D,$A5)</f>
        <v>0</v>
      </c>
      <c r="I5" s="5">
        <f>COUNTIFS(STATUS!$Q:$Q,I$1,STATUS!$D:$D,$A5)</f>
        <v>0</v>
      </c>
      <c r="J5" s="5">
        <f t="shared" si="1"/>
        <v>14</v>
      </c>
    </row>
    <row r="6" spans="1:17" x14ac:dyDescent="0.35">
      <c r="A6" s="4">
        <v>43812</v>
      </c>
      <c r="B6" s="5">
        <f>COUNTIFS(STATUS!$Q:$Q,B$1,STATUS!$D:$D,$A6)</f>
        <v>3</v>
      </c>
      <c r="C6" s="5">
        <f>COUNTIFS(STATUS!$Q:$Q,C$1,STATUS!$D:$D,$A6)</f>
        <v>1</v>
      </c>
      <c r="D6" s="5">
        <f>COUNTIFS(STATUS!$Q:$Q,D$1,STATUS!$D:$D,$A6)</f>
        <v>3</v>
      </c>
      <c r="E6" s="5">
        <f>COUNTIFS(STATUS!$Q:$Q,E$1,STATUS!$D:$D,$A6)</f>
        <v>3</v>
      </c>
      <c r="F6" s="5">
        <f>COUNTIFS(STATUS!$Q:$Q,F$1,STATUS!$D:$D,$A6)</f>
        <v>0</v>
      </c>
      <c r="G6" s="5">
        <f>COUNTIFS(STATUS!$Q:$Q,G$1,STATUS!$D:$D,$A6)</f>
        <v>0</v>
      </c>
      <c r="H6" s="5">
        <f>COUNTIFS(STATUS!$Q:$Q,H$1,STATUS!$D:$D,$A6)</f>
        <v>0</v>
      </c>
      <c r="I6" s="5">
        <f>COUNTIFS(STATUS!$Q:$Q,I$1,STATUS!$D:$D,$A6)</f>
        <v>0</v>
      </c>
      <c r="J6" s="5">
        <f t="shared" si="1"/>
        <v>10</v>
      </c>
    </row>
    <row r="7" spans="1:17" x14ac:dyDescent="0.35">
      <c r="A7" s="4">
        <v>43815</v>
      </c>
      <c r="B7" s="5">
        <f>COUNTIFS(STATUS!$Q:$Q,B$1,STATUS!$D:$D,$A7)</f>
        <v>3</v>
      </c>
      <c r="C7" s="5">
        <f>COUNTIFS(STATUS!$Q:$Q,C$1,STATUS!$D:$D,$A7)</f>
        <v>5</v>
      </c>
      <c r="D7" s="5">
        <f>COUNTIFS(STATUS!$Q:$Q,D$1,STATUS!$D:$D,$A7)</f>
        <v>4</v>
      </c>
      <c r="E7" s="5">
        <f>COUNTIFS(STATUS!$Q:$Q,E$1,STATUS!$D:$D,$A7)</f>
        <v>5</v>
      </c>
      <c r="F7" s="5">
        <f>COUNTIFS(STATUS!$Q:$Q,F$1,STATUS!$D:$D,$A7)</f>
        <v>3</v>
      </c>
      <c r="G7" s="5">
        <f>COUNTIFS(STATUS!$Q:$Q,G$1,STATUS!$D:$D,$A7)</f>
        <v>2</v>
      </c>
      <c r="H7" s="5">
        <f>COUNTIFS(STATUS!$Q:$Q,H$1,STATUS!$D:$D,$A7)</f>
        <v>0</v>
      </c>
      <c r="I7" s="5">
        <f>COUNTIFS(STATUS!$Q:$Q,I$1,STATUS!$D:$D,$A7)</f>
        <v>0</v>
      </c>
      <c r="J7" s="5">
        <f t="shared" si="1"/>
        <v>22</v>
      </c>
    </row>
    <row r="8" spans="1:17" x14ac:dyDescent="0.35">
      <c r="A8" s="4">
        <v>43816</v>
      </c>
      <c r="B8" s="5">
        <f>COUNTIFS(STATUS!$Q:$Q,B$1,STATUS!$D:$D,$A8)</f>
        <v>5</v>
      </c>
      <c r="C8" s="5">
        <f>COUNTIFS(STATUS!$Q:$Q,C$1,STATUS!$D:$D,$A8)</f>
        <v>0</v>
      </c>
      <c r="D8" s="5">
        <f>COUNTIFS(STATUS!$Q:$Q,D$1,STATUS!$D:$D,$A8)</f>
        <v>5</v>
      </c>
      <c r="E8" s="5">
        <f>COUNTIFS(STATUS!$Q:$Q,E$1,STATUS!$D:$D,$A8)</f>
        <v>4</v>
      </c>
      <c r="F8" s="5">
        <f>COUNTIFS(STATUS!$Q:$Q,F$1,STATUS!$D:$D,$A8)</f>
        <v>4</v>
      </c>
      <c r="G8" s="5">
        <f>COUNTIFS(STATUS!$Q:$Q,G$1,STATUS!$D:$D,$A8)</f>
        <v>4</v>
      </c>
      <c r="H8" s="5">
        <f>COUNTIFS(STATUS!$Q:$Q,H$1,STATUS!$D:$D,$A8)</f>
        <v>0</v>
      </c>
      <c r="I8" s="5">
        <f>COUNTIFS(STATUS!$Q:$Q,I$1,STATUS!$D:$D,$A8)</f>
        <v>0</v>
      </c>
      <c r="J8" s="5">
        <f t="shared" si="1"/>
        <v>22</v>
      </c>
    </row>
    <row r="9" spans="1:17" x14ac:dyDescent="0.35">
      <c r="A9" s="4">
        <v>43817</v>
      </c>
      <c r="B9" s="5">
        <f>COUNTIFS(STATUS!$Q:$Q,B$1,STATUS!$D:$D,$A9)</f>
        <v>4</v>
      </c>
      <c r="C9" s="5">
        <f>COUNTIFS(STATUS!$Q:$Q,C$1,STATUS!$D:$D,$A9)</f>
        <v>0</v>
      </c>
      <c r="D9" s="5">
        <f>COUNTIFS(STATUS!$Q:$Q,D$1,STATUS!$D:$D,$A9)</f>
        <v>3</v>
      </c>
      <c r="E9" s="5">
        <f>COUNTIFS(STATUS!$Q:$Q,E$1,STATUS!$D:$D,$A9)</f>
        <v>4</v>
      </c>
      <c r="F9" s="5">
        <f>COUNTIFS(STATUS!$Q:$Q,F$1,STATUS!$D:$D,$A9)</f>
        <v>2</v>
      </c>
      <c r="G9" s="5">
        <f>COUNTIFS(STATUS!$Q:$Q,G$1,STATUS!$D:$D,$A9)</f>
        <v>5</v>
      </c>
      <c r="H9" s="5">
        <f>COUNTIFS(STATUS!$Q:$Q,H$1,STATUS!$D:$D,$A9)</f>
        <v>0</v>
      </c>
      <c r="I9" s="5">
        <f>COUNTIFS(STATUS!$Q:$Q,I$1,STATUS!$D:$D,$A9)</f>
        <v>0</v>
      </c>
      <c r="J9" s="5">
        <f t="shared" si="1"/>
        <v>18</v>
      </c>
    </row>
    <row r="10" spans="1:17" x14ac:dyDescent="0.35">
      <c r="A10" s="4">
        <v>43818</v>
      </c>
      <c r="B10" s="5">
        <f>COUNTIFS(STATUS!$Q:$Q,B$1,STATUS!$D:$D,$A10)</f>
        <v>3</v>
      </c>
      <c r="C10" s="5">
        <f>COUNTIFS(STATUS!$Q:$Q,C$1,STATUS!$D:$D,$A10)</f>
        <v>0</v>
      </c>
      <c r="D10" s="5">
        <f>COUNTIFS(STATUS!$Q:$Q,D$1,STATUS!$D:$D,$A10)</f>
        <v>6</v>
      </c>
      <c r="E10" s="5">
        <f>COUNTIFS(STATUS!$Q:$Q,E$1,STATUS!$D:$D,$A10)</f>
        <v>3</v>
      </c>
      <c r="F10" s="5">
        <f>COUNTIFS(STATUS!$Q:$Q,F$1,STATUS!$D:$D,$A10)</f>
        <v>3</v>
      </c>
      <c r="G10" s="5">
        <f>COUNTIFS(STATUS!$Q:$Q,G$1,STATUS!$D:$D,$A10)</f>
        <v>6</v>
      </c>
      <c r="H10" s="5">
        <f>COUNTIFS(STATUS!$Q:$Q,H$1,STATUS!$D:$D,$A10)</f>
        <v>0</v>
      </c>
      <c r="I10" s="5">
        <f>COUNTIFS(STATUS!$Q:$Q,I$1,STATUS!$D:$D,$A10)</f>
        <v>0</v>
      </c>
      <c r="J10" s="5">
        <f t="shared" si="1"/>
        <v>21</v>
      </c>
    </row>
    <row r="11" spans="1:17" x14ac:dyDescent="0.35">
      <c r="A11" s="4">
        <v>43819</v>
      </c>
      <c r="B11" s="5">
        <f>COUNTIFS(STATUS!$Q:$Q,B$1,STATUS!$D:$D,$A11)</f>
        <v>3</v>
      </c>
      <c r="C11" s="5">
        <f>COUNTIFS(STATUS!$Q:$Q,C$1,STATUS!$D:$D,$A11)</f>
        <v>0</v>
      </c>
      <c r="D11" s="5">
        <f>COUNTIFS(STATUS!$Q:$Q,D$1,STATUS!$D:$D,$A11)</f>
        <v>2</v>
      </c>
      <c r="E11" s="5">
        <f>COUNTIFS(STATUS!$Q:$Q,E$1,STATUS!$D:$D,$A11)</f>
        <v>2</v>
      </c>
      <c r="F11" s="5">
        <f>COUNTIFS(STATUS!$Q:$Q,F$1,STATUS!$D:$D,$A11)</f>
        <v>3</v>
      </c>
      <c r="G11" s="5">
        <f>COUNTIFS(STATUS!$Q:$Q,G$1,STATUS!$D:$D,$A11)</f>
        <v>3</v>
      </c>
      <c r="H11" s="5">
        <f>COUNTIFS(STATUS!$Q:$Q,H$1,STATUS!$D:$D,$A11)</f>
        <v>0</v>
      </c>
      <c r="I11" s="5">
        <f>COUNTIFS(STATUS!$Q:$Q,I$1,STATUS!$D:$D,$A11)</f>
        <v>0</v>
      </c>
      <c r="J11" s="5">
        <f t="shared" si="1"/>
        <v>13</v>
      </c>
    </row>
    <row r="12" spans="1:17" x14ac:dyDescent="0.35">
      <c r="A12" s="4">
        <v>43822</v>
      </c>
      <c r="B12" s="5">
        <f>COUNTIFS(STATUS!$Q:$Q,B$1,STATUS!$D:$D,$A12)</f>
        <v>3</v>
      </c>
      <c r="C12" s="5">
        <f>COUNTIFS(STATUS!$Q:$Q,C$1,STATUS!$D:$D,$A12)</f>
        <v>0</v>
      </c>
      <c r="D12" s="5">
        <f>COUNTIFS(STATUS!$Q:$Q,D$1,STATUS!$D:$D,$A12)</f>
        <v>3</v>
      </c>
      <c r="E12" s="5">
        <f>COUNTIFS(STATUS!$Q:$Q,E$1,STATUS!$D:$D,$A12)</f>
        <v>3</v>
      </c>
      <c r="F12" s="5">
        <f>COUNTIFS(STATUS!$Q:$Q,F$1,STATUS!$D:$D,$A12)</f>
        <v>3</v>
      </c>
      <c r="G12" s="5">
        <f>COUNTIFS(STATUS!$Q:$Q,G$1,STATUS!$D:$D,$A12)</f>
        <v>1</v>
      </c>
      <c r="H12" s="5">
        <f>COUNTIFS(STATUS!$Q:$Q,H$1,STATUS!$D:$D,$A12)</f>
        <v>0</v>
      </c>
      <c r="I12" s="5">
        <f>COUNTIFS(STATUS!$Q:$Q,I$1,STATUS!$D:$D,$A12)</f>
        <v>0</v>
      </c>
      <c r="J12" s="5">
        <f t="shared" si="1"/>
        <v>13</v>
      </c>
    </row>
    <row r="13" spans="1:17" x14ac:dyDescent="0.35">
      <c r="A13" s="4">
        <v>43823</v>
      </c>
      <c r="B13" s="5">
        <f>COUNTIFS(STATUS!$Q:$Q,B$1,STATUS!$D:$D,$A13)</f>
        <v>7</v>
      </c>
      <c r="C13" s="5">
        <f>COUNTIFS(STATUS!$Q:$Q,C$1,STATUS!$D:$D,$A13)</f>
        <v>5</v>
      </c>
      <c r="D13" s="5">
        <f>COUNTIFS(STATUS!$Q:$Q,D$1,STATUS!$D:$D,$A13)</f>
        <v>5</v>
      </c>
      <c r="E13" s="5">
        <f>COUNTIFS(STATUS!$Q:$Q,E$1,STATUS!$D:$D,$A13)</f>
        <v>7</v>
      </c>
      <c r="F13" s="5">
        <f>COUNTIFS(STATUS!$Q:$Q,F$1,STATUS!$D:$D,$A13)</f>
        <v>3</v>
      </c>
      <c r="G13" s="5">
        <f>COUNTIFS(STATUS!$Q:$Q,G$1,STATUS!$D:$D,$A13)</f>
        <v>4</v>
      </c>
      <c r="H13" s="5">
        <f>COUNTIFS(STATUS!$Q:$Q,H$1,STATUS!$D:$D,$A13)</f>
        <v>0</v>
      </c>
      <c r="I13" s="5">
        <f>COUNTIFS(STATUS!$Q:$Q,I$1,STATUS!$D:$D,$A13)</f>
        <v>0</v>
      </c>
      <c r="J13" s="5">
        <f t="shared" si="1"/>
        <v>31</v>
      </c>
    </row>
    <row r="14" spans="1:17" x14ac:dyDescent="0.35">
      <c r="A14" s="4">
        <v>43824</v>
      </c>
      <c r="B14" s="5">
        <f>COUNTIFS(STATUS!$Q:$Q,B$1,STATUS!$D:$D,$A14)</f>
        <v>5</v>
      </c>
      <c r="C14" s="5">
        <f>COUNTIFS(STATUS!$Q:$Q,C$1,STATUS!$D:$D,$A14)</f>
        <v>4</v>
      </c>
      <c r="D14" s="5">
        <f>COUNTIFS(STATUS!$Q:$Q,D$1,STATUS!$D:$D,$A14)</f>
        <v>5</v>
      </c>
      <c r="E14" s="5">
        <f>COUNTIFS(STATUS!$Q:$Q,E$1,STATUS!$D:$D,$A14)</f>
        <v>3</v>
      </c>
      <c r="F14" s="5">
        <f>COUNTIFS(STATUS!$Q:$Q,F$1,STATUS!$D:$D,$A14)</f>
        <v>4</v>
      </c>
      <c r="G14" s="5">
        <f>COUNTIFS(STATUS!$Q:$Q,G$1,STATUS!$D:$D,$A14)</f>
        <v>3</v>
      </c>
      <c r="H14" s="5">
        <f>COUNTIFS(STATUS!$Q:$Q,H$1,STATUS!$D:$D,$A14)</f>
        <v>0</v>
      </c>
      <c r="I14" s="5">
        <f>COUNTIFS(STATUS!$Q:$Q,I$1,STATUS!$D:$D,$A14)</f>
        <v>0</v>
      </c>
      <c r="J14" s="5">
        <f t="shared" si="1"/>
        <v>24</v>
      </c>
    </row>
    <row r="15" spans="1:17" x14ac:dyDescent="0.35">
      <c r="A15" s="4">
        <v>43825</v>
      </c>
      <c r="B15" s="5">
        <f>COUNTIFS(STATUS!$Q:$Q,B$1,STATUS!$D:$D,$A15)</f>
        <v>4</v>
      </c>
      <c r="C15" s="5">
        <f>COUNTIFS(STATUS!$Q:$Q,C$1,STATUS!$D:$D,$A15)</f>
        <v>4</v>
      </c>
      <c r="D15" s="5">
        <f>COUNTIFS(STATUS!$Q:$Q,D$1,STATUS!$D:$D,$A15)</f>
        <v>6</v>
      </c>
      <c r="E15" s="5">
        <f>COUNTIFS(STATUS!$Q:$Q,E$1,STATUS!$D:$D,$A15)</f>
        <v>6</v>
      </c>
      <c r="F15" s="5">
        <f>COUNTIFS(STATUS!$Q:$Q,F$1,STATUS!$D:$D,$A15)</f>
        <v>4</v>
      </c>
      <c r="G15" s="5">
        <f>COUNTIFS(STATUS!$Q:$Q,G$1,STATUS!$D:$D,$A15)</f>
        <v>4</v>
      </c>
      <c r="H15" s="5">
        <f>COUNTIFS(STATUS!$Q:$Q,H$1,STATUS!$D:$D,$A15)</f>
        <v>0</v>
      </c>
      <c r="I15" s="5">
        <f>COUNTIFS(STATUS!$Q:$Q,I$1,STATUS!$D:$D,$A15)</f>
        <v>0</v>
      </c>
      <c r="J15" s="5">
        <f t="shared" si="1"/>
        <v>28</v>
      </c>
    </row>
    <row r="16" spans="1:17" x14ac:dyDescent="0.35">
      <c r="A16" s="4">
        <v>43826</v>
      </c>
      <c r="B16" s="5">
        <f>COUNTIFS(STATUS!$Q:$Q,B$1,STATUS!$D:$D,$A16)</f>
        <v>4</v>
      </c>
      <c r="C16" s="5">
        <f>COUNTIFS(STATUS!$Q:$Q,C$1,STATUS!$D:$D,$A16)</f>
        <v>3</v>
      </c>
      <c r="D16" s="5">
        <f>COUNTIFS(STATUS!$Q:$Q,D$1,STATUS!$D:$D,$A16)</f>
        <v>3</v>
      </c>
      <c r="E16" s="5">
        <f>COUNTIFS(STATUS!$Q:$Q,E$1,STATUS!$D:$D,$A16)</f>
        <v>1</v>
      </c>
      <c r="F16" s="5">
        <f>COUNTIFS(STATUS!$Q:$Q,F$1,STATUS!$D:$D,$A16)</f>
        <v>4</v>
      </c>
      <c r="G16" s="5">
        <f>COUNTIFS(STATUS!$Q:$Q,G$1,STATUS!$D:$D,$A16)</f>
        <v>2</v>
      </c>
      <c r="H16" s="5">
        <f>COUNTIFS(STATUS!$Q:$Q,H$1,STATUS!$D:$D,$A16)</f>
        <v>0</v>
      </c>
      <c r="I16" s="5">
        <f>COUNTIFS(STATUS!$Q:$Q,I$1,STATUS!$D:$D,$A16)</f>
        <v>0</v>
      </c>
      <c r="J16" s="5">
        <f t="shared" si="1"/>
        <v>17</v>
      </c>
    </row>
    <row r="17" spans="1:10" x14ac:dyDescent="0.35">
      <c r="A17" s="4">
        <v>43829</v>
      </c>
      <c r="B17" s="5">
        <f>COUNTIFS(STATUS!$Q:$Q,B$1,STATUS!$D:$D,$A17)</f>
        <v>4</v>
      </c>
      <c r="C17" s="5">
        <f>COUNTIFS(STATUS!$Q:$Q,C$1,STATUS!$D:$D,$A17)</f>
        <v>5</v>
      </c>
      <c r="D17" s="5">
        <f>COUNTIFS(STATUS!$Q:$Q,D$1,STATUS!$D:$D,$A17)</f>
        <v>6</v>
      </c>
      <c r="E17" s="5">
        <f>COUNTIFS(STATUS!$Q:$Q,E$1,STATUS!$D:$D,$A17)</f>
        <v>2</v>
      </c>
      <c r="F17" s="5">
        <f>COUNTIFS(STATUS!$Q:$Q,F$1,STATUS!$D:$D,$A17)</f>
        <v>2</v>
      </c>
      <c r="G17" s="5">
        <f>COUNTIFS(STATUS!$Q:$Q,G$1,STATUS!$D:$D,$A17)</f>
        <v>2</v>
      </c>
      <c r="H17" s="5">
        <f>COUNTIFS(STATUS!$Q:$Q,H$1,STATUS!$D:$D,$A17)</f>
        <v>0</v>
      </c>
      <c r="I17" s="5">
        <f>COUNTIFS(STATUS!$Q:$Q,I$1,STATUS!$D:$D,$A17)</f>
        <v>0</v>
      </c>
      <c r="J17" s="5">
        <f t="shared" si="1"/>
        <v>21</v>
      </c>
    </row>
    <row r="18" spans="1:10" x14ac:dyDescent="0.35">
      <c r="A18" s="4">
        <v>43830</v>
      </c>
      <c r="B18" s="5">
        <f>COUNTIFS(STATUS!$Q:$Q,B$1,STATUS!$D:$D,$A18)</f>
        <v>4</v>
      </c>
      <c r="C18" s="5">
        <f>COUNTIFS(STATUS!$Q:$Q,C$1,STATUS!$D:$D,$A18)</f>
        <v>7</v>
      </c>
      <c r="D18" s="5">
        <f>COUNTIFS(STATUS!$Q:$Q,D$1,STATUS!$D:$D,$A18)</f>
        <v>7</v>
      </c>
      <c r="E18" s="5">
        <f>COUNTIFS(STATUS!$Q:$Q,E$1,STATUS!$D:$D,$A18)</f>
        <v>6</v>
      </c>
      <c r="F18" s="5">
        <f>COUNTIFS(STATUS!$Q:$Q,F$1,STATUS!$D:$D,$A18)</f>
        <v>5</v>
      </c>
      <c r="G18" s="5">
        <f>COUNTIFS(STATUS!$Q:$Q,G$1,STATUS!$D:$D,$A18)</f>
        <v>3</v>
      </c>
      <c r="H18" s="5">
        <f>COUNTIFS(STATUS!$Q:$Q,H$1,STATUS!$D:$D,$A18)</f>
        <v>0</v>
      </c>
      <c r="I18" s="5">
        <f>COUNTIFS(STATUS!$Q:$Q,I$1,STATUS!$D:$D,$A18)</f>
        <v>0</v>
      </c>
      <c r="J18" s="5">
        <f t="shared" si="1"/>
        <v>32</v>
      </c>
    </row>
    <row r="19" spans="1:10" x14ac:dyDescent="0.35">
      <c r="A19" s="351">
        <v>43839</v>
      </c>
      <c r="B19" s="5">
        <f>COUNTIFS(STATUS!$Q:$Q,B$1,STATUS!$D:$D,$A19)</f>
        <v>5</v>
      </c>
      <c r="C19" s="5">
        <f>COUNTIFS(STATUS!$Q:$Q,C$1,STATUS!$D:$D,$A19)</f>
        <v>5</v>
      </c>
      <c r="D19" s="5">
        <f>COUNTIFS(STATUS!$Q:$Q,D$1,STATUS!$D:$D,$A19)</f>
        <v>6</v>
      </c>
      <c r="E19" s="5">
        <f>COUNTIFS(STATUS!$Q:$Q,E$1,STATUS!$D:$D,$A19)</f>
        <v>4</v>
      </c>
      <c r="F19" s="5">
        <f>COUNTIFS(STATUS!$Q:$Q,F$1,STATUS!$D:$D,$A19)</f>
        <v>4</v>
      </c>
      <c r="G19" s="5">
        <f>COUNTIFS(STATUS!$Q:$Q,G$1,STATUS!$D:$D,$A19)</f>
        <v>1</v>
      </c>
      <c r="H19" s="5">
        <f>COUNTIFS(STATUS!$Q:$Q,H$1,STATUS!$D:$D,$A19)</f>
        <v>0</v>
      </c>
      <c r="I19" s="5">
        <f>COUNTIFS(STATUS!$Q:$Q,I$1,STATUS!$D:$D,$A19)</f>
        <v>0</v>
      </c>
      <c r="J19" s="5">
        <f t="shared" si="1"/>
        <v>25</v>
      </c>
    </row>
    <row r="20" spans="1:10" x14ac:dyDescent="0.35">
      <c r="A20" s="4">
        <v>43840</v>
      </c>
      <c r="B20" s="5">
        <f>COUNTIFS(STATUS!$Q:$Q,B$1,STATUS!$D:$D,$A20)</f>
        <v>4</v>
      </c>
      <c r="C20" s="5">
        <f>COUNTIFS(STATUS!$Q:$Q,C$1,STATUS!$D:$D,$A20)</f>
        <v>4</v>
      </c>
      <c r="D20" s="5">
        <f>COUNTIFS(STATUS!$Q:$Q,D$1,STATUS!$D:$D,$A20)</f>
        <v>5</v>
      </c>
      <c r="E20" s="5">
        <f>COUNTIFS(STATUS!$Q:$Q,E$1,STATUS!$D:$D,$A20)</f>
        <v>5</v>
      </c>
      <c r="F20" s="5">
        <f>COUNTIFS(STATUS!$Q:$Q,F$1,STATUS!$D:$D,$A20)</f>
        <v>3</v>
      </c>
      <c r="G20" s="5">
        <f>COUNTIFS(STATUS!$Q:$Q,G$1,STATUS!$D:$D,$A20)</f>
        <v>2</v>
      </c>
      <c r="H20" s="5">
        <f>COUNTIFS(STATUS!$Q:$Q,H$1,STATUS!$D:$D,$A20)</f>
        <v>0</v>
      </c>
      <c r="I20" s="5">
        <f>COUNTIFS(STATUS!$Q:$Q,I$1,STATUS!$D:$D,$A20)</f>
        <v>0</v>
      </c>
      <c r="J20" s="5">
        <f t="shared" si="1"/>
        <v>23</v>
      </c>
    </row>
    <row r="21" spans="1:10" x14ac:dyDescent="0.35">
      <c r="A21" s="4">
        <v>43843</v>
      </c>
      <c r="B21" s="5">
        <f>COUNTIFS(STATUS!$Q:$Q,B$1,STATUS!$D:$D,$A21)</f>
        <v>3</v>
      </c>
      <c r="C21" s="5">
        <f>COUNTIFS(STATUS!$Q:$Q,C$1,STATUS!$D:$D,$A21)</f>
        <v>2</v>
      </c>
      <c r="D21" s="5">
        <f>COUNTIFS(STATUS!$Q:$Q,D$1,STATUS!$D:$D,$A21)</f>
        <v>4</v>
      </c>
      <c r="E21" s="5">
        <f>COUNTIFS(STATUS!$Q:$Q,E$1,STATUS!$D:$D,$A21)</f>
        <v>4</v>
      </c>
      <c r="F21" s="5">
        <f>COUNTIFS(STATUS!$Q:$Q,F$1,STATUS!$D:$D,$A21)</f>
        <v>0</v>
      </c>
      <c r="G21" s="5">
        <f>COUNTIFS(STATUS!$Q:$Q,G$1,STATUS!$D:$D,$A21)</f>
        <v>2</v>
      </c>
      <c r="H21" s="5">
        <f>COUNTIFS(STATUS!$Q:$Q,H$1,STATUS!$D:$D,$A21)</f>
        <v>0</v>
      </c>
      <c r="I21" s="5">
        <f>COUNTIFS(STATUS!$Q:$Q,I$1,STATUS!$D:$D,$A21)</f>
        <v>0</v>
      </c>
      <c r="J21" s="5">
        <f t="shared" si="1"/>
        <v>15</v>
      </c>
    </row>
    <row r="22" spans="1:10" x14ac:dyDescent="0.35">
      <c r="A22" s="4">
        <v>43844</v>
      </c>
      <c r="B22" s="5">
        <f>COUNTIFS(STATUS!$Q:$Q,B$1,STATUS!$D:$D,$A22)</f>
        <v>3</v>
      </c>
      <c r="C22" s="5">
        <f>COUNTIFS(STATUS!$Q:$Q,C$1,STATUS!$D:$D,$A22)</f>
        <v>3</v>
      </c>
      <c r="D22" s="5">
        <f>COUNTIFS(STATUS!$Q:$Q,D$1,STATUS!$D:$D,$A22)</f>
        <v>2</v>
      </c>
      <c r="E22" s="5">
        <f>COUNTIFS(STATUS!$Q:$Q,E$1,STATUS!$D:$D,$A22)</f>
        <v>3</v>
      </c>
      <c r="F22" s="5">
        <f>COUNTIFS(STATUS!$Q:$Q,F$1,STATUS!$D:$D,$A22)</f>
        <v>0</v>
      </c>
      <c r="G22" s="5">
        <f>COUNTIFS(STATUS!$Q:$Q,G$1,STATUS!$D:$D,$A22)</f>
        <v>3</v>
      </c>
      <c r="H22" s="5">
        <f>COUNTIFS(STATUS!$Q:$Q,H$1,STATUS!$D:$D,$A22)</f>
        <v>0</v>
      </c>
      <c r="I22" s="5">
        <f>COUNTIFS(STATUS!$Q:$Q,I$1,STATUS!$D:$D,$A22)</f>
        <v>0</v>
      </c>
      <c r="J22" s="5">
        <f t="shared" si="1"/>
        <v>14</v>
      </c>
    </row>
    <row r="23" spans="1:10" x14ac:dyDescent="0.35">
      <c r="A23" s="4">
        <v>43845</v>
      </c>
      <c r="B23" s="5">
        <f>COUNTIFS(STATUS!$Q:$Q,B$1,STATUS!$D:$D,$A23)</f>
        <v>5</v>
      </c>
      <c r="C23" s="5">
        <f>COUNTIFS(STATUS!$Q:$Q,C$1,STATUS!$D:$D,$A23)</f>
        <v>6</v>
      </c>
      <c r="D23" s="5">
        <f>COUNTIFS(STATUS!$Q:$Q,D$1,STATUS!$D:$D,$A23)</f>
        <v>8</v>
      </c>
      <c r="E23" s="5">
        <f>COUNTIFS(STATUS!$Q:$Q,E$1,STATUS!$D:$D,$A23)</f>
        <v>3</v>
      </c>
      <c r="F23" s="5">
        <f>COUNTIFS(STATUS!$Q:$Q,F$1,STATUS!$D:$D,$A23)</f>
        <v>0</v>
      </c>
      <c r="G23" s="5">
        <f>COUNTIFS(STATUS!$Q:$Q,G$1,STATUS!$D:$D,$A23)</f>
        <v>4</v>
      </c>
      <c r="H23" s="5">
        <f>COUNTIFS(STATUS!$Q:$Q,H$1,STATUS!$D:$D,$A23)</f>
        <v>0</v>
      </c>
      <c r="I23" s="5">
        <f>COUNTIFS(STATUS!$Q:$Q,I$1,STATUS!$D:$D,$A23)</f>
        <v>0</v>
      </c>
      <c r="J23" s="5">
        <f t="shared" si="1"/>
        <v>26</v>
      </c>
    </row>
    <row r="24" spans="1:10" x14ac:dyDescent="0.35">
      <c r="A24" s="4">
        <v>43846</v>
      </c>
      <c r="B24" s="5">
        <f>COUNTIFS(STATUS!$Q:$Q,B$1,STATUS!$D:$D,$A24)</f>
        <v>4</v>
      </c>
      <c r="C24" s="5">
        <f>COUNTIFS(STATUS!$Q:$Q,C$1,STATUS!$D:$D,$A24)</f>
        <v>5</v>
      </c>
      <c r="D24" s="5">
        <f>COUNTIFS(STATUS!$Q:$Q,D$1,STATUS!$D:$D,$A24)</f>
        <v>3</v>
      </c>
      <c r="E24" s="5">
        <f>COUNTIFS(STATUS!$Q:$Q,E$1,STATUS!$D:$D,$A24)</f>
        <v>7</v>
      </c>
      <c r="F24" s="5">
        <f>COUNTIFS(STATUS!$Q:$Q,F$1,STATUS!$D:$D,$A24)</f>
        <v>0</v>
      </c>
      <c r="G24" s="5">
        <f>COUNTIFS(STATUS!$Q:$Q,G$1,STATUS!$D:$D,$A24)</f>
        <v>3</v>
      </c>
      <c r="H24" s="5">
        <f>COUNTIFS(STATUS!$Q:$Q,H$1,STATUS!$D:$D,$A24)</f>
        <v>0</v>
      </c>
      <c r="I24" s="5">
        <f>COUNTIFS(STATUS!$Q:$Q,I$1,STATUS!$D:$D,$A24)</f>
        <v>0</v>
      </c>
      <c r="J24" s="5">
        <f t="shared" si="1"/>
        <v>22</v>
      </c>
    </row>
    <row r="25" spans="1:10" x14ac:dyDescent="0.35">
      <c r="A25" s="4">
        <v>43847</v>
      </c>
      <c r="B25" s="5">
        <f>COUNTIFS(STATUS!$Q:$Q,B$1,STATUS!$D:$D,$A25)</f>
        <v>6</v>
      </c>
      <c r="C25" s="5">
        <f>COUNTIFS(STATUS!$Q:$Q,C$1,STATUS!$D:$D,$A25)</f>
        <v>4</v>
      </c>
      <c r="D25" s="5">
        <f>COUNTIFS(STATUS!$Q:$Q,D$1,STATUS!$D:$D,$A25)</f>
        <v>5</v>
      </c>
      <c r="E25" s="5">
        <f>COUNTIFS(STATUS!$Q:$Q,E$1,STATUS!$D:$D,$A25)</f>
        <v>4</v>
      </c>
      <c r="F25" s="5">
        <f>COUNTIFS(STATUS!$Q:$Q,F$1,STATUS!$D:$D,$A25)</f>
        <v>0</v>
      </c>
      <c r="G25" s="5">
        <f>COUNTIFS(STATUS!$Q:$Q,G$1,STATUS!$D:$D,$A25)</f>
        <v>3</v>
      </c>
      <c r="H25" s="5">
        <f>COUNTIFS(STATUS!$Q:$Q,H$1,STATUS!$D:$D,$A25)</f>
        <v>0</v>
      </c>
      <c r="I25" s="5">
        <f>COUNTIFS(STATUS!$Q:$Q,I$1,STATUS!$D:$D,$A25)</f>
        <v>0</v>
      </c>
      <c r="J25" s="5">
        <f t="shared" si="1"/>
        <v>22</v>
      </c>
    </row>
    <row r="26" spans="1:10" x14ac:dyDescent="0.35">
      <c r="A26" s="4">
        <v>43850</v>
      </c>
      <c r="B26" s="5">
        <f>COUNTIFS(STATUS!$Q:$Q,B$1,STATUS!$D:$D,$A26)</f>
        <v>4</v>
      </c>
      <c r="C26" s="5">
        <f>COUNTIFS(STATUS!$Q:$Q,C$1,STATUS!$D:$D,$A26)</f>
        <v>2</v>
      </c>
      <c r="D26" s="5">
        <f>COUNTIFS(STATUS!$Q:$Q,D$1,STATUS!$D:$D,$A26)</f>
        <v>3</v>
      </c>
      <c r="E26" s="5">
        <f>COUNTIFS(STATUS!$Q:$Q,E$1,STATUS!$D:$D,$A26)</f>
        <v>4</v>
      </c>
      <c r="F26" s="5">
        <f>COUNTIFS(STATUS!$Q:$Q,F$1,STATUS!$D:$D,$A26)</f>
        <v>0</v>
      </c>
      <c r="G26" s="5">
        <f>COUNTIFS(STATUS!$Q:$Q,G$1,STATUS!$D:$D,$A26)</f>
        <v>3</v>
      </c>
      <c r="H26" s="5">
        <f>COUNTIFS(STATUS!$Q:$Q,H$1,STATUS!$D:$D,$A26)</f>
        <v>0</v>
      </c>
      <c r="I26" s="5">
        <f>COUNTIFS(STATUS!$Q:$Q,I$1,STATUS!$D:$D,$A26)</f>
        <v>0</v>
      </c>
      <c r="J26" s="5">
        <f t="shared" si="1"/>
        <v>16</v>
      </c>
    </row>
    <row r="27" spans="1:10" x14ac:dyDescent="0.35">
      <c r="A27" s="4">
        <v>43851</v>
      </c>
      <c r="B27" s="5">
        <f>COUNTIFS(STATUS!$Q:$Q,B$1,STATUS!$D:$D,$A27)</f>
        <v>2</v>
      </c>
      <c r="C27" s="5">
        <f>COUNTIFS(STATUS!$Q:$Q,C$1,STATUS!$D:$D,$A27)</f>
        <v>5</v>
      </c>
      <c r="D27" s="5">
        <f>COUNTIFS(STATUS!$Q:$Q,D$1,STATUS!$D:$D,$A27)</f>
        <v>3</v>
      </c>
      <c r="E27" s="5">
        <f>COUNTIFS(STATUS!$Q:$Q,E$1,STATUS!$D:$D,$A27)</f>
        <v>5</v>
      </c>
      <c r="F27" s="5">
        <f>COUNTIFS(STATUS!$Q:$Q,F$1,STATUS!$D:$D,$A27)</f>
        <v>0</v>
      </c>
      <c r="G27" s="5">
        <f>COUNTIFS(STATUS!$Q:$Q,G$1,STATUS!$D:$D,$A27)</f>
        <v>4</v>
      </c>
      <c r="H27" s="5">
        <f>COUNTIFS(STATUS!$Q:$Q,H$1,STATUS!$D:$D,$A27)</f>
        <v>0</v>
      </c>
      <c r="I27" s="5">
        <f>COUNTIFS(STATUS!$Q:$Q,I$1,STATUS!$D:$D,$A27)</f>
        <v>0</v>
      </c>
      <c r="J27" s="5">
        <f t="shared" si="1"/>
        <v>19</v>
      </c>
    </row>
    <row r="28" spans="1:10" x14ac:dyDescent="0.35">
      <c r="A28" s="4">
        <v>43852</v>
      </c>
      <c r="B28" s="5">
        <f>COUNTIFS(STATUS!$Q:$Q,B$1,STATUS!$D:$D,$A28)</f>
        <v>4</v>
      </c>
      <c r="C28" s="5">
        <f>COUNTIFS(STATUS!$Q:$Q,C$1,STATUS!$D:$D,$A28)</f>
        <v>6</v>
      </c>
      <c r="D28" s="5">
        <f>COUNTIFS(STATUS!$Q:$Q,D$1,STATUS!$D:$D,$A28)</f>
        <v>5</v>
      </c>
      <c r="E28" s="5">
        <f>COUNTIFS(STATUS!$Q:$Q,E$1,STATUS!$D:$D,$A28)</f>
        <v>6</v>
      </c>
      <c r="F28" s="5">
        <f>COUNTIFS(STATUS!$Q:$Q,F$1,STATUS!$D:$D,$A28)</f>
        <v>0</v>
      </c>
      <c r="G28" s="5">
        <f>COUNTIFS(STATUS!$Q:$Q,G$1,STATUS!$D:$D,$A28)</f>
        <v>2</v>
      </c>
      <c r="H28" s="5">
        <f>COUNTIFS(STATUS!$Q:$Q,H$1,STATUS!$D:$D,$A28)</f>
        <v>0</v>
      </c>
      <c r="I28" s="5">
        <f>COUNTIFS(STATUS!$Q:$Q,I$1,STATUS!$D:$D,$A28)</f>
        <v>0</v>
      </c>
      <c r="J28" s="5">
        <f t="shared" si="1"/>
        <v>23</v>
      </c>
    </row>
    <row r="29" spans="1:10" x14ac:dyDescent="0.35">
      <c r="A29" s="4">
        <v>43853</v>
      </c>
      <c r="B29" s="5">
        <f>COUNTIFS(STATUS!$Q:$Q,B$1,STATUS!$D:$D,$A29)</f>
        <v>3</v>
      </c>
      <c r="C29" s="5">
        <f>COUNTIFS(STATUS!$Q:$Q,C$1,STATUS!$D:$D,$A29)</f>
        <v>4</v>
      </c>
      <c r="D29" s="5">
        <f>COUNTIFS(STATUS!$Q:$Q,D$1,STATUS!$D:$D,$A29)</f>
        <v>2</v>
      </c>
      <c r="E29" s="5">
        <f>COUNTIFS(STATUS!$Q:$Q,E$1,STATUS!$D:$D,$A29)</f>
        <v>3</v>
      </c>
      <c r="F29" s="5">
        <f>COUNTIFS(STATUS!$Q:$Q,F$1,STATUS!$D:$D,$A29)</f>
        <v>0</v>
      </c>
      <c r="G29" s="5">
        <f>COUNTIFS(STATUS!$Q:$Q,G$1,STATUS!$D:$D,$A29)</f>
        <v>4</v>
      </c>
      <c r="H29" s="5">
        <f>COUNTIFS(STATUS!$Q:$Q,H$1,STATUS!$D:$D,$A29)</f>
        <v>0</v>
      </c>
      <c r="I29" s="5">
        <f>COUNTIFS(STATUS!$Q:$Q,I$1,STATUS!$D:$D,$A29)</f>
        <v>0</v>
      </c>
      <c r="J29" s="5">
        <f t="shared" si="1"/>
        <v>16</v>
      </c>
    </row>
    <row r="30" spans="1:10" x14ac:dyDescent="0.35">
      <c r="A30" s="4">
        <v>43854</v>
      </c>
      <c r="B30" s="5">
        <f>COUNTIFS(STATUS!$Q:$Q,B$1,STATUS!$D:$D,$A30)</f>
        <v>2</v>
      </c>
      <c r="C30" s="5">
        <f>COUNTIFS(STATUS!$Q:$Q,C$1,STATUS!$D:$D,$A30)</f>
        <v>4</v>
      </c>
      <c r="D30" s="5">
        <f>COUNTIFS(STATUS!$Q:$Q,D$1,STATUS!$D:$D,$A30)</f>
        <v>3</v>
      </c>
      <c r="E30" s="5">
        <f>COUNTIFS(STATUS!$Q:$Q,E$1,STATUS!$D:$D,$A30)</f>
        <v>2</v>
      </c>
      <c r="F30" s="5">
        <f>COUNTIFS(STATUS!$Q:$Q,F$1,STATUS!$D:$D,$A30)</f>
        <v>0</v>
      </c>
      <c r="G30" s="5">
        <f>COUNTIFS(STATUS!$Q:$Q,G$1,STATUS!$D:$D,$A30)</f>
        <v>3</v>
      </c>
      <c r="H30" s="5">
        <f>COUNTIFS(STATUS!$Q:$Q,H$1,STATUS!$D:$D,$A30)</f>
        <v>0</v>
      </c>
      <c r="I30" s="5">
        <f>COUNTIFS(STATUS!$Q:$Q,I$1,STATUS!$D:$D,$A30)</f>
        <v>0</v>
      </c>
      <c r="J30" s="5">
        <f t="shared" si="1"/>
        <v>14</v>
      </c>
    </row>
    <row r="31" spans="1:10" x14ac:dyDescent="0.35">
      <c r="A31" s="4">
        <v>43857</v>
      </c>
      <c r="B31" s="5">
        <f>COUNTIFS(STATUS!$Q:$Q,B$1,STATUS!$D:$D,$A31)</f>
        <v>4</v>
      </c>
      <c r="C31" s="5">
        <f>COUNTIFS(STATUS!$Q:$Q,C$1,STATUS!$D:$D,$A31)</f>
        <v>3</v>
      </c>
      <c r="D31" s="5">
        <f>COUNTIFS(STATUS!$Q:$Q,D$1,STATUS!$D:$D,$A31)</f>
        <v>5</v>
      </c>
      <c r="E31" s="5">
        <f>COUNTIFS(STATUS!$Q:$Q,E$1,STATUS!$D:$D,$A31)</f>
        <v>2</v>
      </c>
      <c r="F31" s="5">
        <f>COUNTIFS(STATUS!$Q:$Q,F$1,STATUS!$D:$D,$A31)</f>
        <v>0</v>
      </c>
      <c r="G31" s="5">
        <f>COUNTIFS(STATUS!$Q:$Q,G$1,STATUS!$D:$D,$A31)</f>
        <v>4</v>
      </c>
      <c r="H31" s="5">
        <f>COUNTIFS(STATUS!$Q:$Q,H$1,STATUS!$D:$D,$A31)</f>
        <v>0</v>
      </c>
      <c r="I31" s="5">
        <f>COUNTIFS(STATUS!$Q:$Q,I$1,STATUS!$D:$D,$A31)</f>
        <v>0</v>
      </c>
      <c r="J31" s="5">
        <f t="shared" si="1"/>
        <v>18</v>
      </c>
    </row>
    <row r="32" spans="1:10" x14ac:dyDescent="0.35">
      <c r="A32" s="4">
        <v>43858</v>
      </c>
      <c r="B32" s="5">
        <f>COUNTIFS(STATUS!$Q:$Q,B$1,STATUS!$D:$D,$A32)</f>
        <v>5</v>
      </c>
      <c r="C32" s="5">
        <f>COUNTIFS(STATUS!$Q:$Q,C$1,STATUS!$D:$D,$A32)</f>
        <v>4</v>
      </c>
      <c r="D32" s="5">
        <f>COUNTIFS(STATUS!$Q:$Q,D$1,STATUS!$D:$D,$A32)</f>
        <v>4</v>
      </c>
      <c r="E32" s="5">
        <f>COUNTIFS(STATUS!$Q:$Q,E$1,STATUS!$D:$D,$A32)</f>
        <v>4</v>
      </c>
      <c r="F32" s="5">
        <f>COUNTIFS(STATUS!$Q:$Q,F$1,STATUS!$D:$D,$A32)</f>
        <v>0</v>
      </c>
      <c r="G32" s="5">
        <f>COUNTIFS(STATUS!$Q:$Q,G$1,STATUS!$D:$D,$A32)</f>
        <v>4</v>
      </c>
      <c r="H32" s="5">
        <f>COUNTIFS(STATUS!$Q:$Q,H$1,STATUS!$D:$D,$A32)</f>
        <v>0</v>
      </c>
      <c r="I32" s="5">
        <f>COUNTIFS(STATUS!$Q:$Q,I$1,STATUS!$D:$D,$A32)</f>
        <v>0</v>
      </c>
      <c r="J32" s="5">
        <f t="shared" si="1"/>
        <v>21</v>
      </c>
    </row>
    <row r="33" spans="1:10" x14ac:dyDescent="0.35">
      <c r="A33" s="4">
        <v>43859</v>
      </c>
      <c r="B33" s="5">
        <f>COUNTIFS(STATUS!$Q:$Q,B$1,STATUS!$D:$D,$A33)</f>
        <v>4</v>
      </c>
      <c r="C33" s="5">
        <f>COUNTIFS(STATUS!$Q:$Q,C$1,STATUS!$D:$D,$A33)</f>
        <v>4</v>
      </c>
      <c r="D33" s="5">
        <f>COUNTIFS(STATUS!$Q:$Q,D$1,STATUS!$D:$D,$A33)</f>
        <v>2</v>
      </c>
      <c r="E33" s="5">
        <f>COUNTIFS(STATUS!$Q:$Q,E$1,STATUS!$D:$D,$A33)</f>
        <v>3</v>
      </c>
      <c r="F33" s="5">
        <f>COUNTIFS(STATUS!$Q:$Q,F$1,STATUS!$D:$D,$A33)</f>
        <v>0</v>
      </c>
      <c r="G33" s="5">
        <f>COUNTIFS(STATUS!$Q:$Q,G$1,STATUS!$D:$D,$A33)</f>
        <v>4</v>
      </c>
      <c r="H33" s="5">
        <f>COUNTIFS(STATUS!$Q:$Q,H$1,STATUS!$D:$D,$A33)</f>
        <v>0</v>
      </c>
      <c r="I33" s="5">
        <f>COUNTIFS(STATUS!$Q:$Q,I$1,STATUS!$D:$D,$A33)</f>
        <v>0</v>
      </c>
      <c r="J33" s="5">
        <f t="shared" si="1"/>
        <v>17</v>
      </c>
    </row>
    <row r="34" spans="1:10" x14ac:dyDescent="0.35">
      <c r="A34" s="4">
        <v>43860</v>
      </c>
      <c r="B34" s="5">
        <f>COUNTIFS(STATUS!$Q:$Q,B$1,STATUS!$D:$D,$A34)</f>
        <v>3</v>
      </c>
      <c r="C34" s="5">
        <f>COUNTIFS(STATUS!$Q:$Q,C$1,STATUS!$D:$D,$A34)</f>
        <v>3</v>
      </c>
      <c r="D34" s="5">
        <f>COUNTIFS(STATUS!$Q:$Q,D$1,STATUS!$D:$D,$A34)</f>
        <v>3</v>
      </c>
      <c r="E34" s="5">
        <f>COUNTIFS(STATUS!$Q:$Q,E$1,STATUS!$D:$D,$A34)</f>
        <v>2</v>
      </c>
      <c r="F34" s="5">
        <f>COUNTIFS(STATUS!$Q:$Q,F$1,STATUS!$D:$D,$A34)</f>
        <v>0</v>
      </c>
      <c r="G34" s="5">
        <f>COUNTIFS(STATUS!$Q:$Q,G$1,STATUS!$D:$D,$A34)</f>
        <v>3</v>
      </c>
      <c r="H34" s="5">
        <f>COUNTIFS(STATUS!$Q:$Q,H$1,STATUS!$D:$D,$A34)</f>
        <v>0</v>
      </c>
      <c r="I34" s="5">
        <f>COUNTIFS(STATUS!$Q:$Q,I$1,STATUS!$D:$D,$A34)</f>
        <v>0</v>
      </c>
      <c r="J34" s="5">
        <f t="shared" si="1"/>
        <v>14</v>
      </c>
    </row>
    <row r="35" spans="1:10" x14ac:dyDescent="0.35">
      <c r="A35" s="4">
        <v>43861</v>
      </c>
      <c r="B35" s="5">
        <f>COUNTIFS(STATUS!$Q:$Q,B$1,STATUS!$D:$D,$A35)</f>
        <v>4</v>
      </c>
      <c r="C35" s="5">
        <f>COUNTIFS(STATUS!$Q:$Q,C$1,STATUS!$D:$D,$A35)</f>
        <v>5</v>
      </c>
      <c r="D35" s="5">
        <f>COUNTIFS(STATUS!$Q:$Q,D$1,STATUS!$D:$D,$A35)</f>
        <v>4</v>
      </c>
      <c r="E35" s="5">
        <f>COUNTIFS(STATUS!$Q:$Q,E$1,STATUS!$D:$D,$A35)</f>
        <v>5</v>
      </c>
      <c r="F35" s="5">
        <f>COUNTIFS(STATUS!$Q:$Q,F$1,STATUS!$D:$D,$A35)</f>
        <v>0</v>
      </c>
      <c r="G35" s="5">
        <f>COUNTIFS(STATUS!$Q:$Q,G$1,STATUS!$D:$D,$A35)</f>
        <v>4</v>
      </c>
      <c r="H35" s="5">
        <f>COUNTIFS(STATUS!$Q:$Q,H$1,STATUS!$D:$D,$A35)</f>
        <v>0</v>
      </c>
      <c r="I35" s="5">
        <f>COUNTIFS(STATUS!$Q:$Q,I$1,STATUS!$D:$D,$A35)</f>
        <v>0</v>
      </c>
      <c r="J35" s="5">
        <f t="shared" si="1"/>
        <v>22</v>
      </c>
    </row>
    <row r="36" spans="1:10" x14ac:dyDescent="0.35">
      <c r="A36" s="4">
        <v>43864</v>
      </c>
      <c r="B36" s="5">
        <f>COUNTIFS(STATUS!$Q:$Q,B$1,STATUS!$D:$D,$A36)</f>
        <v>4</v>
      </c>
      <c r="C36" s="5">
        <f>COUNTIFS(STATUS!$Q:$Q,C$1,STATUS!$D:$D,$A36)</f>
        <v>3</v>
      </c>
      <c r="D36" s="5">
        <f>COUNTIFS(STATUS!$Q:$Q,D$1,STATUS!$D:$D,$A36)</f>
        <v>6</v>
      </c>
      <c r="E36" s="5">
        <f>COUNTIFS(STATUS!$Q:$Q,E$1,STATUS!$D:$D,$A36)</f>
        <v>6</v>
      </c>
      <c r="F36" s="5">
        <f>COUNTIFS(STATUS!$Q:$Q,F$1,STATUS!$D:$D,$A36)</f>
        <v>0</v>
      </c>
      <c r="G36" s="5">
        <f>COUNTIFS(STATUS!$Q:$Q,G$1,STATUS!$D:$D,$A36)</f>
        <v>4</v>
      </c>
      <c r="H36" s="5">
        <f>COUNTIFS(STATUS!$Q:$Q,H$1,STATUS!$D:$D,$A36)</f>
        <v>0</v>
      </c>
      <c r="I36" s="5">
        <f>COUNTIFS(STATUS!$Q:$Q,I$1,STATUS!$D:$D,$A36)</f>
        <v>0</v>
      </c>
      <c r="J36" s="5">
        <f t="shared" si="1"/>
        <v>23</v>
      </c>
    </row>
    <row r="37" spans="1:10" x14ac:dyDescent="0.35">
      <c r="A37" s="4">
        <v>43865</v>
      </c>
      <c r="B37" s="5">
        <f>COUNTIFS(STATUS!$Q:$Q,B$1,STATUS!$D:$D,$A37)</f>
        <v>4</v>
      </c>
      <c r="C37" s="5">
        <f>COUNTIFS(STATUS!$Q:$Q,C$1,STATUS!$D:$D,$A37)</f>
        <v>3</v>
      </c>
      <c r="D37" s="5">
        <f>COUNTIFS(STATUS!$Q:$Q,D$1,STATUS!$D:$D,$A37)</f>
        <v>4</v>
      </c>
      <c r="E37" s="5">
        <f>COUNTIFS(STATUS!$Q:$Q,E$1,STATUS!$D:$D,$A37)</f>
        <v>3</v>
      </c>
      <c r="F37" s="5">
        <f>COUNTIFS(STATUS!$Q:$Q,F$1,STATUS!$D:$D,$A37)</f>
        <v>0</v>
      </c>
      <c r="G37" s="5">
        <f>COUNTIFS(STATUS!$Q:$Q,G$1,STATUS!$D:$D,$A37)</f>
        <v>2</v>
      </c>
      <c r="H37" s="5">
        <f>COUNTIFS(STATUS!$Q:$Q,H$1,STATUS!$D:$D,$A37)</f>
        <v>0</v>
      </c>
      <c r="I37" s="5">
        <f>COUNTIFS(STATUS!$Q:$Q,I$1,STATUS!$D:$D,$A37)</f>
        <v>0</v>
      </c>
      <c r="J37" s="5">
        <f t="shared" si="1"/>
        <v>16</v>
      </c>
    </row>
    <row r="38" spans="1:10" x14ac:dyDescent="0.35">
      <c r="A38" s="4">
        <v>43866</v>
      </c>
      <c r="B38" s="5">
        <f>COUNTIFS(STATUS!$Q:$Q,B$1,STATUS!$D:$D,$A38)</f>
        <v>8</v>
      </c>
      <c r="C38" s="5">
        <f>COUNTIFS(STATUS!$Q:$Q,C$1,STATUS!$D:$D,$A38)</f>
        <v>3</v>
      </c>
      <c r="D38" s="5">
        <f>COUNTIFS(STATUS!$Q:$Q,D$1,STATUS!$D:$D,$A38)</f>
        <v>5</v>
      </c>
      <c r="E38" s="5">
        <f>COUNTIFS(STATUS!$Q:$Q,E$1,STATUS!$D:$D,$A38)</f>
        <v>2</v>
      </c>
      <c r="F38" s="5">
        <f>COUNTIFS(STATUS!$Q:$Q,F$1,STATUS!$D:$D,$A38)</f>
        <v>0</v>
      </c>
      <c r="G38" s="5">
        <f>COUNTIFS(STATUS!$Q:$Q,G$1,STATUS!$D:$D,$A38)</f>
        <v>5</v>
      </c>
      <c r="H38" s="5">
        <f>COUNTIFS(STATUS!$Q:$Q,H$1,STATUS!$D:$D,$A38)</f>
        <v>0</v>
      </c>
      <c r="I38" s="5">
        <f>COUNTIFS(STATUS!$Q:$Q,I$1,STATUS!$D:$D,$A38)</f>
        <v>0</v>
      </c>
      <c r="J38" s="5">
        <f t="shared" si="1"/>
        <v>23</v>
      </c>
    </row>
    <row r="39" spans="1:10" x14ac:dyDescent="0.35">
      <c r="A39" s="4">
        <v>43867</v>
      </c>
      <c r="B39" s="5">
        <f>COUNTIFS(STATUS!$Q:$Q,B$1,STATUS!$D:$D,$A39)</f>
        <v>3</v>
      </c>
      <c r="C39" s="5">
        <f>COUNTIFS(STATUS!$Q:$Q,C$1,STATUS!$D:$D,$A39)</f>
        <v>4</v>
      </c>
      <c r="D39" s="5">
        <f>COUNTIFS(STATUS!$Q:$Q,D$1,STATUS!$D:$D,$A39)</f>
        <v>2</v>
      </c>
      <c r="E39" s="5">
        <f>COUNTIFS(STATUS!$Q:$Q,E$1,STATUS!$D:$D,$A39)</f>
        <v>5</v>
      </c>
      <c r="F39" s="5">
        <f>COUNTIFS(STATUS!$Q:$Q,F$1,STATUS!$D:$D,$A39)</f>
        <v>0</v>
      </c>
      <c r="G39" s="5">
        <f>COUNTIFS(STATUS!$Q:$Q,G$1,STATUS!$D:$D,$A39)</f>
        <v>3</v>
      </c>
      <c r="H39" s="5">
        <f>COUNTIFS(STATUS!$Q:$Q,H$1,STATUS!$D:$D,$A39)</f>
        <v>0</v>
      </c>
      <c r="I39" s="5">
        <f>COUNTIFS(STATUS!$Q:$Q,I$1,STATUS!$D:$D,$A39)</f>
        <v>0</v>
      </c>
      <c r="J39" s="5">
        <f t="shared" si="1"/>
        <v>17</v>
      </c>
    </row>
    <row r="40" spans="1:10" x14ac:dyDescent="0.35">
      <c r="A40" s="4">
        <v>43868</v>
      </c>
      <c r="B40" s="5">
        <f>COUNTIFS(STATUS!$Q:$Q,B$1,STATUS!$D:$D,$A40)</f>
        <v>3</v>
      </c>
      <c r="C40" s="5">
        <f>COUNTIFS(STATUS!$Q:$Q,C$1,STATUS!$D:$D,$A40)</f>
        <v>3</v>
      </c>
      <c r="D40" s="5">
        <f>COUNTIFS(STATUS!$Q:$Q,D$1,STATUS!$D:$D,$A40)</f>
        <v>2</v>
      </c>
      <c r="E40" s="5">
        <f>COUNTIFS(STATUS!$Q:$Q,E$1,STATUS!$D:$D,$A40)</f>
        <v>4</v>
      </c>
      <c r="F40" s="5">
        <f>COUNTIFS(STATUS!$Q:$Q,F$1,STATUS!$D:$D,$A40)</f>
        <v>0</v>
      </c>
      <c r="G40" s="5">
        <f>COUNTIFS(STATUS!$Q:$Q,G$1,STATUS!$D:$D,$A40)</f>
        <v>2</v>
      </c>
      <c r="H40" s="5">
        <f>COUNTIFS(STATUS!$Q:$Q,H$1,STATUS!$D:$D,$A40)</f>
        <v>0</v>
      </c>
      <c r="I40" s="5">
        <f>COUNTIFS(STATUS!$Q:$Q,I$1,STATUS!$D:$D,$A40)</f>
        <v>0</v>
      </c>
      <c r="J40" s="5">
        <f t="shared" si="1"/>
        <v>14</v>
      </c>
    </row>
    <row r="41" spans="1:10" x14ac:dyDescent="0.35">
      <c r="A41" s="4">
        <v>43871</v>
      </c>
      <c r="B41" s="5">
        <f>COUNTIFS(STATUS!$Q:$Q,B$1,STATUS!$D:$D,$A41)</f>
        <v>3</v>
      </c>
      <c r="C41" s="5">
        <f>COUNTIFS(STATUS!$Q:$Q,C$1,STATUS!$D:$D,$A41)</f>
        <v>3</v>
      </c>
      <c r="D41" s="5">
        <f>COUNTIFS(STATUS!$Q:$Q,D$1,STATUS!$D:$D,$A41)</f>
        <v>2</v>
      </c>
      <c r="E41" s="5">
        <f>COUNTIFS(STATUS!$Q:$Q,E$1,STATUS!$D:$D,$A41)</f>
        <v>5</v>
      </c>
      <c r="F41" s="5">
        <f>COUNTIFS(STATUS!$Q:$Q,F$1,STATUS!$D:$D,$A41)</f>
        <v>0</v>
      </c>
      <c r="G41" s="5">
        <f>COUNTIFS(STATUS!$Q:$Q,G$1,STATUS!$D:$D,$A41)</f>
        <v>4</v>
      </c>
      <c r="H41" s="5">
        <f>COUNTIFS(STATUS!$Q:$Q,H$1,STATUS!$D:$D,$A41)</f>
        <v>0</v>
      </c>
      <c r="I41" s="5">
        <f>COUNTIFS(STATUS!$Q:$Q,I$1,STATUS!$D:$D,$A41)</f>
        <v>3</v>
      </c>
      <c r="J41" s="5">
        <f t="shared" si="1"/>
        <v>20</v>
      </c>
    </row>
    <row r="42" spans="1:10" x14ac:dyDescent="0.35">
      <c r="A42" s="4">
        <v>43872</v>
      </c>
      <c r="B42" s="5">
        <f>COUNTIFS(STATUS!$Q:$Q,B$1,STATUS!$D:$D,$A42)</f>
        <v>5</v>
      </c>
      <c r="C42" s="5">
        <f>COUNTIFS(STATUS!$Q:$Q,C$1,STATUS!$D:$D,$A42)</f>
        <v>5</v>
      </c>
      <c r="D42" s="5">
        <f>COUNTIFS(STATUS!$Q:$Q,D$1,STATUS!$D:$D,$A42)</f>
        <v>5</v>
      </c>
      <c r="E42" s="5">
        <f>COUNTIFS(STATUS!$Q:$Q,E$1,STATUS!$D:$D,$A42)</f>
        <v>5</v>
      </c>
      <c r="F42" s="5">
        <f>COUNTIFS(STATUS!$Q:$Q,F$1,STATUS!$D:$D,$A42)</f>
        <v>0</v>
      </c>
      <c r="G42" s="5">
        <f>COUNTIFS(STATUS!$Q:$Q,G$1,STATUS!$D:$D,$A42)</f>
        <v>7</v>
      </c>
      <c r="H42" s="5">
        <f>COUNTIFS(STATUS!$Q:$Q,H$1,STATUS!$D:$D,$A42)</f>
        <v>0</v>
      </c>
      <c r="I42" s="5">
        <f>COUNTIFS(STATUS!$Q:$Q,I$1,STATUS!$D:$D,$A42)</f>
        <v>8</v>
      </c>
      <c r="J42" s="5">
        <f t="shared" si="1"/>
        <v>35</v>
      </c>
    </row>
    <row r="43" spans="1:10" x14ac:dyDescent="0.35">
      <c r="A43" s="4">
        <v>43873</v>
      </c>
      <c r="B43" s="5">
        <f>COUNTIFS(STATUS!$Q:$Q,B$1,STATUS!$D:$D,$A43)</f>
        <v>3</v>
      </c>
      <c r="C43" s="5">
        <f>COUNTIFS(STATUS!$Q:$Q,C$1,STATUS!$D:$D,$A43)</f>
        <v>3</v>
      </c>
      <c r="D43" s="5">
        <f>COUNTIFS(STATUS!$Q:$Q,D$1,STATUS!$D:$D,$A43)</f>
        <v>4</v>
      </c>
      <c r="E43" s="5">
        <f>COUNTIFS(STATUS!$Q:$Q,E$1,STATUS!$D:$D,$A43)</f>
        <v>6</v>
      </c>
      <c r="F43" s="5">
        <f>COUNTIFS(STATUS!$Q:$Q,F$1,STATUS!$D:$D,$A43)</f>
        <v>0</v>
      </c>
      <c r="G43" s="5">
        <f>COUNTIFS(STATUS!$Q:$Q,G$1,STATUS!$D:$D,$A43)</f>
        <v>3</v>
      </c>
      <c r="H43" s="5">
        <f>COUNTIFS(STATUS!$Q:$Q,H$1,STATUS!$D:$D,$A43)</f>
        <v>0</v>
      </c>
      <c r="I43" s="5">
        <f>COUNTIFS(STATUS!$Q:$Q,I$1,STATUS!$D:$D,$A43)</f>
        <v>6</v>
      </c>
      <c r="J43" s="5">
        <f t="shared" si="1"/>
        <v>25</v>
      </c>
    </row>
    <row r="44" spans="1:10" x14ac:dyDescent="0.35">
      <c r="A44" s="4">
        <v>43879</v>
      </c>
      <c r="B44" s="5">
        <f>COUNTIFS(STATUS!$Q:$Q,B$1,STATUS!$D:$D,$A44)</f>
        <v>4</v>
      </c>
      <c r="C44" s="5">
        <f>COUNTIFS(STATUS!$Q:$Q,C$1,STATUS!$D:$D,$A44)</f>
        <v>5</v>
      </c>
      <c r="D44" s="5">
        <f>COUNTIFS(STATUS!$Q:$Q,D$1,STATUS!$D:$D,$A44)</f>
        <v>3</v>
      </c>
      <c r="E44" s="5">
        <f>COUNTIFS(STATUS!$Q:$Q,E$1,STATUS!$D:$D,$A44)</f>
        <v>4</v>
      </c>
      <c r="F44" s="5">
        <f>COUNTIFS(STATUS!$Q:$Q,F$1,STATUS!$D:$D,$A44)</f>
        <v>0</v>
      </c>
      <c r="G44" s="5">
        <f>COUNTIFS(STATUS!$Q:$Q,G$1,STATUS!$D:$D,$A44)</f>
        <v>3</v>
      </c>
      <c r="H44" s="5">
        <f>COUNTIFS(STATUS!$Q:$Q,H$1,STATUS!$D:$D,$A44)</f>
        <v>0</v>
      </c>
      <c r="I44" s="5">
        <f>COUNTIFS(STATUS!$Q:$Q,I$1,STATUS!$D:$D,$A44)</f>
        <v>0</v>
      </c>
      <c r="J44" s="5">
        <f t="shared" si="1"/>
        <v>19</v>
      </c>
    </row>
    <row r="45" spans="1:10" x14ac:dyDescent="0.35">
      <c r="A45" s="4">
        <v>43880</v>
      </c>
      <c r="B45" s="5">
        <f>COUNTIFS(STATUS!$Q:$Q,B$1,STATUS!$D:$D,$A45)</f>
        <v>3</v>
      </c>
      <c r="C45" s="5">
        <f>COUNTIFS(STATUS!$Q:$Q,C$1,STATUS!$D:$D,$A45)</f>
        <v>5</v>
      </c>
      <c r="D45" s="5">
        <f>COUNTIFS(STATUS!$Q:$Q,D$1,STATUS!$D:$D,$A45)</f>
        <v>3</v>
      </c>
      <c r="E45" s="5">
        <f>COUNTIFS(STATUS!$Q:$Q,E$1,STATUS!$D:$D,$A45)</f>
        <v>4</v>
      </c>
      <c r="F45" s="5">
        <f>COUNTIFS(STATUS!$Q:$Q,F$1,STATUS!$D:$D,$A45)</f>
        <v>0</v>
      </c>
      <c r="G45" s="5">
        <f>COUNTIFS(STATUS!$Q:$Q,G$1,STATUS!$D:$D,$A45)</f>
        <v>3</v>
      </c>
      <c r="H45" s="5">
        <f>COUNTIFS(STATUS!$Q:$Q,H$1,STATUS!$D:$D,$A45)</f>
        <v>0</v>
      </c>
      <c r="I45" s="5">
        <f>COUNTIFS(STATUS!$Q:$Q,I$1,STATUS!$D:$D,$A45)</f>
        <v>0</v>
      </c>
      <c r="J45" s="5">
        <f t="shared" si="1"/>
        <v>18</v>
      </c>
    </row>
    <row r="46" spans="1:10" x14ac:dyDescent="0.35">
      <c r="A46" s="4">
        <v>43881</v>
      </c>
      <c r="B46" s="5">
        <f>COUNTIFS(STATUS!$Q:$Q,B$1,STATUS!$D:$D,$A46)</f>
        <v>3</v>
      </c>
      <c r="C46" s="5">
        <f>COUNTIFS(STATUS!$Q:$Q,C$1,STATUS!$D:$D,$A46)</f>
        <v>4</v>
      </c>
      <c r="D46" s="5">
        <f>COUNTIFS(STATUS!$Q:$Q,D$1,STATUS!$D:$D,$A46)</f>
        <v>6</v>
      </c>
      <c r="E46" s="5">
        <f>COUNTIFS(STATUS!$Q:$Q,E$1,STATUS!$D:$D,$A46)</f>
        <v>3</v>
      </c>
      <c r="F46" s="5">
        <f>COUNTIFS(STATUS!$Q:$Q,F$1,STATUS!$D:$D,$A46)</f>
        <v>0</v>
      </c>
      <c r="G46" s="5">
        <f>COUNTIFS(STATUS!$Q:$Q,G$1,STATUS!$D:$D,$A46)</f>
        <v>3</v>
      </c>
      <c r="H46" s="5">
        <f>COUNTIFS(STATUS!$Q:$Q,H$1,STATUS!$D:$D,$A46)</f>
        <v>0</v>
      </c>
      <c r="I46" s="5">
        <f>COUNTIFS(STATUS!$Q:$Q,I$1,STATUS!$D:$D,$A46)</f>
        <v>0</v>
      </c>
      <c r="J46" s="5">
        <f t="shared" si="1"/>
        <v>19</v>
      </c>
    </row>
    <row r="47" spans="1:10" x14ac:dyDescent="0.35">
      <c r="A47" s="4">
        <v>43882</v>
      </c>
      <c r="B47" s="5">
        <f>COUNTIFS(STATUS!$Q:$Q,B$1,STATUS!$D:$D,$A47)</f>
        <v>3</v>
      </c>
      <c r="C47" s="5">
        <f>COUNTIFS(STATUS!$Q:$Q,C$1,STATUS!$D:$D,$A47)</f>
        <v>3</v>
      </c>
      <c r="D47" s="5">
        <f>COUNTIFS(STATUS!$Q:$Q,D$1,STATUS!$D:$D,$A47)</f>
        <v>6</v>
      </c>
      <c r="E47" s="5">
        <f>COUNTIFS(STATUS!$Q:$Q,E$1,STATUS!$D:$D,$A47)</f>
        <v>3</v>
      </c>
      <c r="F47" s="5">
        <f>COUNTIFS(STATUS!$Q:$Q,F$1,STATUS!$D:$D,$A47)</f>
        <v>0</v>
      </c>
      <c r="G47" s="5">
        <f>COUNTIFS(STATUS!$Q:$Q,G$1,STATUS!$D:$D,$A47)</f>
        <v>4</v>
      </c>
      <c r="H47" s="5">
        <f>COUNTIFS(STATUS!$Q:$Q,H$1,STATUS!$D:$D,$A47)</f>
        <v>0</v>
      </c>
      <c r="I47" s="5">
        <f>COUNTIFS(STATUS!$Q:$Q,I$1,STATUS!$D:$D,$A47)</f>
        <v>0</v>
      </c>
      <c r="J47" s="5">
        <f t="shared" si="1"/>
        <v>19</v>
      </c>
    </row>
    <row r="48" spans="1:10" x14ac:dyDescent="0.35">
      <c r="A48" s="4">
        <v>43886</v>
      </c>
      <c r="B48" s="5">
        <f>COUNTIFS(STATUS!$Q:$Q,B$1,STATUS!$D:$D,$A48)</f>
        <v>6</v>
      </c>
      <c r="C48" s="5">
        <f>COUNTIFS(STATUS!$Q:$Q,C$1,STATUS!$D:$D,$A48)</f>
        <v>5</v>
      </c>
      <c r="D48" s="5">
        <f>COUNTIFS(STATUS!$Q:$Q,D$1,STATUS!$D:$D,$A48)</f>
        <v>5</v>
      </c>
      <c r="E48" s="5">
        <f>COUNTIFS(STATUS!$Q:$Q,E$1,STATUS!$D:$D,$A48)</f>
        <v>3</v>
      </c>
      <c r="F48" s="5">
        <f>COUNTIFS(STATUS!$Q:$Q,F$1,STATUS!$D:$D,$A48)</f>
        <v>0</v>
      </c>
      <c r="G48" s="5">
        <f>COUNTIFS(STATUS!$Q:$Q,G$1,STATUS!$D:$D,$A48)</f>
        <v>7</v>
      </c>
      <c r="H48" s="5">
        <f>COUNTIFS(STATUS!$Q:$Q,H$1,STATUS!$D:$D,$A48)</f>
        <v>0</v>
      </c>
      <c r="I48" s="5">
        <f>COUNTIFS(STATUS!$Q:$Q,I$1,STATUS!$D:$D,$A48)</f>
        <v>0</v>
      </c>
      <c r="J48" s="5">
        <f t="shared" ref="J48:J72" si="2">SUM(B48:I48)</f>
        <v>26</v>
      </c>
    </row>
    <row r="49" spans="1:10" x14ac:dyDescent="0.35">
      <c r="A49" s="4">
        <v>43887</v>
      </c>
      <c r="B49" s="5">
        <f>COUNTIFS(STATUS!$Q:$Q,B$1,STATUS!$D:$D,$A49)</f>
        <v>5</v>
      </c>
      <c r="C49" s="5">
        <f>COUNTIFS(STATUS!$Q:$Q,C$1,STATUS!$D:$D,$A49)</f>
        <v>5</v>
      </c>
      <c r="D49" s="5">
        <f>COUNTIFS(STATUS!$Q:$Q,D$1,STATUS!$D:$D,$A49)</f>
        <v>5</v>
      </c>
      <c r="E49" s="5">
        <f>COUNTIFS(STATUS!$Q:$Q,E$1,STATUS!$D:$D,$A49)</f>
        <v>7</v>
      </c>
      <c r="F49" s="5">
        <f>COUNTIFS(STATUS!$Q:$Q,F$1,STATUS!$D:$D,$A49)</f>
        <v>0</v>
      </c>
      <c r="G49" s="5">
        <f>COUNTIFS(STATUS!$Q:$Q,G$1,STATUS!$D:$D,$A49)</f>
        <v>8</v>
      </c>
      <c r="H49" s="5">
        <f>COUNTIFS(STATUS!$Q:$Q,H$1,STATUS!$D:$D,$A49)</f>
        <v>0</v>
      </c>
      <c r="I49" s="5">
        <f>COUNTIFS(STATUS!$Q:$Q,I$1,STATUS!$D:$D,$A49)</f>
        <v>0</v>
      </c>
      <c r="J49" s="5">
        <f t="shared" si="2"/>
        <v>30</v>
      </c>
    </row>
    <row r="50" spans="1:10" x14ac:dyDescent="0.35">
      <c r="A50" s="4">
        <v>43888</v>
      </c>
      <c r="B50" s="5">
        <f>COUNTIFS(STATUS!$Q:$Q,B$1,STATUS!$D:$D,$A50)</f>
        <v>5</v>
      </c>
      <c r="C50" s="5">
        <f>COUNTIFS(STATUS!$Q:$Q,C$1,STATUS!$D:$D,$A50)</f>
        <v>5</v>
      </c>
      <c r="D50" s="5">
        <f>COUNTIFS(STATUS!$Q:$Q,D$1,STATUS!$D:$D,$A50)</f>
        <v>5</v>
      </c>
      <c r="E50" s="5">
        <f>COUNTIFS(STATUS!$Q:$Q,E$1,STATUS!$D:$D,$A50)</f>
        <v>3</v>
      </c>
      <c r="F50" s="5">
        <f>COUNTIFS(STATUS!$Q:$Q,F$1,STATUS!$D:$D,$A50)</f>
        <v>0</v>
      </c>
      <c r="G50" s="5">
        <f>COUNTIFS(STATUS!$Q:$Q,G$1,STATUS!$D:$D,$A50)</f>
        <v>6</v>
      </c>
      <c r="H50" s="5">
        <f>COUNTIFS(STATUS!$Q:$Q,H$1,STATUS!$D:$D,$A50)</f>
        <v>0</v>
      </c>
      <c r="I50" s="5">
        <f>COUNTIFS(STATUS!$Q:$Q,I$1,STATUS!$D:$D,$A50)</f>
        <v>0</v>
      </c>
      <c r="J50" s="5">
        <f t="shared" si="2"/>
        <v>24</v>
      </c>
    </row>
    <row r="51" spans="1:10" x14ac:dyDescent="0.35">
      <c r="A51" s="4">
        <v>43889</v>
      </c>
      <c r="B51" s="5">
        <f>COUNTIFS(STATUS!$Q:$Q,B$1,STATUS!$D:$D,$A51)</f>
        <v>3</v>
      </c>
      <c r="C51" s="5">
        <f>COUNTIFS(STATUS!$Q:$Q,C$1,STATUS!$D:$D,$A51)</f>
        <v>4</v>
      </c>
      <c r="D51" s="5">
        <f>COUNTIFS(STATUS!$Q:$Q,D$1,STATUS!$D:$D,$A51)</f>
        <v>4</v>
      </c>
      <c r="E51" s="5">
        <f>COUNTIFS(STATUS!$Q:$Q,E$1,STATUS!$D:$D,$A51)</f>
        <v>4</v>
      </c>
      <c r="F51" s="5">
        <f>COUNTIFS(STATUS!$Q:$Q,F$1,STATUS!$D:$D,$A51)</f>
        <v>0</v>
      </c>
      <c r="G51" s="5">
        <f>COUNTIFS(STATUS!$Q:$Q,G$1,STATUS!$D:$D,$A51)</f>
        <v>6</v>
      </c>
      <c r="H51" s="5">
        <f>COUNTIFS(STATUS!$Q:$Q,H$1,STATUS!$D:$D,$A51)</f>
        <v>0</v>
      </c>
      <c r="I51" s="5">
        <f>COUNTIFS(STATUS!$Q:$Q,I$1,STATUS!$D:$D,$A51)</f>
        <v>0</v>
      </c>
      <c r="J51" s="5">
        <f t="shared" si="2"/>
        <v>21</v>
      </c>
    </row>
    <row r="52" spans="1:10" x14ac:dyDescent="0.35">
      <c r="A52" s="4">
        <v>43892</v>
      </c>
      <c r="B52" s="5">
        <f>COUNTIFS(STATUS!$Q:$Q,B$1,STATUS!$D:$D,$A52)</f>
        <v>4</v>
      </c>
      <c r="C52" s="5">
        <f>COUNTIFS(STATUS!$Q:$Q,C$1,STATUS!$D:$D,$A52)</f>
        <v>5</v>
      </c>
      <c r="D52" s="5">
        <f>COUNTIFS(STATUS!$Q:$Q,D$1,STATUS!$D:$D,$A52)</f>
        <v>3</v>
      </c>
      <c r="E52" s="5">
        <f>COUNTIFS(STATUS!$Q:$Q,E$1,STATUS!$D:$D,$A52)</f>
        <v>3</v>
      </c>
      <c r="F52" s="5">
        <f>COUNTIFS(STATUS!$Q:$Q,F$1,STATUS!$D:$D,$A52)</f>
        <v>0</v>
      </c>
      <c r="G52" s="5">
        <f>COUNTIFS(STATUS!$Q:$Q,G$1,STATUS!$D:$D,$A52)</f>
        <v>6</v>
      </c>
      <c r="H52" s="5">
        <f>COUNTIFS(STATUS!$Q:$Q,H$1,STATUS!$D:$D,$A52)</f>
        <v>0</v>
      </c>
      <c r="I52" s="5">
        <f>COUNTIFS(STATUS!$Q:$Q,I$1,STATUS!$D:$D,$A52)</f>
        <v>0</v>
      </c>
      <c r="J52" s="5">
        <f t="shared" si="2"/>
        <v>21</v>
      </c>
    </row>
    <row r="53" spans="1:10" x14ac:dyDescent="0.35">
      <c r="A53" s="4">
        <v>43893</v>
      </c>
      <c r="B53" s="5">
        <f>COUNTIFS(STATUS!$Q:$Q,B$1,STATUS!$D:$D,$A53)</f>
        <v>4</v>
      </c>
      <c r="C53" s="5">
        <f>COUNTIFS(STATUS!$Q:$Q,C$1,STATUS!$D:$D,$A53)</f>
        <v>5</v>
      </c>
      <c r="D53" s="5">
        <f>COUNTIFS(STATUS!$Q:$Q,D$1,STATUS!$D:$D,$A53)</f>
        <v>4</v>
      </c>
      <c r="E53" s="5">
        <f>COUNTIFS(STATUS!$Q:$Q,E$1,STATUS!$D:$D,$A53)</f>
        <v>5</v>
      </c>
      <c r="F53" s="5">
        <f>COUNTIFS(STATUS!$Q:$Q,F$1,STATUS!$D:$D,$A53)</f>
        <v>0</v>
      </c>
      <c r="G53" s="5">
        <f>COUNTIFS(STATUS!$Q:$Q,G$1,STATUS!$D:$D,$A53)</f>
        <v>3</v>
      </c>
      <c r="H53" s="5">
        <f>COUNTIFS(STATUS!$Q:$Q,H$1,STATUS!$D:$D,$A53)</f>
        <v>0</v>
      </c>
      <c r="I53" s="5">
        <f>COUNTIFS(STATUS!$Q:$Q,I$1,STATUS!$D:$D,$A53)</f>
        <v>0</v>
      </c>
      <c r="J53" s="5">
        <f t="shared" si="2"/>
        <v>21</v>
      </c>
    </row>
    <row r="54" spans="1:10" x14ac:dyDescent="0.35">
      <c r="A54" s="4">
        <v>43894</v>
      </c>
      <c r="B54" s="5">
        <f>COUNTIFS(STATUS!$Q:$Q,B$1,STATUS!$D:$D,$A54)</f>
        <v>4</v>
      </c>
      <c r="C54" s="5">
        <f>COUNTIFS(STATUS!$Q:$Q,C$1,STATUS!$D:$D,$A54)</f>
        <v>5</v>
      </c>
      <c r="D54" s="5">
        <f>COUNTIFS(STATUS!$Q:$Q,D$1,STATUS!$D:$D,$A54)</f>
        <v>5</v>
      </c>
      <c r="E54" s="5">
        <f>COUNTIFS(STATUS!$Q:$Q,E$1,STATUS!$D:$D,$A54)</f>
        <v>5</v>
      </c>
      <c r="F54" s="5">
        <f>COUNTIFS(STATUS!$Q:$Q,F$1,STATUS!$D:$D,$A54)</f>
        <v>0</v>
      </c>
      <c r="G54" s="5">
        <f>COUNTIFS(STATUS!$Q:$Q,G$1,STATUS!$D:$D,$A54)</f>
        <v>0</v>
      </c>
      <c r="H54" s="5">
        <f>COUNTIFS(STATUS!$Q:$Q,H$1,STATUS!$D:$D,$A54)</f>
        <v>0</v>
      </c>
      <c r="I54" s="5">
        <f>COUNTIFS(STATUS!$Q:$Q,I$1,STATUS!$D:$D,$A54)</f>
        <v>0</v>
      </c>
      <c r="J54" s="5">
        <f t="shared" si="2"/>
        <v>19</v>
      </c>
    </row>
    <row r="55" spans="1:10" x14ac:dyDescent="0.35">
      <c r="A55" s="4">
        <v>43895</v>
      </c>
      <c r="B55" s="5">
        <f>COUNTIFS(STATUS!$Q:$Q,B$1,STATUS!$D:$D,$A55)</f>
        <v>5</v>
      </c>
      <c r="C55" s="5">
        <f>COUNTIFS(STATUS!$Q:$Q,C$1,STATUS!$D:$D,$A55)</f>
        <v>5</v>
      </c>
      <c r="D55" s="5">
        <f>COUNTIFS(STATUS!$Q:$Q,D$1,STATUS!$D:$D,$A55)</f>
        <v>5</v>
      </c>
      <c r="E55" s="5">
        <f>COUNTIFS(STATUS!$Q:$Q,E$1,STATUS!$D:$D,$A55)</f>
        <v>4</v>
      </c>
      <c r="F55" s="5">
        <f>COUNTIFS(STATUS!$Q:$Q,F$1,STATUS!$D:$D,$A55)</f>
        <v>0</v>
      </c>
      <c r="G55" s="5">
        <f>COUNTIFS(STATUS!$Q:$Q,G$1,STATUS!$D:$D,$A55)</f>
        <v>0</v>
      </c>
      <c r="H55" s="5">
        <f>COUNTIFS(STATUS!$Q:$Q,H$1,STATUS!$D:$D,$A55)</f>
        <v>0</v>
      </c>
      <c r="I55" s="5">
        <f>COUNTIFS(STATUS!$Q:$Q,I$1,STATUS!$D:$D,$A55)</f>
        <v>0</v>
      </c>
      <c r="J55" s="5">
        <f t="shared" si="2"/>
        <v>19</v>
      </c>
    </row>
    <row r="56" spans="1:10" x14ac:dyDescent="0.35">
      <c r="A56" s="4">
        <v>43896</v>
      </c>
      <c r="B56" s="5">
        <f>COUNTIFS(STATUS!$Q:$Q,B$1,STATUS!$D:$D,$A56)</f>
        <v>4</v>
      </c>
      <c r="C56" s="5">
        <f>COUNTIFS(STATUS!$Q:$Q,C$1,STATUS!$D:$D,$A56)</f>
        <v>6</v>
      </c>
      <c r="D56" s="5">
        <f>COUNTIFS(STATUS!$Q:$Q,D$1,STATUS!$D:$D,$A56)</f>
        <v>5</v>
      </c>
      <c r="E56" s="5">
        <f>COUNTIFS(STATUS!$Q:$Q,E$1,STATUS!$D:$D,$A56)</f>
        <v>6</v>
      </c>
      <c r="F56" s="5">
        <f>COUNTIFS(STATUS!$Q:$Q,F$1,STATUS!$D:$D,$A56)</f>
        <v>0</v>
      </c>
      <c r="G56" s="5">
        <f>COUNTIFS(STATUS!$Q:$Q,G$1,STATUS!$D:$D,$A56)</f>
        <v>0</v>
      </c>
      <c r="H56" s="5">
        <f>COUNTIFS(STATUS!$Q:$Q,H$1,STATUS!$D:$D,$A56)</f>
        <v>0</v>
      </c>
      <c r="I56" s="5">
        <f>COUNTIFS(STATUS!$Q:$Q,I$1,STATUS!$D:$D,$A56)</f>
        <v>0</v>
      </c>
      <c r="J56" s="5">
        <f t="shared" si="2"/>
        <v>21</v>
      </c>
    </row>
    <row r="57" spans="1:10" x14ac:dyDescent="0.35">
      <c r="A57" s="4">
        <v>43900</v>
      </c>
      <c r="B57" s="5">
        <f>COUNTIFS(STATUS!$Q:$Q,B$1,STATUS!$D:$D,$A57)</f>
        <v>4</v>
      </c>
      <c r="C57" s="5">
        <f>COUNTIFS(STATUS!$Q:$Q,C$1,STATUS!$D:$D,$A57)</f>
        <v>4</v>
      </c>
      <c r="D57" s="5">
        <f>COUNTIFS(STATUS!$Q:$Q,D$1,STATUS!$D:$D,$A57)</f>
        <v>4</v>
      </c>
      <c r="E57" s="5">
        <f>COUNTIFS(STATUS!$Q:$Q,E$1,STATUS!$D:$D,$A57)</f>
        <v>3</v>
      </c>
      <c r="F57" s="5">
        <f>COUNTIFS(STATUS!$Q:$Q,F$1,STATUS!$D:$D,$A57)</f>
        <v>0</v>
      </c>
      <c r="G57" s="5">
        <f>COUNTIFS(STATUS!$Q:$Q,G$1,STATUS!$D:$D,$A57)</f>
        <v>0</v>
      </c>
      <c r="H57" s="5">
        <f>COUNTIFS(STATUS!$Q:$Q,H$1,STATUS!$D:$D,$A57)</f>
        <v>0</v>
      </c>
      <c r="I57" s="5">
        <f>COUNTIFS(STATUS!$Q:$Q,I$1,STATUS!$D:$D,$A57)</f>
        <v>0</v>
      </c>
      <c r="J57" s="5">
        <f t="shared" si="2"/>
        <v>15</v>
      </c>
    </row>
    <row r="58" spans="1:10" x14ac:dyDescent="0.35">
      <c r="A58" s="4">
        <v>43901</v>
      </c>
      <c r="B58" s="5">
        <f>COUNTIFS(STATUS!$Q:$Q,B$1,STATUS!$D:$D,$A58)</f>
        <v>5</v>
      </c>
      <c r="C58" s="5">
        <f>COUNTIFS(STATUS!$Q:$Q,C$1,STATUS!$D:$D,$A58)</f>
        <v>5</v>
      </c>
      <c r="D58" s="5">
        <f>COUNTIFS(STATUS!$Q:$Q,D$1,STATUS!$D:$D,$A58)</f>
        <v>3</v>
      </c>
      <c r="E58" s="5">
        <f>COUNTIFS(STATUS!$Q:$Q,E$1,STATUS!$D:$D,$A58)</f>
        <v>6</v>
      </c>
      <c r="F58" s="5">
        <f>COUNTIFS(STATUS!$Q:$Q,F$1,STATUS!$D:$D,$A58)</f>
        <v>0</v>
      </c>
      <c r="G58" s="5">
        <f>COUNTIFS(STATUS!$Q:$Q,G$1,STATUS!$D:$D,$A58)</f>
        <v>0</v>
      </c>
      <c r="H58" s="5">
        <f>COUNTIFS(STATUS!$Q:$Q,H$1,STATUS!$D:$D,$A58)</f>
        <v>0</v>
      </c>
      <c r="I58" s="5">
        <f>COUNTIFS(STATUS!$Q:$Q,I$1,STATUS!$D:$D,$A58)</f>
        <v>0</v>
      </c>
      <c r="J58" s="5">
        <f t="shared" si="2"/>
        <v>19</v>
      </c>
    </row>
    <row r="59" spans="1:10" x14ac:dyDescent="0.35">
      <c r="A59" s="4">
        <v>43902</v>
      </c>
      <c r="B59" s="5">
        <f>COUNTIFS(STATUS!$Q:$Q,B$1,STATUS!$D:$D,$A59)</f>
        <v>4</v>
      </c>
      <c r="C59" s="5">
        <f>COUNTIFS(STATUS!$Q:$Q,C$1,STATUS!$D:$D,$A59)</f>
        <v>5</v>
      </c>
      <c r="D59" s="5">
        <f>COUNTIFS(STATUS!$Q:$Q,D$1,STATUS!$D:$D,$A59)</f>
        <v>5</v>
      </c>
      <c r="E59" s="5">
        <f>COUNTIFS(STATUS!$Q:$Q,E$1,STATUS!$D:$D,$A59)</f>
        <v>5</v>
      </c>
      <c r="F59" s="5">
        <f>COUNTIFS(STATUS!$Q:$Q,F$1,STATUS!$D:$D,$A59)</f>
        <v>0</v>
      </c>
      <c r="G59" s="5">
        <f>COUNTIFS(STATUS!$Q:$Q,G$1,STATUS!$D:$D,$A59)</f>
        <v>0</v>
      </c>
      <c r="H59" s="5">
        <f>COUNTIFS(STATUS!$Q:$Q,H$1,STATUS!$D:$D,$A59)</f>
        <v>0</v>
      </c>
      <c r="I59" s="5">
        <f>COUNTIFS(STATUS!$Q:$Q,I$1,STATUS!$D:$D,$A59)</f>
        <v>0</v>
      </c>
      <c r="J59" s="5">
        <f t="shared" si="2"/>
        <v>19</v>
      </c>
    </row>
    <row r="60" spans="1:10" x14ac:dyDescent="0.35">
      <c r="A60" s="4">
        <v>43903</v>
      </c>
      <c r="B60" s="5">
        <f>COUNTIFS(STATUS!$Q:$Q,B$1,STATUS!$D:$D,$A60)</f>
        <v>5</v>
      </c>
      <c r="C60" s="5">
        <f>COUNTIFS(STATUS!$Q:$Q,C$1,STATUS!$D:$D,$A60)</f>
        <v>6</v>
      </c>
      <c r="D60" s="5">
        <f>COUNTIFS(STATUS!$Q:$Q,D$1,STATUS!$D:$D,$A60)</f>
        <v>6</v>
      </c>
      <c r="E60" s="5">
        <f>COUNTIFS(STATUS!$Q:$Q,E$1,STATUS!$D:$D,$A60)</f>
        <v>5</v>
      </c>
      <c r="F60" s="5">
        <f>COUNTIFS(STATUS!$Q:$Q,F$1,STATUS!$D:$D,$A60)</f>
        <v>0</v>
      </c>
      <c r="G60" s="5">
        <f>COUNTIFS(STATUS!$Q:$Q,G$1,STATUS!$D:$D,$A60)</f>
        <v>0</v>
      </c>
      <c r="H60" s="5">
        <f>COUNTIFS(STATUS!$Q:$Q,H$1,STATUS!$D:$D,$A60)</f>
        <v>0</v>
      </c>
      <c r="I60" s="5">
        <f>COUNTIFS(STATUS!$Q:$Q,I$1,STATUS!$D:$D,$A60)</f>
        <v>0</v>
      </c>
      <c r="J60" s="5">
        <f t="shared" si="2"/>
        <v>22</v>
      </c>
    </row>
    <row r="61" spans="1:10" x14ac:dyDescent="0.35">
      <c r="A61" s="4">
        <v>43906</v>
      </c>
      <c r="B61" s="5">
        <f>COUNTIFS(STATUS!$Q:$Q,B$1,STATUS!$D:$D,$A61)</f>
        <v>4</v>
      </c>
      <c r="C61" s="5">
        <f>COUNTIFS(STATUS!$Q:$Q,C$1,STATUS!$D:$D,$A61)</f>
        <v>5</v>
      </c>
      <c r="D61" s="5">
        <f>COUNTIFS(STATUS!$Q:$Q,D$1,STATUS!$D:$D,$A61)</f>
        <v>4</v>
      </c>
      <c r="E61" s="5">
        <f>COUNTIFS(STATUS!$Q:$Q,E$1,STATUS!$D:$D,$A61)</f>
        <v>4</v>
      </c>
      <c r="F61" s="5">
        <f>COUNTIFS(STATUS!$Q:$Q,F$1,STATUS!$D:$D,$A61)</f>
        <v>0</v>
      </c>
      <c r="G61" s="5">
        <f>COUNTIFS(STATUS!$Q:$Q,G$1,STATUS!$D:$D,$A61)</f>
        <v>0</v>
      </c>
      <c r="H61" s="5">
        <f>COUNTIFS(STATUS!$Q:$Q,H$1,STATUS!$D:$D,$A61)</f>
        <v>0</v>
      </c>
      <c r="I61" s="5">
        <f>COUNTIFS(STATUS!$Q:$Q,I$1,STATUS!$D:$D,$A61)</f>
        <v>0</v>
      </c>
      <c r="J61" s="5">
        <f t="shared" si="2"/>
        <v>17</v>
      </c>
    </row>
    <row r="62" spans="1:10" x14ac:dyDescent="0.35">
      <c r="A62" s="4">
        <v>43907</v>
      </c>
      <c r="B62" s="5">
        <f>COUNTIFS(STATUS!$Q:$Q,B$1,STATUS!$D:$D,$A62)</f>
        <v>4</v>
      </c>
      <c r="C62" s="5">
        <f>COUNTIFS(STATUS!$Q:$Q,C$1,STATUS!$D:$D,$A62)</f>
        <v>6</v>
      </c>
      <c r="D62" s="5">
        <f>COUNTIFS(STATUS!$Q:$Q,D$1,STATUS!$D:$D,$A62)</f>
        <v>4</v>
      </c>
      <c r="E62" s="5">
        <f>COUNTIFS(STATUS!$Q:$Q,E$1,STATUS!$D:$D,$A62)</f>
        <v>5</v>
      </c>
      <c r="F62" s="5">
        <f>COUNTIFS(STATUS!$Q:$Q,F$1,STATUS!$D:$D,$A62)</f>
        <v>0</v>
      </c>
      <c r="G62" s="5">
        <f>COUNTIFS(STATUS!$Q:$Q,G$1,STATUS!$D:$D,$A62)</f>
        <v>0</v>
      </c>
      <c r="H62" s="5">
        <f>COUNTIFS(STATUS!$Q:$Q,H$1,STATUS!$D:$D,$A62)</f>
        <v>0</v>
      </c>
      <c r="I62" s="5">
        <f>COUNTIFS(STATUS!$Q:$Q,I$1,STATUS!$D:$D,$A62)</f>
        <v>0</v>
      </c>
      <c r="J62" s="5">
        <f t="shared" si="2"/>
        <v>19</v>
      </c>
    </row>
    <row r="63" spans="1:10" x14ac:dyDescent="0.35">
      <c r="A63" s="4">
        <v>43908</v>
      </c>
      <c r="B63" s="5">
        <f>COUNTIFS(STATUS!$Q:$Q,B$1,STATUS!$D:$D,$A63)</f>
        <v>4</v>
      </c>
      <c r="C63" s="5">
        <f>COUNTIFS(STATUS!$Q:$Q,C$1,STATUS!$D:$D,$A63)</f>
        <v>5</v>
      </c>
      <c r="D63" s="5">
        <f>COUNTIFS(STATUS!$Q:$Q,D$1,STATUS!$D:$D,$A63)</f>
        <v>4</v>
      </c>
      <c r="E63" s="5">
        <f>COUNTIFS(STATUS!$Q:$Q,E$1,STATUS!$D:$D,$A63)</f>
        <v>5</v>
      </c>
      <c r="F63" s="5">
        <f>COUNTIFS(STATUS!$Q:$Q,F$1,STATUS!$D:$D,$A63)</f>
        <v>0</v>
      </c>
      <c r="G63" s="5">
        <f>COUNTIFS(STATUS!$Q:$Q,G$1,STATUS!$D:$D,$A63)</f>
        <v>0</v>
      </c>
      <c r="H63" s="5">
        <f>COUNTIFS(STATUS!$Q:$Q,H$1,STATUS!$D:$D,$A63)</f>
        <v>0</v>
      </c>
      <c r="I63" s="5">
        <f>COUNTIFS(STATUS!$Q:$Q,I$1,STATUS!$D:$D,$A63)</f>
        <v>0</v>
      </c>
      <c r="J63" s="5">
        <f t="shared" si="2"/>
        <v>18</v>
      </c>
    </row>
    <row r="64" spans="1:10" x14ac:dyDescent="0.35">
      <c r="A64" s="4">
        <v>43909</v>
      </c>
      <c r="B64" s="5">
        <f>COUNTIFS(STATUS!$Q:$Q,B$1,STATUS!$D:$D,$A64)</f>
        <v>5</v>
      </c>
      <c r="C64" s="5">
        <f>COUNTIFS(STATUS!$Q:$Q,C$1,STATUS!$D:$D,$A64)</f>
        <v>5</v>
      </c>
      <c r="D64" s="5">
        <f>COUNTIFS(STATUS!$Q:$Q,D$1,STATUS!$D:$D,$A64)</f>
        <v>6</v>
      </c>
      <c r="E64" s="5">
        <f>COUNTIFS(STATUS!$Q:$Q,E$1,STATUS!$D:$D,$A64)</f>
        <v>4</v>
      </c>
      <c r="F64" s="5">
        <f>COUNTIFS(STATUS!$Q:$Q,F$1,STATUS!$D:$D,$A64)</f>
        <v>0</v>
      </c>
      <c r="G64" s="5">
        <f>COUNTIFS(STATUS!$Q:$Q,G$1,STATUS!$D:$D,$A64)</f>
        <v>0</v>
      </c>
      <c r="H64" s="5">
        <f>COUNTIFS(STATUS!$Q:$Q,H$1,STATUS!$D:$D,$A64)</f>
        <v>0</v>
      </c>
      <c r="I64" s="5">
        <f>COUNTIFS(STATUS!$Q:$Q,I$1,STATUS!$D:$D,$A64)</f>
        <v>0</v>
      </c>
      <c r="J64" s="5">
        <f t="shared" si="2"/>
        <v>20</v>
      </c>
    </row>
    <row r="65" spans="1:10" x14ac:dyDescent="0.35">
      <c r="A65" s="4">
        <v>43910</v>
      </c>
      <c r="B65" s="5">
        <f>COUNTIFS(STATUS!$Q:$Q,B$1,STATUS!$D:$D,$A65)</f>
        <v>4</v>
      </c>
      <c r="C65" s="5">
        <f>COUNTIFS(STATUS!$Q:$Q,C$1,STATUS!$D:$D,$A65)</f>
        <v>5</v>
      </c>
      <c r="D65" s="5">
        <f>COUNTIFS(STATUS!$Q:$Q,D$1,STATUS!$D:$D,$A65)</f>
        <v>3</v>
      </c>
      <c r="E65" s="5">
        <f>COUNTIFS(STATUS!$Q:$Q,E$1,STATUS!$D:$D,$A65)</f>
        <v>3</v>
      </c>
      <c r="F65" s="5">
        <f>COUNTIFS(STATUS!$Q:$Q,F$1,STATUS!$D:$D,$A65)</f>
        <v>0</v>
      </c>
      <c r="G65" s="5">
        <f>COUNTIFS(STATUS!$Q:$Q,G$1,STATUS!$D:$D,$A65)</f>
        <v>0</v>
      </c>
      <c r="H65" s="5">
        <f>COUNTIFS(STATUS!$Q:$Q,H$1,STATUS!$D:$D,$A65)</f>
        <v>0</v>
      </c>
      <c r="I65" s="5">
        <f>COUNTIFS(STATUS!$Q:$Q,I$1,STATUS!$D:$D,$A65)</f>
        <v>0</v>
      </c>
      <c r="J65" s="5">
        <f t="shared" si="2"/>
        <v>15</v>
      </c>
    </row>
    <row r="66" spans="1:10" x14ac:dyDescent="0.35">
      <c r="A66" s="4">
        <v>43913</v>
      </c>
      <c r="B66" s="5">
        <f>COUNTIFS(STATUS!$Q:$Q,B$1,STATUS!$D:$D,$A66)</f>
        <v>5</v>
      </c>
      <c r="C66" s="5">
        <f>COUNTIFS(STATUS!$Q:$Q,C$1,STATUS!$D:$D,$A66)</f>
        <v>5</v>
      </c>
      <c r="D66" s="5">
        <f>COUNTIFS(STATUS!$Q:$Q,D$1,STATUS!$D:$D,$A66)</f>
        <v>6</v>
      </c>
      <c r="E66" s="5">
        <f>COUNTIFS(STATUS!$Q:$Q,E$1,STATUS!$D:$D,$A66)</f>
        <v>5</v>
      </c>
      <c r="F66" s="5">
        <f>COUNTIFS(STATUS!$Q:$Q,F$1,STATUS!$D:$D,$A66)</f>
        <v>0</v>
      </c>
      <c r="G66" s="5">
        <f>COUNTIFS(STATUS!$Q:$Q,G$1,STATUS!$D:$D,$A66)</f>
        <v>0</v>
      </c>
      <c r="H66" s="5">
        <f>COUNTIFS(STATUS!$Q:$Q,H$1,STATUS!$D:$D,$A66)</f>
        <v>8</v>
      </c>
      <c r="I66" s="5">
        <f>COUNTIFS(STATUS!$Q:$Q,I$1,STATUS!$D:$D,$A66)</f>
        <v>0</v>
      </c>
      <c r="J66" s="5">
        <f t="shared" si="2"/>
        <v>29</v>
      </c>
    </row>
    <row r="67" spans="1:10" x14ac:dyDescent="0.35">
      <c r="A67" s="4">
        <v>43914</v>
      </c>
      <c r="B67" s="5">
        <f>COUNTIFS(STATUS!$Q:$Q,B$1,STATUS!$D:$D,$A67)</f>
        <v>4</v>
      </c>
      <c r="C67" s="5">
        <f>COUNTIFS(STATUS!$Q:$Q,C$1,STATUS!$D:$D,$A67)</f>
        <v>3</v>
      </c>
      <c r="D67" s="5">
        <f>COUNTIFS(STATUS!$Q:$Q,D$1,STATUS!$D:$D,$A67)</f>
        <v>4</v>
      </c>
      <c r="E67" s="5">
        <f>COUNTIFS(STATUS!$Q:$Q,E$1,STATUS!$D:$D,$A67)</f>
        <v>3</v>
      </c>
      <c r="F67" s="5">
        <f>COUNTIFS(STATUS!$Q:$Q,F$1,STATUS!$D:$D,$A67)</f>
        <v>0</v>
      </c>
      <c r="G67" s="5">
        <f>COUNTIFS(STATUS!$Q:$Q,G$1,STATUS!$D:$D,$A67)</f>
        <v>0</v>
      </c>
      <c r="H67" s="5">
        <f>COUNTIFS(STATUS!$Q:$Q,H$1,STATUS!$D:$D,$A67)</f>
        <v>5</v>
      </c>
      <c r="I67" s="5">
        <f>COUNTIFS(STATUS!$Q:$Q,I$1,STATUS!$D:$D,$A67)</f>
        <v>0</v>
      </c>
      <c r="J67" s="5">
        <f t="shared" si="2"/>
        <v>19</v>
      </c>
    </row>
    <row r="68" spans="1:10" x14ac:dyDescent="0.35">
      <c r="A68" s="4">
        <v>43915</v>
      </c>
      <c r="B68" s="5">
        <f>COUNTIFS(STATUS!$Q:$Q,B$1,STATUS!$D:$D,$A68)</f>
        <v>4</v>
      </c>
      <c r="C68" s="5">
        <f>COUNTIFS(STATUS!$Q:$Q,C$1,STATUS!$D:$D,$A68)</f>
        <v>5</v>
      </c>
      <c r="D68" s="5">
        <f>COUNTIFS(STATUS!$Q:$Q,D$1,STATUS!$D:$D,$A68)</f>
        <v>5</v>
      </c>
      <c r="E68" s="5">
        <f>COUNTIFS(STATUS!$Q:$Q,E$1,STATUS!$D:$D,$A68)</f>
        <v>5</v>
      </c>
      <c r="F68" s="5">
        <f>COUNTIFS(STATUS!$Q:$Q,F$1,STATUS!$D:$D,$A68)</f>
        <v>0</v>
      </c>
      <c r="G68" s="5">
        <f>COUNTIFS(STATUS!$Q:$Q,G$1,STATUS!$D:$D,$A68)</f>
        <v>0</v>
      </c>
      <c r="H68" s="5">
        <f>COUNTIFS(STATUS!$Q:$Q,H$1,STATUS!$D:$D,$A68)</f>
        <v>8</v>
      </c>
      <c r="I68" s="5">
        <f>COUNTIFS(STATUS!$Q:$Q,I$1,STATUS!$D:$D,$A68)</f>
        <v>0</v>
      </c>
      <c r="J68" s="5">
        <f t="shared" si="2"/>
        <v>27</v>
      </c>
    </row>
    <row r="69" spans="1:10" x14ac:dyDescent="0.35">
      <c r="A69" s="4">
        <v>43916</v>
      </c>
      <c r="B69" s="5">
        <f>COUNTIFS(STATUS!$Q:$Q,B$1,STATUS!$D:$D,$A69)</f>
        <v>5</v>
      </c>
      <c r="C69" s="5">
        <f>COUNTIFS(STATUS!$Q:$Q,C$1,STATUS!$D:$D,$A69)</f>
        <v>6</v>
      </c>
      <c r="D69" s="5">
        <f>COUNTIFS(STATUS!$Q:$Q,D$1,STATUS!$D:$D,$A69)</f>
        <v>5</v>
      </c>
      <c r="E69" s="5">
        <f>COUNTIFS(STATUS!$Q:$Q,E$1,STATUS!$D:$D,$A69)</f>
        <v>5</v>
      </c>
      <c r="F69" s="5">
        <f>COUNTIFS(STATUS!$Q:$Q,F$1,STATUS!$D:$D,$A69)</f>
        <v>0</v>
      </c>
      <c r="G69" s="5">
        <f>COUNTIFS(STATUS!$Q:$Q,G$1,STATUS!$D:$D,$A69)</f>
        <v>0</v>
      </c>
      <c r="H69" s="5">
        <f>COUNTIFS(STATUS!$Q:$Q,H$1,STATUS!$D:$D,$A69)</f>
        <v>7</v>
      </c>
      <c r="I69" s="5">
        <f>COUNTIFS(STATUS!$Q:$Q,I$1,STATUS!$D:$D,$A69)</f>
        <v>0</v>
      </c>
      <c r="J69" s="5">
        <f t="shared" si="2"/>
        <v>28</v>
      </c>
    </row>
    <row r="70" spans="1:10" x14ac:dyDescent="0.35">
      <c r="A70" s="4">
        <v>43917</v>
      </c>
      <c r="B70" s="5">
        <f>COUNTIFS(STATUS!$Q:$Q,B$1,STATUS!$D:$D,$A70)</f>
        <v>4</v>
      </c>
      <c r="C70" s="5">
        <f>COUNTIFS(STATUS!$Q:$Q,C$1,STATUS!$D:$D,$A70)</f>
        <v>5</v>
      </c>
      <c r="D70" s="5">
        <f>COUNTIFS(STATUS!$Q:$Q,D$1,STATUS!$D:$D,$A70)</f>
        <v>5</v>
      </c>
      <c r="E70" s="5">
        <f>COUNTIFS(STATUS!$Q:$Q,E$1,STATUS!$D:$D,$A70)</f>
        <v>3</v>
      </c>
      <c r="F70" s="5">
        <f>COUNTIFS(STATUS!$Q:$Q,F$1,STATUS!$D:$D,$A70)</f>
        <v>0</v>
      </c>
      <c r="G70" s="5">
        <f>COUNTIFS(STATUS!$Q:$Q,G$1,STATUS!$D:$D,$A70)</f>
        <v>0</v>
      </c>
      <c r="H70" s="5">
        <f>COUNTIFS(STATUS!$Q:$Q,H$1,STATUS!$D:$D,$A70)</f>
        <v>7</v>
      </c>
      <c r="I70" s="5">
        <f>COUNTIFS(STATUS!$Q:$Q,I$1,STATUS!$D:$D,$A70)</f>
        <v>0</v>
      </c>
      <c r="J70" s="5">
        <f t="shared" si="2"/>
        <v>24</v>
      </c>
    </row>
    <row r="71" spans="1:10" x14ac:dyDescent="0.35">
      <c r="A71" s="4">
        <v>43927</v>
      </c>
      <c r="B71" s="5">
        <f>COUNTIFS(STATUS!$Q:$Q,B$1,STATUS!$D:$D,$A71)</f>
        <v>4</v>
      </c>
      <c r="C71" s="5">
        <f>COUNTIFS(STATUS!$Q:$Q,C$1,STATUS!$D:$D,$A71)</f>
        <v>4</v>
      </c>
      <c r="D71" s="5">
        <f>COUNTIFS(STATUS!$Q:$Q,D$1,STATUS!$D:$D,$A71)</f>
        <v>4</v>
      </c>
      <c r="E71" s="5">
        <f>COUNTIFS(STATUS!$Q:$Q,E$1,STATUS!$D:$D,$A71)</f>
        <v>3</v>
      </c>
      <c r="F71" s="5">
        <f>COUNTIFS(STATUS!$Q:$Q,F$1,STATUS!$D:$D,$A71)</f>
        <v>0</v>
      </c>
      <c r="G71" s="5">
        <f>COUNTIFS(STATUS!$Q:$Q,G$1,STATUS!$D:$D,$A71)</f>
        <v>7</v>
      </c>
      <c r="H71" s="5">
        <f>COUNTIFS(STATUS!$Q:$Q,H$1,STATUS!$D:$D,$A71)</f>
        <v>9</v>
      </c>
      <c r="I71" s="5">
        <f>COUNTIFS(STATUS!$Q:$Q,I$1,STATUS!$D:$D,$A71)</f>
        <v>0</v>
      </c>
      <c r="J71" s="5">
        <f t="shared" si="2"/>
        <v>31</v>
      </c>
    </row>
    <row r="72" spans="1:10" x14ac:dyDescent="0.35">
      <c r="A72" s="4">
        <v>43928</v>
      </c>
      <c r="B72" s="5">
        <f>COUNTIFS(STATUS!$Q:$Q,B$1,STATUS!$D:$D,$A72)</f>
        <v>3</v>
      </c>
      <c r="C72" s="5">
        <f>COUNTIFS(STATUS!$Q:$Q,C$1,STATUS!$D:$D,$A72)</f>
        <v>2</v>
      </c>
      <c r="D72" s="5">
        <f>COUNTIFS(STATUS!$Q:$Q,D$1,STATUS!$D:$D,$A72)</f>
        <v>6</v>
      </c>
      <c r="E72" s="5">
        <f>COUNTIFS(STATUS!$Q:$Q,E$1,STATUS!$D:$D,$A72)</f>
        <v>4</v>
      </c>
      <c r="F72" s="5">
        <f>COUNTIFS(STATUS!$Q:$Q,F$1,STATUS!$D:$D,$A72)</f>
        <v>0</v>
      </c>
      <c r="G72" s="5">
        <f>COUNTIFS(STATUS!$Q:$Q,G$1,STATUS!$D:$D,$A72)</f>
        <v>2</v>
      </c>
      <c r="H72" s="5">
        <f>COUNTIFS(STATUS!$Q:$Q,H$1,STATUS!$D:$D,$A72)</f>
        <v>7</v>
      </c>
      <c r="I72" s="5">
        <f>COUNTIFS(STATUS!$Q:$Q,I$1,STATUS!$D:$D,$A72)</f>
        <v>0</v>
      </c>
      <c r="J72" s="5">
        <f t="shared" si="2"/>
        <v>24</v>
      </c>
    </row>
    <row r="73" spans="1:10" x14ac:dyDescent="0.35">
      <c r="A73" s="4">
        <v>43929</v>
      </c>
      <c r="B73" s="5">
        <f>COUNTIFS(STATUS!$Q:$Q,B$1,STATUS!$D:$D,$A73)</f>
        <v>0</v>
      </c>
      <c r="C73" s="5">
        <f>COUNTIFS(STATUS!$Q:$Q,C$1,STATUS!$D:$D,$A73)</f>
        <v>6</v>
      </c>
      <c r="D73" s="5">
        <f>COUNTIFS(STATUS!$Q:$Q,D$1,STATUS!$D:$D,$A73)</f>
        <v>6</v>
      </c>
      <c r="E73" s="5">
        <f>COUNTIFS(STATUS!$Q:$Q,E$1,STATUS!$D:$D,$A73)</f>
        <v>1</v>
      </c>
      <c r="F73" s="5">
        <f>COUNTIFS(STATUS!$Q:$Q,F$1,STATUS!$D:$D,$A73)</f>
        <v>0</v>
      </c>
      <c r="G73" s="5">
        <f>COUNTIFS(STATUS!$Q:$Q,G$1,STATUS!$D:$D,$A73)</f>
        <v>4</v>
      </c>
      <c r="H73" s="5">
        <f>COUNTIFS(STATUS!$Q:$Q,H$1,STATUS!$D:$D,$A73)</f>
        <v>6</v>
      </c>
      <c r="I73" s="5">
        <f>COUNTIFS(STATUS!$Q:$Q,I$1,STATUS!$D:$D,$A73)</f>
        <v>0</v>
      </c>
      <c r="J73" s="5">
        <f t="shared" ref="J73" si="3">SUM(B73:I73)</f>
        <v>23</v>
      </c>
    </row>
    <row r="74" spans="1:10" x14ac:dyDescent="0.35">
      <c r="A74" s="4">
        <v>43963</v>
      </c>
      <c r="B74" s="5">
        <f>COUNTIFS(STATUS!$Q:$Q,B$1,STATUS!$D:$D,$A74)</f>
        <v>6</v>
      </c>
      <c r="C74" s="5">
        <f>COUNTIFS(STATUS!$Q:$Q,C$1,STATUS!$D:$D,$A74)</f>
        <v>4</v>
      </c>
      <c r="D74" s="5">
        <f>COUNTIFS(STATUS!$Q:$Q,D$1,STATUS!$D:$D,$A74)</f>
        <v>5</v>
      </c>
      <c r="E74" s="5">
        <f>COUNTIFS(STATUS!$Q:$Q,E$1,STATUS!$D:$D,$A74)</f>
        <v>4</v>
      </c>
      <c r="F74" s="5">
        <f>COUNTIFS(STATUS!$Q:$Q,F$1,STATUS!$D:$D,$A74)</f>
        <v>0</v>
      </c>
      <c r="G74" s="5">
        <f>COUNTIFS(STATUS!$Q:$Q,G$1,STATUS!$D:$D,$A74)</f>
        <v>5</v>
      </c>
      <c r="H74" s="5">
        <f>COUNTIFS(STATUS!$Q:$Q,H$1,STATUS!$D:$D,$A74)</f>
        <v>0</v>
      </c>
      <c r="I74" s="5">
        <f>COUNTIFS(STATUS!$Q:$Q,I$1,STATUS!$D:$D,$A74)</f>
        <v>0</v>
      </c>
      <c r="J74" s="5">
        <f t="shared" ref="J74:J75" si="4">SUM(B74:I74)</f>
        <v>24</v>
      </c>
    </row>
    <row r="75" spans="1:10" x14ac:dyDescent="0.35">
      <c r="A75" s="4">
        <v>43964</v>
      </c>
      <c r="B75" s="5">
        <f>COUNTIFS(STATUS!$Q:$Q,B$1,STATUS!$D:$D,$A75)</f>
        <v>5</v>
      </c>
      <c r="C75" s="5">
        <f>COUNTIFS(STATUS!$Q:$Q,C$1,STATUS!$D:$D,$A75)</f>
        <v>6</v>
      </c>
      <c r="D75" s="5">
        <f>COUNTIFS(STATUS!$Q:$Q,D$1,STATUS!$D:$D,$A75)</f>
        <v>7</v>
      </c>
      <c r="E75" s="5">
        <f>COUNTIFS(STATUS!$Q:$Q,E$1,STATUS!$D:$D,$A75)</f>
        <v>6</v>
      </c>
      <c r="F75" s="5">
        <f>COUNTIFS(STATUS!$Q:$Q,F$1,STATUS!$D:$D,$A75)</f>
        <v>0</v>
      </c>
      <c r="G75" s="5">
        <f>COUNTIFS(STATUS!$Q:$Q,G$1,STATUS!$D:$D,$A75)</f>
        <v>8</v>
      </c>
      <c r="H75" s="5">
        <f>COUNTIFS(STATUS!$Q:$Q,H$1,STATUS!$D:$D,$A75)</f>
        <v>0</v>
      </c>
      <c r="I75" s="5">
        <f>COUNTIFS(STATUS!$Q:$Q,I$1,STATUS!$D:$D,$A75)</f>
        <v>0</v>
      </c>
      <c r="J75" s="5">
        <f t="shared" si="4"/>
        <v>32</v>
      </c>
    </row>
    <row r="76" spans="1:10" x14ac:dyDescent="0.35">
      <c r="A76" s="4">
        <v>43965</v>
      </c>
      <c r="B76" s="5">
        <f>COUNTIFS(STATUS!$Q:$Q,B$1,STATUS!$D:$D,$A76)</f>
        <v>4</v>
      </c>
      <c r="C76" s="5">
        <f>COUNTIFS(STATUS!$Q:$Q,C$1,STATUS!$D:$D,$A76)</f>
        <v>7</v>
      </c>
      <c r="D76" s="5">
        <f>COUNTIFS(STATUS!$Q:$Q,D$1,STATUS!$D:$D,$A76)</f>
        <v>7</v>
      </c>
      <c r="E76" s="5">
        <f>COUNTIFS(STATUS!$Q:$Q,E$1,STATUS!$D:$D,$A76)</f>
        <v>6</v>
      </c>
      <c r="F76" s="5">
        <f>COUNTIFS(STATUS!$Q:$Q,F$1,STATUS!$D:$D,$A76)</f>
        <v>0</v>
      </c>
      <c r="G76" s="5">
        <f>COUNTIFS(STATUS!$Q:$Q,G$1,STATUS!$D:$D,$A76)</f>
        <v>7</v>
      </c>
      <c r="H76" s="5">
        <f>COUNTIFS(STATUS!$Q:$Q,H$1,STATUS!$D:$D,$A76)</f>
        <v>0</v>
      </c>
      <c r="I76" s="5">
        <f>COUNTIFS(STATUS!$Q:$Q,I$1,STATUS!$D:$D,$A76)</f>
        <v>0</v>
      </c>
      <c r="J76" s="5">
        <f t="shared" ref="J76:J85" si="5">SUM(B76:I76)</f>
        <v>31</v>
      </c>
    </row>
    <row r="77" spans="1:10" x14ac:dyDescent="0.35">
      <c r="A77" s="4">
        <v>43966</v>
      </c>
      <c r="B77" s="5">
        <f>COUNTIFS(STATUS!$Q:$Q,B$1,STATUS!$D:$D,$A77)</f>
        <v>4</v>
      </c>
      <c r="C77" s="5">
        <f>COUNTIFS(STATUS!$Q:$Q,C$1,STATUS!$D:$D,$A77)</f>
        <v>6</v>
      </c>
      <c r="D77" s="5">
        <f>COUNTIFS(STATUS!$Q:$Q,D$1,STATUS!$D:$D,$A77)</f>
        <v>5</v>
      </c>
      <c r="E77" s="5">
        <f>COUNTIFS(STATUS!$Q:$Q,E$1,STATUS!$D:$D,$A77)</f>
        <v>6</v>
      </c>
      <c r="F77" s="5">
        <f>COUNTIFS(STATUS!$Q:$Q,F$1,STATUS!$D:$D,$A77)</f>
        <v>0</v>
      </c>
      <c r="G77" s="5">
        <f>COUNTIFS(STATUS!$Q:$Q,G$1,STATUS!$D:$D,$A77)</f>
        <v>7</v>
      </c>
      <c r="H77" s="5">
        <f>COUNTIFS(STATUS!$Q:$Q,H$1,STATUS!$D:$D,$A77)</f>
        <v>0</v>
      </c>
      <c r="I77" s="5">
        <f>COUNTIFS(STATUS!$Q:$Q,I$1,STATUS!$D:$D,$A77)</f>
        <v>0</v>
      </c>
      <c r="J77" s="5">
        <f t="shared" si="5"/>
        <v>28</v>
      </c>
    </row>
    <row r="78" spans="1:10" x14ac:dyDescent="0.35">
      <c r="A78" s="4">
        <v>43969</v>
      </c>
      <c r="B78" s="5">
        <f>COUNTIFS(STATUS!$Q:$Q,B$1,STATUS!$D:$D,$A78)</f>
        <v>3</v>
      </c>
      <c r="C78" s="5">
        <f>COUNTIFS(STATUS!$Q:$Q,C$1,STATUS!$D:$D,$A78)</f>
        <v>5</v>
      </c>
      <c r="D78" s="5">
        <f>COUNTIFS(STATUS!$Q:$Q,D$1,STATUS!$D:$D,$A78)</f>
        <v>6</v>
      </c>
      <c r="E78" s="5">
        <f>COUNTIFS(STATUS!$Q:$Q,E$1,STATUS!$D:$D,$A78)</f>
        <v>6</v>
      </c>
      <c r="F78" s="5">
        <f>COUNTIFS(STATUS!$Q:$Q,F$1,STATUS!$D:$D,$A78)</f>
        <v>0</v>
      </c>
      <c r="G78" s="5">
        <f>COUNTIFS(STATUS!$Q:$Q,G$1,STATUS!$D:$D,$A78)</f>
        <v>5</v>
      </c>
      <c r="H78" s="5">
        <f>COUNTIFS(STATUS!$Q:$Q,H$1,STATUS!$D:$D,$A78)</f>
        <v>0</v>
      </c>
      <c r="I78" s="5">
        <f>COUNTIFS(STATUS!$Q:$Q,I$1,STATUS!$D:$D,$A78)</f>
        <v>0</v>
      </c>
      <c r="J78" s="5">
        <f t="shared" si="5"/>
        <v>25</v>
      </c>
    </row>
    <row r="79" spans="1:10" x14ac:dyDescent="0.35">
      <c r="A79" s="4">
        <v>43970</v>
      </c>
      <c r="B79" s="5">
        <f>COUNTIFS(STATUS!$Q:$Q,B$1,STATUS!$D:$D,$A79)</f>
        <v>5</v>
      </c>
      <c r="C79" s="5">
        <f>COUNTIFS(STATUS!$Q:$Q,C$1,STATUS!$D:$D,$A79)</f>
        <v>5</v>
      </c>
      <c r="D79" s="5">
        <f>COUNTIFS(STATUS!$Q:$Q,D$1,STATUS!$D:$D,$A79)</f>
        <v>7</v>
      </c>
      <c r="E79" s="5">
        <f>COUNTIFS(STATUS!$Q:$Q,E$1,STATUS!$D:$D,$A79)</f>
        <v>5</v>
      </c>
      <c r="F79" s="5">
        <f>COUNTIFS(STATUS!$Q:$Q,F$1,STATUS!$D:$D,$A79)</f>
        <v>0</v>
      </c>
      <c r="G79" s="5">
        <f>COUNTIFS(STATUS!$Q:$Q,G$1,STATUS!$D:$D,$A79)</f>
        <v>4</v>
      </c>
      <c r="H79" s="5">
        <f>COUNTIFS(STATUS!$Q:$Q,H$1,STATUS!$D:$D,$A79)</f>
        <v>0</v>
      </c>
      <c r="I79" s="5">
        <f>COUNTIFS(STATUS!$Q:$Q,I$1,STATUS!$D:$D,$A79)</f>
        <v>0</v>
      </c>
      <c r="J79" s="5">
        <f t="shared" si="5"/>
        <v>26</v>
      </c>
    </row>
    <row r="80" spans="1:10" x14ac:dyDescent="0.35">
      <c r="A80" s="4">
        <v>43971</v>
      </c>
      <c r="B80" s="5">
        <f>COUNTIFS(STATUS!$Q:$Q,B$1,STATUS!$D:$D,$A80)</f>
        <v>6</v>
      </c>
      <c r="C80" s="5">
        <f>COUNTIFS(STATUS!$Q:$Q,C$1,STATUS!$D:$D,$A80)</f>
        <v>5</v>
      </c>
      <c r="D80" s="5">
        <f>COUNTIFS(STATUS!$Q:$Q,D$1,STATUS!$D:$D,$A80)</f>
        <v>5</v>
      </c>
      <c r="E80" s="5">
        <f>COUNTIFS(STATUS!$Q:$Q,E$1,STATUS!$D:$D,$A80)</f>
        <v>3</v>
      </c>
      <c r="F80" s="5">
        <f>COUNTIFS(STATUS!$Q:$Q,F$1,STATUS!$D:$D,$A80)</f>
        <v>0</v>
      </c>
      <c r="G80" s="5">
        <f>COUNTIFS(STATUS!$Q:$Q,G$1,STATUS!$D:$D,$A80)</f>
        <v>4</v>
      </c>
      <c r="H80" s="5">
        <f>COUNTIFS(STATUS!$Q:$Q,H$1,STATUS!$D:$D,$A80)</f>
        <v>0</v>
      </c>
      <c r="I80" s="5">
        <f>COUNTIFS(STATUS!$Q:$Q,I$1,STATUS!$D:$D,$A80)</f>
        <v>0</v>
      </c>
      <c r="J80" s="5">
        <f t="shared" si="5"/>
        <v>23</v>
      </c>
    </row>
    <row r="81" spans="1:10" x14ac:dyDescent="0.35">
      <c r="A81" s="4">
        <v>43972</v>
      </c>
      <c r="B81" s="5">
        <f>COUNTIFS(STATUS!$Q:$Q,B$1,STATUS!$D:$D,$A81)</f>
        <v>5</v>
      </c>
      <c r="C81" s="5">
        <f>COUNTIFS(STATUS!$Q:$Q,C$1,STATUS!$D:$D,$A81)</f>
        <v>5</v>
      </c>
      <c r="D81" s="5">
        <f>COUNTIFS(STATUS!$Q:$Q,D$1,STATUS!$D:$D,$A81)</f>
        <v>6</v>
      </c>
      <c r="E81" s="5">
        <f>COUNTIFS(STATUS!$Q:$Q,E$1,STATUS!$D:$D,$A81)</f>
        <v>4</v>
      </c>
      <c r="F81" s="5">
        <f>COUNTIFS(STATUS!$Q:$Q,F$1,STATUS!$D:$D,$A81)</f>
        <v>0</v>
      </c>
      <c r="G81" s="5">
        <f>COUNTIFS(STATUS!$Q:$Q,G$1,STATUS!$D:$D,$A81)</f>
        <v>2</v>
      </c>
      <c r="H81" s="5">
        <f>COUNTIFS(STATUS!$Q:$Q,H$1,STATUS!$D:$D,$A81)</f>
        <v>0</v>
      </c>
      <c r="I81" s="5">
        <f>COUNTIFS(STATUS!$Q:$Q,I$1,STATUS!$D:$D,$A81)</f>
        <v>0</v>
      </c>
      <c r="J81" s="5">
        <f t="shared" si="5"/>
        <v>22</v>
      </c>
    </row>
    <row r="82" spans="1:10" x14ac:dyDescent="0.35">
      <c r="A82" s="4">
        <v>43973</v>
      </c>
      <c r="B82" s="5">
        <f>COUNTIFS(STATUS!$Q:$Q,B$1,STATUS!$D:$D,$A82)</f>
        <v>5</v>
      </c>
      <c r="C82" s="5">
        <f>COUNTIFS(STATUS!$Q:$Q,C$1,STATUS!$D:$D,$A82)</f>
        <v>4</v>
      </c>
      <c r="D82" s="5">
        <f>COUNTIFS(STATUS!$Q:$Q,D$1,STATUS!$D:$D,$A82)</f>
        <v>4</v>
      </c>
      <c r="E82" s="5">
        <f>COUNTIFS(STATUS!$Q:$Q,E$1,STATUS!$D:$D,$A82)</f>
        <v>4</v>
      </c>
      <c r="F82" s="5">
        <f>COUNTIFS(STATUS!$Q:$Q,F$1,STATUS!$D:$D,$A82)</f>
        <v>0</v>
      </c>
      <c r="G82" s="5">
        <f>COUNTIFS(STATUS!$Q:$Q,G$1,STATUS!$D:$D,$A82)</f>
        <v>3</v>
      </c>
      <c r="H82" s="5">
        <f>COUNTIFS(STATUS!$Q:$Q,H$1,STATUS!$D:$D,$A82)</f>
        <v>0</v>
      </c>
      <c r="I82" s="5">
        <f>COUNTIFS(STATUS!$Q:$Q,I$1,STATUS!$D:$D,$A82)</f>
        <v>0</v>
      </c>
      <c r="J82" s="5">
        <f t="shared" si="5"/>
        <v>20</v>
      </c>
    </row>
    <row r="83" spans="1:10" x14ac:dyDescent="0.35">
      <c r="A83" s="4">
        <v>43976</v>
      </c>
      <c r="B83" s="5">
        <f>COUNTIFS(STATUS!$Q:$Q,B$1,STATUS!$D:$D,$A83)</f>
        <v>6</v>
      </c>
      <c r="C83" s="5">
        <f>COUNTIFS(STATUS!$Q:$Q,C$1,STATUS!$D:$D,$A83)</f>
        <v>3</v>
      </c>
      <c r="D83" s="5">
        <f>COUNTIFS(STATUS!$Q:$Q,D$1,STATUS!$D:$D,$A83)</f>
        <v>3</v>
      </c>
      <c r="E83" s="5">
        <f>COUNTIFS(STATUS!$Q:$Q,E$1,STATUS!$D:$D,$A83)</f>
        <v>1</v>
      </c>
      <c r="F83" s="5">
        <f>COUNTIFS(STATUS!$Q:$Q,F$1,STATUS!$D:$D,$A83)</f>
        <v>0</v>
      </c>
      <c r="G83" s="5">
        <f>COUNTIFS(STATUS!$Q:$Q,G$1,STATUS!$D:$D,$A83)</f>
        <v>6</v>
      </c>
      <c r="H83" s="5">
        <f>COUNTIFS(STATUS!$Q:$Q,H$1,STATUS!$D:$D,$A83)</f>
        <v>0</v>
      </c>
      <c r="I83" s="5">
        <f>COUNTIFS(STATUS!$Q:$Q,I$1,STATUS!$D:$D,$A83)</f>
        <v>0</v>
      </c>
      <c r="J83" s="5">
        <f t="shared" si="5"/>
        <v>19</v>
      </c>
    </row>
    <row r="84" spans="1:10" x14ac:dyDescent="0.35">
      <c r="A84" s="4">
        <v>43977</v>
      </c>
      <c r="B84" s="5">
        <f>COUNTIFS(STATUS!$Q:$Q,B$1,STATUS!$D:$D,$A84)</f>
        <v>2</v>
      </c>
      <c r="C84" s="5">
        <f>COUNTIFS(STATUS!$Q:$Q,C$1,STATUS!$D:$D,$A84)</f>
        <v>3</v>
      </c>
      <c r="D84" s="5">
        <f>COUNTIFS(STATUS!$Q:$Q,D$1,STATUS!$D:$D,$A84)</f>
        <v>3</v>
      </c>
      <c r="E84" s="5">
        <f>COUNTIFS(STATUS!$Q:$Q,E$1,STATUS!$D:$D,$A84)</f>
        <v>5</v>
      </c>
      <c r="F84" s="5">
        <f>COUNTIFS(STATUS!$Q:$Q,F$1,STATUS!$D:$D,$A84)</f>
        <v>0</v>
      </c>
      <c r="G84" s="5">
        <f>COUNTIFS(STATUS!$Q:$Q,G$1,STATUS!$D:$D,$A84)</f>
        <v>2</v>
      </c>
      <c r="H84" s="5">
        <f>COUNTIFS(STATUS!$Q:$Q,H$1,STATUS!$D:$D,$A84)</f>
        <v>0</v>
      </c>
      <c r="I84" s="5">
        <f>COUNTIFS(STATUS!$Q:$Q,I$1,STATUS!$D:$D,$A84)</f>
        <v>0</v>
      </c>
      <c r="J84" s="5">
        <f t="shared" si="5"/>
        <v>15</v>
      </c>
    </row>
    <row r="85" spans="1:10" x14ac:dyDescent="0.35">
      <c r="A85" s="4">
        <v>43978</v>
      </c>
      <c r="B85" s="5">
        <f>COUNTIFS(STATUS!$Q:$Q,B$1,STATUS!$D:$D,$A85)</f>
        <v>17</v>
      </c>
      <c r="C85" s="5">
        <f>COUNTIFS(STATUS!$Q:$Q,C$1,STATUS!$D:$D,$A85)</f>
        <v>11</v>
      </c>
      <c r="D85" s="5">
        <f>COUNTIFS(STATUS!$Q:$Q,D$1,STATUS!$D:$D,$A85)</f>
        <v>12</v>
      </c>
      <c r="E85" s="5">
        <f>COUNTIFS(STATUS!$Q:$Q,E$1,STATUS!$D:$D,$A85)</f>
        <v>4</v>
      </c>
      <c r="F85" s="5">
        <f>COUNTIFS(STATUS!$Q:$Q,F$1,STATUS!$D:$D,$A85)</f>
        <v>0</v>
      </c>
      <c r="G85" s="5">
        <f>COUNTIFS(STATUS!$Q:$Q,G$1,STATUS!$D:$D,$A85)</f>
        <v>0</v>
      </c>
      <c r="H85" s="5">
        <f>COUNTIFS(STATUS!$Q:$Q,H$1,STATUS!$D:$D,$A85)</f>
        <v>0</v>
      </c>
      <c r="I85" s="5">
        <f>COUNTIFS(STATUS!$Q:$Q,I$1,STATUS!$D:$D,$A85)</f>
        <v>0</v>
      </c>
      <c r="J85" s="5">
        <f t="shared" si="5"/>
        <v>44</v>
      </c>
    </row>
    <row r="86" spans="1:10" x14ac:dyDescent="0.35">
      <c r="A86" s="4">
        <v>43979</v>
      </c>
      <c r="B86" s="5">
        <f>COUNTIFS(STATUS!$Q:$Q,B$1,STATUS!$D:$D,$A86)</f>
        <v>0</v>
      </c>
      <c r="C86" s="5">
        <f>COUNTIFS(STATUS!$Q:$Q,C$1,STATUS!$D:$D,$A86)</f>
        <v>0</v>
      </c>
      <c r="D86" s="5">
        <f>COUNTIFS(STATUS!$Q:$Q,D$1,STATUS!$D:$D,$A86)</f>
        <v>1</v>
      </c>
      <c r="E86" s="5">
        <f>COUNTIFS(STATUS!$Q:$Q,E$1,STATUS!$D:$D,$A86)</f>
        <v>3</v>
      </c>
      <c r="F86" s="5">
        <f>COUNTIFS(STATUS!$Q:$Q,F$1,STATUS!$D:$D,$A86)</f>
        <v>0</v>
      </c>
      <c r="G86" s="5">
        <f>COUNTIFS(STATUS!$Q:$Q,G$1,STATUS!$D:$D,$A86)</f>
        <v>0</v>
      </c>
      <c r="H86" s="5">
        <f>COUNTIFS(STATUS!$Q:$Q,H$1,STATUS!$D:$D,$A86)</f>
        <v>0</v>
      </c>
      <c r="I86" s="5">
        <f>COUNTIFS(STATUS!$Q:$Q,I$1,STATUS!$D:$D,$A86)</f>
        <v>0</v>
      </c>
      <c r="J86" s="5">
        <f t="shared" ref="J86:J92" si="6">SUM(B86:I86)</f>
        <v>4</v>
      </c>
    </row>
    <row r="87" spans="1:10" x14ac:dyDescent="0.35">
      <c r="A87" s="4">
        <v>43980</v>
      </c>
      <c r="B87" s="5">
        <f>COUNTIFS(STATUS!$Q:$Q,B$1,STATUS!$D:$D,$A87)</f>
        <v>0</v>
      </c>
      <c r="C87" s="5">
        <f>COUNTIFS(STATUS!$Q:$Q,C$1,STATUS!$D:$D,$A87)</f>
        <v>0</v>
      </c>
      <c r="D87" s="5">
        <f>COUNTIFS(STATUS!$Q:$Q,D$1,STATUS!$D:$D,$A87)</f>
        <v>1</v>
      </c>
      <c r="E87" s="5">
        <f>COUNTIFS(STATUS!$Q:$Q,E$1,STATUS!$D:$D,$A87)</f>
        <v>0</v>
      </c>
      <c r="F87" s="5">
        <f>COUNTIFS(STATUS!$Q:$Q,F$1,STATUS!$D:$D,$A87)</f>
        <v>0</v>
      </c>
      <c r="G87" s="5">
        <f>COUNTIFS(STATUS!$Q:$Q,G$1,STATUS!$D:$D,$A87)</f>
        <v>0</v>
      </c>
      <c r="H87" s="5">
        <f>COUNTIFS(STATUS!$Q:$Q,H$1,STATUS!$D:$D,$A87)</f>
        <v>0</v>
      </c>
      <c r="I87" s="5">
        <f>COUNTIFS(STATUS!$Q:$Q,I$1,STATUS!$D:$D,$A87)</f>
        <v>0</v>
      </c>
      <c r="J87" s="5">
        <f t="shared" si="6"/>
        <v>1</v>
      </c>
    </row>
    <row r="88" spans="1:10" x14ac:dyDescent="0.35">
      <c r="A88" s="4">
        <v>43981</v>
      </c>
      <c r="B88" s="5">
        <f>COUNTIFS(STATUS!$Q:$Q,B$1,STATUS!$D:$D,$A88)</f>
        <v>0</v>
      </c>
      <c r="C88" s="5">
        <f>COUNTIFS(STATUS!$Q:$Q,C$1,STATUS!$D:$D,$A88)</f>
        <v>0</v>
      </c>
      <c r="D88" s="5">
        <f>COUNTIFS(STATUS!$Q:$Q,D$1,STATUS!$D:$D,$A88)</f>
        <v>0</v>
      </c>
      <c r="E88" s="5">
        <f>COUNTIFS(STATUS!$Q:$Q,E$1,STATUS!$D:$D,$A88)</f>
        <v>0</v>
      </c>
      <c r="F88" s="5">
        <f>COUNTIFS(STATUS!$Q:$Q,F$1,STATUS!$D:$D,$A88)</f>
        <v>0</v>
      </c>
      <c r="G88" s="5">
        <f>COUNTIFS(STATUS!$Q:$Q,G$1,STATUS!$D:$D,$A88)</f>
        <v>0</v>
      </c>
      <c r="H88" s="5">
        <f>COUNTIFS(STATUS!$Q:$Q,H$1,STATUS!$D:$D,$A88)</f>
        <v>0</v>
      </c>
      <c r="I88" s="5">
        <f>COUNTIFS(STATUS!$Q:$Q,I$1,STATUS!$D:$D,$A88)</f>
        <v>0</v>
      </c>
      <c r="J88" s="5">
        <f t="shared" si="6"/>
        <v>0</v>
      </c>
    </row>
    <row r="89" spans="1:10" x14ac:dyDescent="0.35">
      <c r="A89" s="4">
        <v>43982</v>
      </c>
      <c r="B89" s="5">
        <f>COUNTIFS(STATUS!$Q:$Q,B$1,STATUS!$D:$D,$A89)</f>
        <v>0</v>
      </c>
      <c r="C89" s="5">
        <f>COUNTIFS(STATUS!$Q:$Q,C$1,STATUS!$D:$D,$A89)</f>
        <v>0</v>
      </c>
      <c r="D89" s="5">
        <f>COUNTIFS(STATUS!$Q:$Q,D$1,STATUS!$D:$D,$A89)</f>
        <v>0</v>
      </c>
      <c r="E89" s="5">
        <f>COUNTIFS(STATUS!$Q:$Q,E$1,STATUS!$D:$D,$A89)</f>
        <v>0</v>
      </c>
      <c r="F89" s="5">
        <f>COUNTIFS(STATUS!$Q:$Q,F$1,STATUS!$D:$D,$A89)</f>
        <v>0</v>
      </c>
      <c r="G89" s="5">
        <f>COUNTIFS(STATUS!$Q:$Q,G$1,STATUS!$D:$D,$A89)</f>
        <v>0</v>
      </c>
      <c r="H89" s="5">
        <f>COUNTIFS(STATUS!$Q:$Q,H$1,STATUS!$D:$D,$A89)</f>
        <v>0</v>
      </c>
      <c r="I89" s="5">
        <f>COUNTIFS(STATUS!$Q:$Q,I$1,STATUS!$D:$D,$A89)</f>
        <v>0</v>
      </c>
      <c r="J89" s="5">
        <f t="shared" si="6"/>
        <v>0</v>
      </c>
    </row>
    <row r="90" spans="1:10" x14ac:dyDescent="0.35">
      <c r="A90" s="4">
        <v>43983</v>
      </c>
      <c r="B90" s="5">
        <f>COUNTIFS(STATUS!$Q:$Q,B$1,STATUS!$D:$D,$A90)</f>
        <v>15</v>
      </c>
      <c r="C90" s="5">
        <f>COUNTIFS(STATUS!$Q:$Q,C$1,STATUS!$D:$D,$A90)</f>
        <v>17</v>
      </c>
      <c r="D90" s="5">
        <f>COUNTIFS(STATUS!$Q:$Q,D$1,STATUS!$D:$D,$A90)</f>
        <v>21</v>
      </c>
      <c r="E90" s="5">
        <f>COUNTIFS(STATUS!$Q:$Q,E$1,STATUS!$D:$D,$A90)</f>
        <v>16</v>
      </c>
      <c r="F90" s="5">
        <f>COUNTIFS(STATUS!$Q:$Q,F$1,STATUS!$D:$D,$A90)</f>
        <v>0</v>
      </c>
      <c r="G90" s="5">
        <f>COUNTIFS(STATUS!$Q:$Q,G$1,STATUS!$D:$D,$A90)</f>
        <v>15</v>
      </c>
      <c r="H90" s="5">
        <f>COUNTIFS(STATUS!$Q:$Q,H$1,STATUS!$D:$D,$A90)</f>
        <v>0</v>
      </c>
      <c r="I90" s="5">
        <f>COUNTIFS(STATUS!$Q:$Q,I$1,STATUS!$D:$D,$A90)</f>
        <v>0</v>
      </c>
      <c r="J90" s="5">
        <f t="shared" si="6"/>
        <v>84</v>
      </c>
    </row>
    <row r="91" spans="1:10" x14ac:dyDescent="0.35">
      <c r="A91" s="4">
        <v>43984</v>
      </c>
      <c r="B91" s="5">
        <f>COUNTIFS(STATUS!$Q:$Q,B$1,STATUS!$D:$D,$A91)</f>
        <v>5</v>
      </c>
      <c r="C91" s="5">
        <f>COUNTIFS(STATUS!$Q:$Q,C$1,STATUS!$D:$D,$A91)</f>
        <v>2</v>
      </c>
      <c r="D91" s="5">
        <f>COUNTIFS(STATUS!$Q:$Q,D$1,STATUS!$D:$D,$A91)</f>
        <v>1</v>
      </c>
      <c r="E91" s="5">
        <f>COUNTIFS(STATUS!$Q:$Q,E$1,STATUS!$D:$D,$A91)</f>
        <v>4</v>
      </c>
      <c r="F91" s="5">
        <f>COUNTIFS(STATUS!$Q:$Q,F$1,STATUS!$D:$D,$A91)</f>
        <v>0</v>
      </c>
      <c r="G91" s="5">
        <f>COUNTIFS(STATUS!$Q:$Q,G$1,STATUS!$D:$D,$A91)</f>
        <v>3</v>
      </c>
      <c r="H91" s="5">
        <f>COUNTIFS(STATUS!$Q:$Q,H$1,STATUS!$D:$D,$A91)</f>
        <v>0</v>
      </c>
      <c r="I91" s="5">
        <f>COUNTIFS(STATUS!$Q:$Q,I$1,STATUS!$D:$D,$A91)</f>
        <v>0</v>
      </c>
      <c r="J91" s="5">
        <f t="shared" si="6"/>
        <v>15</v>
      </c>
    </row>
    <row r="92" spans="1:10" x14ac:dyDescent="0.35">
      <c r="A92" s="4">
        <v>43985</v>
      </c>
      <c r="B92" s="5">
        <f>COUNTIFS(STATUS!$Q:$Q,B$1,STATUS!$D:$D,$A92)</f>
        <v>5</v>
      </c>
      <c r="C92" s="5">
        <f>COUNTIFS(STATUS!$Q:$Q,C$1,STATUS!$D:$D,$A92)</f>
        <v>1</v>
      </c>
      <c r="D92" s="5">
        <f>COUNTIFS(STATUS!$Q:$Q,D$1,STATUS!$D:$D,$A92)</f>
        <v>2</v>
      </c>
      <c r="E92" s="5">
        <f>COUNTIFS(STATUS!$Q:$Q,E$1,STATUS!$D:$D,$A92)</f>
        <v>1</v>
      </c>
      <c r="F92" s="5">
        <f>COUNTIFS(STATUS!$Q:$Q,F$1,STATUS!$D:$D,$A92)</f>
        <v>0</v>
      </c>
      <c r="G92" s="5">
        <f>COUNTIFS(STATUS!$Q:$Q,G$1,STATUS!$D:$D,$A92)</f>
        <v>2</v>
      </c>
      <c r="H92" s="5">
        <f>COUNTIFS(STATUS!$Q:$Q,H$1,STATUS!$D:$D,$A92)</f>
        <v>0</v>
      </c>
      <c r="I92" s="5">
        <f>COUNTIFS(STATUS!$Q:$Q,I$1,STATUS!$D:$D,$A92)</f>
        <v>0</v>
      </c>
      <c r="J92" s="5">
        <f t="shared" si="6"/>
        <v>11</v>
      </c>
    </row>
    <row r="93" spans="1:10" x14ac:dyDescent="0.35">
      <c r="A93" s="4">
        <v>43986</v>
      </c>
      <c r="B93" s="5">
        <f>COUNTIFS(STATUS!$Q:$Q,B$1,STATUS!$D:$D,$A93)</f>
        <v>3</v>
      </c>
      <c r="C93" s="5">
        <f>COUNTIFS(STATUS!$Q:$Q,C$1,STATUS!$D:$D,$A93)</f>
        <v>3</v>
      </c>
      <c r="D93" s="5">
        <f>COUNTIFS(STATUS!$Q:$Q,D$1,STATUS!$D:$D,$A93)</f>
        <v>4</v>
      </c>
      <c r="E93" s="5">
        <f>COUNTIFS(STATUS!$Q:$Q,E$1,STATUS!$D:$D,$A93)</f>
        <v>3</v>
      </c>
      <c r="F93" s="5">
        <f>COUNTIFS(STATUS!$Q:$Q,F$1,STATUS!$D:$D,$A93)</f>
        <v>0</v>
      </c>
      <c r="G93" s="5">
        <f>COUNTIFS(STATUS!$Q:$Q,G$1,STATUS!$D:$D,$A93)</f>
        <v>5</v>
      </c>
      <c r="H93" s="5">
        <f>COUNTIFS(STATUS!$Q:$Q,H$1,STATUS!$D:$D,$A93)</f>
        <v>0</v>
      </c>
      <c r="I93" s="5">
        <f>COUNTIFS(STATUS!$Q:$Q,I$1,STATUS!$D:$D,$A93)</f>
        <v>0</v>
      </c>
      <c r="J93" s="5">
        <f t="shared" ref="J93:J156" si="7">SUM(B93:I93)</f>
        <v>18</v>
      </c>
    </row>
    <row r="94" spans="1:10" x14ac:dyDescent="0.35">
      <c r="A94" s="4">
        <v>43987</v>
      </c>
      <c r="B94" s="5">
        <f>COUNTIFS(STATUS!$Q:$Q,B$1,STATUS!$D:$D,$A94)</f>
        <v>3</v>
      </c>
      <c r="C94" s="5">
        <f>COUNTIFS(STATUS!$Q:$Q,C$1,STATUS!$D:$D,$A94)</f>
        <v>3</v>
      </c>
      <c r="D94" s="5">
        <f>COUNTIFS(STATUS!$Q:$Q,D$1,STATUS!$D:$D,$A94)</f>
        <v>3</v>
      </c>
      <c r="E94" s="5">
        <f>COUNTIFS(STATUS!$Q:$Q,E$1,STATUS!$D:$D,$A94)</f>
        <v>2</v>
      </c>
      <c r="F94" s="5">
        <f>COUNTIFS(STATUS!$Q:$Q,F$1,STATUS!$D:$D,$A94)</f>
        <v>0</v>
      </c>
      <c r="G94" s="5">
        <f>COUNTIFS(STATUS!$Q:$Q,G$1,STATUS!$D:$D,$A94)</f>
        <v>3</v>
      </c>
      <c r="H94" s="5">
        <f>COUNTIFS(STATUS!$Q:$Q,H$1,STATUS!$D:$D,$A94)</f>
        <v>0</v>
      </c>
      <c r="I94" s="5">
        <f>COUNTIFS(STATUS!$Q:$Q,I$1,STATUS!$D:$D,$A94)</f>
        <v>0</v>
      </c>
      <c r="J94" s="5">
        <f t="shared" si="7"/>
        <v>14</v>
      </c>
    </row>
    <row r="95" spans="1:10" x14ac:dyDescent="0.35">
      <c r="A95" s="4">
        <v>43988</v>
      </c>
      <c r="B95" s="5">
        <f>COUNTIFS(STATUS!$Q:$Q,B$1,STATUS!$D:$D,$A95)</f>
        <v>0</v>
      </c>
      <c r="C95" s="5">
        <f>COUNTIFS(STATUS!$Q:$Q,C$1,STATUS!$D:$D,$A95)</f>
        <v>0</v>
      </c>
      <c r="D95" s="5">
        <f>COUNTIFS(STATUS!$Q:$Q,D$1,STATUS!$D:$D,$A95)</f>
        <v>0</v>
      </c>
      <c r="E95" s="5">
        <f>COUNTIFS(STATUS!$Q:$Q,E$1,STATUS!$D:$D,$A95)</f>
        <v>0</v>
      </c>
      <c r="F95" s="5">
        <f>COUNTIFS(STATUS!$Q:$Q,F$1,STATUS!$D:$D,$A95)</f>
        <v>0</v>
      </c>
      <c r="G95" s="5">
        <f>COUNTIFS(STATUS!$Q:$Q,G$1,STATUS!$D:$D,$A95)</f>
        <v>0</v>
      </c>
      <c r="H95" s="5">
        <f>COUNTIFS(STATUS!$Q:$Q,H$1,STATUS!$D:$D,$A95)</f>
        <v>0</v>
      </c>
      <c r="I95" s="5">
        <f>COUNTIFS(STATUS!$Q:$Q,I$1,STATUS!$D:$D,$A95)</f>
        <v>0</v>
      </c>
      <c r="J95" s="5">
        <f t="shared" si="7"/>
        <v>0</v>
      </c>
    </row>
    <row r="96" spans="1:10" x14ac:dyDescent="0.35">
      <c r="A96" s="4">
        <v>43989</v>
      </c>
      <c r="B96" s="5">
        <f>COUNTIFS(STATUS!$Q:$Q,B$1,STATUS!$D:$D,$A96)</f>
        <v>0</v>
      </c>
      <c r="C96" s="5">
        <f>COUNTIFS(STATUS!$Q:$Q,C$1,STATUS!$D:$D,$A96)</f>
        <v>0</v>
      </c>
      <c r="D96" s="5">
        <f>COUNTIFS(STATUS!$Q:$Q,D$1,STATUS!$D:$D,$A96)</f>
        <v>0</v>
      </c>
      <c r="E96" s="5">
        <f>COUNTIFS(STATUS!$Q:$Q,E$1,STATUS!$D:$D,$A96)</f>
        <v>0</v>
      </c>
      <c r="F96" s="5">
        <f>COUNTIFS(STATUS!$Q:$Q,F$1,STATUS!$D:$D,$A96)</f>
        <v>0</v>
      </c>
      <c r="G96" s="5">
        <f>COUNTIFS(STATUS!$Q:$Q,G$1,STATUS!$D:$D,$A96)</f>
        <v>0</v>
      </c>
      <c r="H96" s="5">
        <f>COUNTIFS(STATUS!$Q:$Q,H$1,STATUS!$D:$D,$A96)</f>
        <v>0</v>
      </c>
      <c r="I96" s="5">
        <f>COUNTIFS(STATUS!$Q:$Q,I$1,STATUS!$D:$D,$A96)</f>
        <v>0</v>
      </c>
      <c r="J96" s="5">
        <f t="shared" si="7"/>
        <v>0</v>
      </c>
    </row>
    <row r="97" spans="1:10" x14ac:dyDescent="0.35">
      <c r="A97" s="4">
        <v>43990</v>
      </c>
      <c r="B97" s="5">
        <f>COUNTIFS(STATUS!$Q:$Q,B$1,STATUS!$D:$D,$A97)</f>
        <v>1</v>
      </c>
      <c r="C97" s="5">
        <f>COUNTIFS(STATUS!$Q:$Q,C$1,STATUS!$D:$D,$A97)</f>
        <v>3</v>
      </c>
      <c r="D97" s="5">
        <f>COUNTIFS(STATUS!$Q:$Q,D$1,STATUS!$D:$D,$A97)</f>
        <v>7</v>
      </c>
      <c r="E97" s="5">
        <f>COUNTIFS(STATUS!$Q:$Q,E$1,STATUS!$D:$D,$A97)</f>
        <v>5</v>
      </c>
      <c r="F97" s="5">
        <f>COUNTIFS(STATUS!$Q:$Q,F$1,STATUS!$D:$D,$A97)</f>
        <v>0</v>
      </c>
      <c r="G97" s="5">
        <f>COUNTIFS(STATUS!$Q:$Q,G$1,STATUS!$D:$D,$A97)</f>
        <v>5</v>
      </c>
      <c r="H97" s="5">
        <f>COUNTIFS(STATUS!$Q:$Q,H$1,STATUS!$D:$D,$A97)</f>
        <v>0</v>
      </c>
      <c r="I97" s="5">
        <f>COUNTIFS(STATUS!$Q:$Q,I$1,STATUS!$D:$D,$A97)</f>
        <v>0</v>
      </c>
      <c r="J97" s="5">
        <f t="shared" si="7"/>
        <v>21</v>
      </c>
    </row>
    <row r="98" spans="1:10" x14ac:dyDescent="0.35">
      <c r="A98" s="4">
        <v>43991</v>
      </c>
      <c r="B98" s="5">
        <f>COUNTIFS(STATUS!$Q:$Q,B$1,STATUS!$D:$D,$A98)</f>
        <v>5</v>
      </c>
      <c r="C98" s="5">
        <f>COUNTIFS(STATUS!$Q:$Q,C$1,STATUS!$D:$D,$A98)</f>
        <v>5</v>
      </c>
      <c r="D98" s="5">
        <f>COUNTIFS(STATUS!$Q:$Q,D$1,STATUS!$D:$D,$A98)</f>
        <v>3</v>
      </c>
      <c r="E98" s="5">
        <f>COUNTIFS(STATUS!$Q:$Q,E$1,STATUS!$D:$D,$A98)</f>
        <v>3</v>
      </c>
      <c r="F98" s="5">
        <f>COUNTIFS(STATUS!$Q:$Q,F$1,STATUS!$D:$D,$A98)</f>
        <v>0</v>
      </c>
      <c r="G98" s="5">
        <f>COUNTIFS(STATUS!$Q:$Q,G$1,STATUS!$D:$D,$A98)</f>
        <v>2</v>
      </c>
      <c r="H98" s="5">
        <f>COUNTIFS(STATUS!$Q:$Q,H$1,STATUS!$D:$D,$A98)</f>
        <v>0</v>
      </c>
      <c r="I98" s="5">
        <f>COUNTIFS(STATUS!$Q:$Q,I$1,STATUS!$D:$D,$A98)</f>
        <v>0</v>
      </c>
      <c r="J98" s="5">
        <f t="shared" si="7"/>
        <v>18</v>
      </c>
    </row>
    <row r="99" spans="1:10" x14ac:dyDescent="0.35">
      <c r="A99" s="4">
        <v>43992</v>
      </c>
      <c r="B99" s="5">
        <f>COUNTIFS(STATUS!$Q:$Q,B$1,STATUS!$D:$D,$A99)</f>
        <v>5</v>
      </c>
      <c r="C99" s="5">
        <f>COUNTIFS(STATUS!$Q:$Q,C$1,STATUS!$D:$D,$A99)</f>
        <v>3</v>
      </c>
      <c r="D99" s="5">
        <f>COUNTIFS(STATUS!$Q:$Q,D$1,STATUS!$D:$D,$A99)</f>
        <v>3</v>
      </c>
      <c r="E99" s="5">
        <f>COUNTIFS(STATUS!$Q:$Q,E$1,STATUS!$D:$D,$A99)</f>
        <v>3</v>
      </c>
      <c r="F99" s="5">
        <f>COUNTIFS(STATUS!$Q:$Q,F$1,STATUS!$D:$D,$A99)</f>
        <v>0</v>
      </c>
      <c r="G99" s="5">
        <f>COUNTIFS(STATUS!$Q:$Q,G$1,STATUS!$D:$D,$A99)</f>
        <v>4</v>
      </c>
      <c r="H99" s="5">
        <f>COUNTIFS(STATUS!$Q:$Q,H$1,STATUS!$D:$D,$A99)</f>
        <v>0</v>
      </c>
      <c r="I99" s="5">
        <f>COUNTIFS(STATUS!$Q:$Q,I$1,STATUS!$D:$D,$A99)</f>
        <v>0</v>
      </c>
      <c r="J99" s="5">
        <f t="shared" si="7"/>
        <v>18</v>
      </c>
    </row>
    <row r="100" spans="1:10" x14ac:dyDescent="0.35">
      <c r="A100" s="4">
        <v>43993</v>
      </c>
      <c r="B100" s="5">
        <f>COUNTIFS(STATUS!$Q:$Q,B$1,STATUS!$D:$D,$A100)</f>
        <v>4</v>
      </c>
      <c r="C100" s="5">
        <f>COUNTIFS(STATUS!$Q:$Q,C$1,STATUS!$D:$D,$A100)</f>
        <v>4</v>
      </c>
      <c r="D100" s="5">
        <f>COUNTIFS(STATUS!$Q:$Q,D$1,STATUS!$D:$D,$A100)</f>
        <v>2</v>
      </c>
      <c r="E100" s="5">
        <f>COUNTIFS(STATUS!$Q:$Q,E$1,STATUS!$D:$D,$A100)</f>
        <v>2</v>
      </c>
      <c r="F100" s="5">
        <f>COUNTIFS(STATUS!$Q:$Q,F$1,STATUS!$D:$D,$A100)</f>
        <v>0</v>
      </c>
      <c r="G100" s="5">
        <f>COUNTIFS(STATUS!$Q:$Q,G$1,STATUS!$D:$D,$A100)</f>
        <v>3</v>
      </c>
      <c r="H100" s="5">
        <f>COUNTIFS(STATUS!$Q:$Q,H$1,STATUS!$D:$D,$A100)</f>
        <v>0</v>
      </c>
      <c r="I100" s="5">
        <f>COUNTIFS(STATUS!$Q:$Q,I$1,STATUS!$D:$D,$A100)</f>
        <v>0</v>
      </c>
      <c r="J100" s="5">
        <f t="shared" si="7"/>
        <v>15</v>
      </c>
    </row>
    <row r="101" spans="1:10" x14ac:dyDescent="0.35">
      <c r="A101" s="4">
        <v>43994</v>
      </c>
      <c r="B101" s="5">
        <f>COUNTIFS(STATUS!$Q:$Q,B$1,STATUS!$D:$D,$A101)</f>
        <v>0</v>
      </c>
      <c r="C101" s="5">
        <f>COUNTIFS(STATUS!$Q:$Q,C$1,STATUS!$D:$D,$A101)</f>
        <v>0</v>
      </c>
      <c r="D101" s="5">
        <f>COUNTIFS(STATUS!$Q:$Q,D$1,STATUS!$D:$D,$A101)</f>
        <v>0</v>
      </c>
      <c r="E101" s="5">
        <f>COUNTIFS(STATUS!$Q:$Q,E$1,STATUS!$D:$D,$A101)</f>
        <v>0</v>
      </c>
      <c r="F101" s="5">
        <f>COUNTIFS(STATUS!$Q:$Q,F$1,STATUS!$D:$D,$A101)</f>
        <v>0</v>
      </c>
      <c r="G101" s="5">
        <f>COUNTIFS(STATUS!$Q:$Q,G$1,STATUS!$D:$D,$A101)</f>
        <v>0</v>
      </c>
      <c r="H101" s="5">
        <f>COUNTIFS(STATUS!$Q:$Q,H$1,STATUS!$D:$D,$A101)</f>
        <v>0</v>
      </c>
      <c r="I101" s="5">
        <f>COUNTIFS(STATUS!$Q:$Q,I$1,STATUS!$D:$D,$A101)</f>
        <v>0</v>
      </c>
      <c r="J101" s="5">
        <f t="shared" si="7"/>
        <v>0</v>
      </c>
    </row>
    <row r="102" spans="1:10" x14ac:dyDescent="0.35">
      <c r="A102" s="4">
        <v>43995</v>
      </c>
      <c r="B102" s="5">
        <f>COUNTIFS(STATUS!$Q:$Q,B$1,STATUS!$D:$D,$A102)</f>
        <v>0</v>
      </c>
      <c r="C102" s="5">
        <f>COUNTIFS(STATUS!$Q:$Q,C$1,STATUS!$D:$D,$A102)</f>
        <v>0</v>
      </c>
      <c r="D102" s="5">
        <f>COUNTIFS(STATUS!$Q:$Q,D$1,STATUS!$D:$D,$A102)</f>
        <v>0</v>
      </c>
      <c r="E102" s="5">
        <f>COUNTIFS(STATUS!$Q:$Q,E$1,STATUS!$D:$D,$A102)</f>
        <v>0</v>
      </c>
      <c r="F102" s="5">
        <f>COUNTIFS(STATUS!$Q:$Q,F$1,STATUS!$D:$D,$A102)</f>
        <v>0</v>
      </c>
      <c r="G102" s="5">
        <f>COUNTIFS(STATUS!$Q:$Q,G$1,STATUS!$D:$D,$A102)</f>
        <v>0</v>
      </c>
      <c r="H102" s="5">
        <f>COUNTIFS(STATUS!$Q:$Q,H$1,STATUS!$D:$D,$A102)</f>
        <v>0</v>
      </c>
      <c r="I102" s="5">
        <f>COUNTIFS(STATUS!$Q:$Q,I$1,STATUS!$D:$D,$A102)</f>
        <v>0</v>
      </c>
      <c r="J102" s="5">
        <f t="shared" si="7"/>
        <v>0</v>
      </c>
    </row>
    <row r="103" spans="1:10" x14ac:dyDescent="0.35">
      <c r="A103" s="4">
        <v>43996</v>
      </c>
      <c r="B103" s="5">
        <f>COUNTIFS(STATUS!$Q:$Q,B$1,STATUS!$D:$D,$A103)</f>
        <v>0</v>
      </c>
      <c r="C103" s="5">
        <f>COUNTIFS(STATUS!$Q:$Q,C$1,STATUS!$D:$D,$A103)</f>
        <v>0</v>
      </c>
      <c r="D103" s="5">
        <f>COUNTIFS(STATUS!$Q:$Q,D$1,STATUS!$D:$D,$A103)</f>
        <v>0</v>
      </c>
      <c r="E103" s="5">
        <f>COUNTIFS(STATUS!$Q:$Q,E$1,STATUS!$D:$D,$A103)</f>
        <v>0</v>
      </c>
      <c r="F103" s="5">
        <f>COUNTIFS(STATUS!$Q:$Q,F$1,STATUS!$D:$D,$A103)</f>
        <v>0</v>
      </c>
      <c r="G103" s="5">
        <f>COUNTIFS(STATUS!$Q:$Q,G$1,STATUS!$D:$D,$A103)</f>
        <v>0</v>
      </c>
      <c r="H103" s="5">
        <f>COUNTIFS(STATUS!$Q:$Q,H$1,STATUS!$D:$D,$A103)</f>
        <v>0</v>
      </c>
      <c r="I103" s="5">
        <f>COUNTIFS(STATUS!$Q:$Q,I$1,STATUS!$D:$D,$A103)</f>
        <v>0</v>
      </c>
      <c r="J103" s="5">
        <f t="shared" si="7"/>
        <v>0</v>
      </c>
    </row>
    <row r="104" spans="1:10" x14ac:dyDescent="0.35">
      <c r="A104" s="4">
        <v>43997</v>
      </c>
      <c r="B104" s="5">
        <f>COUNTIFS(STATUS!$Q:$Q,B$1,STATUS!$D:$D,$A104)</f>
        <v>3</v>
      </c>
      <c r="C104" s="5">
        <f>COUNTIFS(STATUS!$Q:$Q,C$1,STATUS!$D:$D,$A104)</f>
        <v>2</v>
      </c>
      <c r="D104" s="5">
        <f>COUNTIFS(STATUS!$Q:$Q,D$1,STATUS!$D:$D,$A104)</f>
        <v>3</v>
      </c>
      <c r="E104" s="5">
        <f>COUNTIFS(STATUS!$Q:$Q,E$1,STATUS!$D:$D,$A104)</f>
        <v>3</v>
      </c>
      <c r="F104" s="5">
        <f>COUNTIFS(STATUS!$Q:$Q,F$1,STATUS!$D:$D,$A104)</f>
        <v>0</v>
      </c>
      <c r="G104" s="5">
        <f>COUNTIFS(STATUS!$Q:$Q,G$1,STATUS!$D:$D,$A104)</f>
        <v>3</v>
      </c>
      <c r="H104" s="5">
        <f>COUNTIFS(STATUS!$Q:$Q,H$1,STATUS!$D:$D,$A104)</f>
        <v>0</v>
      </c>
      <c r="I104" s="5">
        <f>COUNTIFS(STATUS!$Q:$Q,I$1,STATUS!$D:$D,$A104)</f>
        <v>0</v>
      </c>
      <c r="J104" s="5">
        <f t="shared" si="7"/>
        <v>14</v>
      </c>
    </row>
    <row r="105" spans="1:10" x14ac:dyDescent="0.35">
      <c r="A105" s="4">
        <v>43998</v>
      </c>
      <c r="B105" s="5">
        <f>COUNTIFS(STATUS!$Q:$Q,B$1,STATUS!$D:$D,$A105)</f>
        <v>37</v>
      </c>
      <c r="C105" s="5">
        <f>COUNTIFS(STATUS!$Q:$Q,C$1,STATUS!$D:$D,$A105)</f>
        <v>42</v>
      </c>
      <c r="D105" s="5">
        <f>COUNTIFS(STATUS!$Q:$Q,D$1,STATUS!$D:$D,$A105)</f>
        <v>41</v>
      </c>
      <c r="E105" s="5">
        <f>COUNTIFS(STATUS!$Q:$Q,E$1,STATUS!$D:$D,$A105)</f>
        <v>41</v>
      </c>
      <c r="F105" s="5">
        <f>COUNTIFS(STATUS!$Q:$Q,F$1,STATUS!$D:$D,$A105)</f>
        <v>0</v>
      </c>
      <c r="G105" s="5">
        <f>COUNTIFS(STATUS!$Q:$Q,G$1,STATUS!$D:$D,$A105)</f>
        <v>49</v>
      </c>
      <c r="H105" s="5">
        <f>COUNTIFS(STATUS!$Q:$Q,H$1,STATUS!$D:$D,$A105)</f>
        <v>0</v>
      </c>
      <c r="I105" s="5">
        <f>COUNTIFS(STATUS!$Q:$Q,I$1,STATUS!$D:$D,$A105)</f>
        <v>0</v>
      </c>
      <c r="J105" s="5">
        <f t="shared" si="7"/>
        <v>210</v>
      </c>
    </row>
    <row r="106" spans="1:10" x14ac:dyDescent="0.35">
      <c r="A106" s="4">
        <v>43999</v>
      </c>
      <c r="B106" s="5">
        <f>COUNTIFS(STATUS!$Q:$Q,B$1,STATUS!$D:$D,$A106)</f>
        <v>2</v>
      </c>
      <c r="C106" s="5">
        <f>COUNTIFS(STATUS!$Q:$Q,C$1,STATUS!$D:$D,$A106)</f>
        <v>3</v>
      </c>
      <c r="D106" s="5">
        <f>COUNTIFS(STATUS!$Q:$Q,D$1,STATUS!$D:$D,$A106)</f>
        <v>3</v>
      </c>
      <c r="E106" s="5">
        <f>COUNTIFS(STATUS!$Q:$Q,E$1,STATUS!$D:$D,$A106)</f>
        <v>1</v>
      </c>
      <c r="F106" s="5">
        <f>COUNTIFS(STATUS!$Q:$Q,F$1,STATUS!$D:$D,$A106)</f>
        <v>0</v>
      </c>
      <c r="G106" s="5">
        <f>COUNTIFS(STATUS!$Q:$Q,G$1,STATUS!$D:$D,$A106)</f>
        <v>4</v>
      </c>
      <c r="H106" s="5">
        <f>COUNTIFS(STATUS!$Q:$Q,H$1,STATUS!$D:$D,$A106)</f>
        <v>0</v>
      </c>
      <c r="I106" s="5">
        <f>COUNTIFS(STATUS!$Q:$Q,I$1,STATUS!$D:$D,$A106)</f>
        <v>0</v>
      </c>
      <c r="J106" s="5">
        <f t="shared" si="7"/>
        <v>13</v>
      </c>
    </row>
    <row r="107" spans="1:10" x14ac:dyDescent="0.35">
      <c r="A107" s="4">
        <v>44000</v>
      </c>
      <c r="B107" s="5">
        <f>COUNTIFS(STATUS!$Q:$Q,B$1,STATUS!$D:$D,$A107)</f>
        <v>3</v>
      </c>
      <c r="C107" s="5">
        <f>COUNTIFS(STATUS!$Q:$Q,C$1,STATUS!$D:$D,$A107)</f>
        <v>2</v>
      </c>
      <c r="D107" s="5">
        <f>COUNTIFS(STATUS!$Q:$Q,D$1,STATUS!$D:$D,$A107)</f>
        <v>1</v>
      </c>
      <c r="E107" s="5">
        <f>COUNTIFS(STATUS!$Q:$Q,E$1,STATUS!$D:$D,$A107)</f>
        <v>2</v>
      </c>
      <c r="F107" s="5">
        <f>COUNTIFS(STATUS!$Q:$Q,F$1,STATUS!$D:$D,$A107)</f>
        <v>0</v>
      </c>
      <c r="G107" s="5">
        <f>COUNTIFS(STATUS!$Q:$Q,G$1,STATUS!$D:$D,$A107)</f>
        <v>4</v>
      </c>
      <c r="H107" s="5">
        <f>COUNTIFS(STATUS!$Q:$Q,H$1,STATUS!$D:$D,$A107)</f>
        <v>0</v>
      </c>
      <c r="I107" s="5">
        <f>COUNTIFS(STATUS!$Q:$Q,I$1,STATUS!$D:$D,$A107)</f>
        <v>0</v>
      </c>
      <c r="J107" s="5">
        <f t="shared" si="7"/>
        <v>12</v>
      </c>
    </row>
    <row r="108" spans="1:10" x14ac:dyDescent="0.35">
      <c r="A108" s="4">
        <v>44001</v>
      </c>
      <c r="B108" s="5">
        <f>COUNTIFS(STATUS!$Q:$Q,B$1,STATUS!$D:$D,$A108)</f>
        <v>1</v>
      </c>
      <c r="C108" s="5">
        <f>COUNTIFS(STATUS!$Q:$Q,C$1,STATUS!$D:$D,$A108)</f>
        <v>4</v>
      </c>
      <c r="D108" s="5">
        <f>COUNTIFS(STATUS!$Q:$Q,D$1,STATUS!$D:$D,$A108)</f>
        <v>4</v>
      </c>
      <c r="E108" s="5">
        <f>COUNTIFS(STATUS!$Q:$Q,E$1,STATUS!$D:$D,$A108)</f>
        <v>4</v>
      </c>
      <c r="F108" s="5">
        <f>COUNTIFS(STATUS!$Q:$Q,F$1,STATUS!$D:$D,$A108)</f>
        <v>0</v>
      </c>
      <c r="G108" s="5">
        <f>COUNTIFS(STATUS!$Q:$Q,G$1,STATUS!$D:$D,$A108)</f>
        <v>3</v>
      </c>
      <c r="H108" s="5">
        <f>COUNTIFS(STATUS!$Q:$Q,H$1,STATUS!$D:$D,$A108)</f>
        <v>0</v>
      </c>
      <c r="I108" s="5">
        <f>COUNTIFS(STATUS!$Q:$Q,I$1,STATUS!$D:$D,$A108)</f>
        <v>0</v>
      </c>
      <c r="J108" s="5">
        <f t="shared" si="7"/>
        <v>16</v>
      </c>
    </row>
    <row r="109" spans="1:10" x14ac:dyDescent="0.35">
      <c r="A109" s="4">
        <v>44002</v>
      </c>
      <c r="B109" s="5">
        <f>COUNTIFS(STATUS!$Q:$Q,B$1,STATUS!$D:$D,$A109)</f>
        <v>0</v>
      </c>
      <c r="C109" s="5">
        <f>COUNTIFS(STATUS!$Q:$Q,C$1,STATUS!$D:$D,$A109)</f>
        <v>0</v>
      </c>
      <c r="D109" s="5">
        <f>COUNTIFS(STATUS!$Q:$Q,D$1,STATUS!$D:$D,$A109)</f>
        <v>0</v>
      </c>
      <c r="E109" s="5">
        <f>COUNTIFS(STATUS!$Q:$Q,E$1,STATUS!$D:$D,$A109)</f>
        <v>0</v>
      </c>
      <c r="F109" s="5">
        <f>COUNTIFS(STATUS!$Q:$Q,F$1,STATUS!$D:$D,$A109)</f>
        <v>0</v>
      </c>
      <c r="G109" s="5">
        <f>COUNTIFS(STATUS!$Q:$Q,G$1,STATUS!$D:$D,$A109)</f>
        <v>0</v>
      </c>
      <c r="H109" s="5">
        <f>COUNTIFS(STATUS!$Q:$Q,H$1,STATUS!$D:$D,$A109)</f>
        <v>0</v>
      </c>
      <c r="I109" s="5">
        <f>COUNTIFS(STATUS!$Q:$Q,I$1,STATUS!$D:$D,$A109)</f>
        <v>0</v>
      </c>
      <c r="J109" s="5">
        <f t="shared" si="7"/>
        <v>0</v>
      </c>
    </row>
    <row r="110" spans="1:10" x14ac:dyDescent="0.35">
      <c r="A110" s="4">
        <v>44003</v>
      </c>
      <c r="B110" s="5">
        <f>COUNTIFS(STATUS!$Q:$Q,B$1,STATUS!$D:$D,$A110)</f>
        <v>0</v>
      </c>
      <c r="C110" s="5">
        <f>COUNTIFS(STATUS!$Q:$Q,C$1,STATUS!$D:$D,$A110)</f>
        <v>0</v>
      </c>
      <c r="D110" s="5">
        <f>COUNTIFS(STATUS!$Q:$Q,D$1,STATUS!$D:$D,$A110)</f>
        <v>0</v>
      </c>
      <c r="E110" s="5">
        <f>COUNTIFS(STATUS!$Q:$Q,E$1,STATUS!$D:$D,$A110)</f>
        <v>0</v>
      </c>
      <c r="F110" s="5">
        <f>COUNTIFS(STATUS!$Q:$Q,F$1,STATUS!$D:$D,$A110)</f>
        <v>0</v>
      </c>
      <c r="G110" s="5">
        <f>COUNTIFS(STATUS!$Q:$Q,G$1,STATUS!$D:$D,$A110)</f>
        <v>0</v>
      </c>
      <c r="H110" s="5">
        <f>COUNTIFS(STATUS!$Q:$Q,H$1,STATUS!$D:$D,$A110)</f>
        <v>0</v>
      </c>
      <c r="I110" s="5">
        <f>COUNTIFS(STATUS!$Q:$Q,I$1,STATUS!$D:$D,$A110)</f>
        <v>0</v>
      </c>
      <c r="J110" s="5">
        <f t="shared" si="7"/>
        <v>0</v>
      </c>
    </row>
    <row r="111" spans="1:10" x14ac:dyDescent="0.35">
      <c r="A111" s="4">
        <v>44004</v>
      </c>
      <c r="B111" s="5">
        <f>COUNTIFS(STATUS!$Q:$Q,B$1,STATUS!$D:$D,$A111)</f>
        <v>2</v>
      </c>
      <c r="C111" s="5">
        <f>COUNTIFS(STATUS!$Q:$Q,C$1,STATUS!$D:$D,$A111)</f>
        <v>3</v>
      </c>
      <c r="D111" s="5">
        <f>COUNTIFS(STATUS!$Q:$Q,D$1,STATUS!$D:$D,$A111)</f>
        <v>3</v>
      </c>
      <c r="E111" s="5">
        <f>COUNTIFS(STATUS!$Q:$Q,E$1,STATUS!$D:$D,$A111)</f>
        <v>2</v>
      </c>
      <c r="F111" s="5">
        <f>COUNTIFS(STATUS!$Q:$Q,F$1,STATUS!$D:$D,$A111)</f>
        <v>0</v>
      </c>
      <c r="G111" s="5">
        <f>COUNTIFS(STATUS!$Q:$Q,G$1,STATUS!$D:$D,$A111)</f>
        <v>4</v>
      </c>
      <c r="H111" s="5">
        <f>COUNTIFS(STATUS!$Q:$Q,H$1,STATUS!$D:$D,$A111)</f>
        <v>0</v>
      </c>
      <c r="I111" s="5">
        <f>COUNTIFS(STATUS!$Q:$Q,I$1,STATUS!$D:$D,$A111)</f>
        <v>0</v>
      </c>
      <c r="J111" s="5">
        <f t="shared" si="7"/>
        <v>14</v>
      </c>
    </row>
    <row r="112" spans="1:10" x14ac:dyDescent="0.35">
      <c r="A112" s="4">
        <v>44005</v>
      </c>
      <c r="B112" s="5">
        <f>COUNTIFS(STATUS!$Q:$Q,B$1,STATUS!$D:$D,$A112)</f>
        <v>3</v>
      </c>
      <c r="C112" s="5">
        <f>COUNTIFS(STATUS!$Q:$Q,C$1,STATUS!$D:$D,$A112)</f>
        <v>7</v>
      </c>
      <c r="D112" s="5">
        <f>COUNTIFS(STATUS!$Q:$Q,D$1,STATUS!$D:$D,$A112)</f>
        <v>10</v>
      </c>
      <c r="E112" s="5">
        <f>COUNTIFS(STATUS!$Q:$Q,E$1,STATUS!$D:$D,$A112)</f>
        <v>4</v>
      </c>
      <c r="F112" s="5">
        <f>COUNTIFS(STATUS!$Q:$Q,F$1,STATUS!$D:$D,$A112)</f>
        <v>0</v>
      </c>
      <c r="G112" s="5">
        <f>COUNTIFS(STATUS!$Q:$Q,G$1,STATUS!$D:$D,$A112)</f>
        <v>7</v>
      </c>
      <c r="H112" s="5">
        <f>COUNTIFS(STATUS!$Q:$Q,H$1,STATUS!$D:$D,$A112)</f>
        <v>0</v>
      </c>
      <c r="I112" s="5">
        <f>COUNTIFS(STATUS!$Q:$Q,I$1,STATUS!$D:$D,$A112)</f>
        <v>0</v>
      </c>
      <c r="J112" s="5">
        <f t="shared" si="7"/>
        <v>31</v>
      </c>
    </row>
    <row r="113" spans="1:10" x14ac:dyDescent="0.35">
      <c r="A113" s="4">
        <v>44006</v>
      </c>
      <c r="B113" s="5">
        <f>COUNTIFS(STATUS!$Q:$Q,B$1,STATUS!$D:$D,$A113)</f>
        <v>0</v>
      </c>
      <c r="C113" s="5">
        <f>COUNTIFS(STATUS!$Q:$Q,C$1,STATUS!$D:$D,$A113)</f>
        <v>0</v>
      </c>
      <c r="D113" s="5">
        <f>COUNTIFS(STATUS!$Q:$Q,D$1,STATUS!$D:$D,$A113)</f>
        <v>0</v>
      </c>
      <c r="E113" s="5">
        <f>COUNTIFS(STATUS!$Q:$Q,E$1,STATUS!$D:$D,$A113)</f>
        <v>0</v>
      </c>
      <c r="F113" s="5">
        <f>COUNTIFS(STATUS!$Q:$Q,F$1,STATUS!$D:$D,$A113)</f>
        <v>0</v>
      </c>
      <c r="G113" s="5">
        <f>COUNTIFS(STATUS!$Q:$Q,G$1,STATUS!$D:$D,$A113)</f>
        <v>0</v>
      </c>
      <c r="H113" s="5">
        <f>COUNTIFS(STATUS!$Q:$Q,H$1,STATUS!$D:$D,$A113)</f>
        <v>0</v>
      </c>
      <c r="I113" s="5">
        <f>COUNTIFS(STATUS!$Q:$Q,I$1,STATUS!$D:$D,$A113)</f>
        <v>0</v>
      </c>
      <c r="J113" s="5">
        <f t="shared" si="7"/>
        <v>0</v>
      </c>
    </row>
    <row r="114" spans="1:10" x14ac:dyDescent="0.35">
      <c r="A114" s="4">
        <v>44007</v>
      </c>
      <c r="B114" s="5">
        <f>COUNTIFS(STATUS!$Q:$Q,B$1,STATUS!$D:$D,$A114)</f>
        <v>6</v>
      </c>
      <c r="C114" s="5">
        <f>COUNTIFS(STATUS!$Q:$Q,C$1,STATUS!$D:$D,$A114)</f>
        <v>7</v>
      </c>
      <c r="D114" s="5">
        <f>COUNTIFS(STATUS!$Q:$Q,D$1,STATUS!$D:$D,$A114)</f>
        <v>7</v>
      </c>
      <c r="E114" s="5">
        <f>COUNTIFS(STATUS!$Q:$Q,E$1,STATUS!$D:$D,$A114)</f>
        <v>7</v>
      </c>
      <c r="F114" s="5">
        <f>COUNTIFS(STATUS!$Q:$Q,F$1,STATUS!$D:$D,$A114)</f>
        <v>0</v>
      </c>
      <c r="G114" s="5">
        <f>COUNTIFS(STATUS!$Q:$Q,G$1,STATUS!$D:$D,$A114)</f>
        <v>5</v>
      </c>
      <c r="H114" s="5">
        <f>COUNTIFS(STATUS!$Q:$Q,H$1,STATUS!$D:$D,$A114)</f>
        <v>0</v>
      </c>
      <c r="I114" s="5">
        <f>COUNTIFS(STATUS!$Q:$Q,I$1,STATUS!$D:$D,$A114)</f>
        <v>0</v>
      </c>
      <c r="J114" s="5">
        <f t="shared" si="7"/>
        <v>32</v>
      </c>
    </row>
    <row r="115" spans="1:10" x14ac:dyDescent="0.35">
      <c r="A115" s="4">
        <v>44008</v>
      </c>
      <c r="B115" s="5">
        <f>COUNTIFS(STATUS!$Q:$Q,B$1,STATUS!$D:$D,$A115)</f>
        <v>4</v>
      </c>
      <c r="C115" s="5">
        <f>COUNTIFS(STATUS!$Q:$Q,C$1,STATUS!$D:$D,$A115)</f>
        <v>2</v>
      </c>
      <c r="D115" s="5">
        <f>COUNTIFS(STATUS!$Q:$Q,D$1,STATUS!$D:$D,$A115)</f>
        <v>4</v>
      </c>
      <c r="E115" s="5">
        <f>COUNTIFS(STATUS!$Q:$Q,E$1,STATUS!$D:$D,$A115)</f>
        <v>4</v>
      </c>
      <c r="F115" s="5">
        <f>COUNTIFS(STATUS!$Q:$Q,F$1,STATUS!$D:$D,$A115)</f>
        <v>0</v>
      </c>
      <c r="G115" s="5">
        <f>COUNTIFS(STATUS!$Q:$Q,G$1,STATUS!$D:$D,$A115)</f>
        <v>1</v>
      </c>
      <c r="H115" s="5">
        <f>COUNTIFS(STATUS!$Q:$Q,H$1,STATUS!$D:$D,$A115)</f>
        <v>0</v>
      </c>
      <c r="I115" s="5">
        <f>COUNTIFS(STATUS!$Q:$Q,I$1,STATUS!$D:$D,$A115)</f>
        <v>0</v>
      </c>
      <c r="J115" s="5">
        <f t="shared" si="7"/>
        <v>15</v>
      </c>
    </row>
    <row r="116" spans="1:10" x14ac:dyDescent="0.35">
      <c r="A116" s="4">
        <v>44009</v>
      </c>
      <c r="B116" s="5">
        <f>COUNTIFS(STATUS!$Q:$Q,B$1,STATUS!$D:$D,$A116)</f>
        <v>0</v>
      </c>
      <c r="C116" s="5">
        <f>COUNTIFS(STATUS!$Q:$Q,C$1,STATUS!$D:$D,$A116)</f>
        <v>0</v>
      </c>
      <c r="D116" s="5">
        <f>COUNTIFS(STATUS!$Q:$Q,D$1,STATUS!$D:$D,$A116)</f>
        <v>0</v>
      </c>
      <c r="E116" s="5">
        <f>COUNTIFS(STATUS!$Q:$Q,E$1,STATUS!$D:$D,$A116)</f>
        <v>0</v>
      </c>
      <c r="F116" s="5">
        <f>COUNTIFS(STATUS!$Q:$Q,F$1,STATUS!$D:$D,$A116)</f>
        <v>0</v>
      </c>
      <c r="G116" s="5">
        <f>COUNTIFS(STATUS!$Q:$Q,G$1,STATUS!$D:$D,$A116)</f>
        <v>0</v>
      </c>
      <c r="H116" s="5">
        <f>COUNTIFS(STATUS!$Q:$Q,H$1,STATUS!$D:$D,$A116)</f>
        <v>0</v>
      </c>
      <c r="I116" s="5">
        <f>COUNTIFS(STATUS!$Q:$Q,I$1,STATUS!$D:$D,$A116)</f>
        <v>0</v>
      </c>
      <c r="J116" s="5">
        <f t="shared" si="7"/>
        <v>0</v>
      </c>
    </row>
    <row r="117" spans="1:10" x14ac:dyDescent="0.35">
      <c r="A117" s="4">
        <v>44010</v>
      </c>
      <c r="B117" s="5">
        <f>COUNTIFS(STATUS!$Q:$Q,B$1,STATUS!$D:$D,$A117)</f>
        <v>0</v>
      </c>
      <c r="C117" s="5">
        <f>COUNTIFS(STATUS!$Q:$Q,C$1,STATUS!$D:$D,$A117)</f>
        <v>0</v>
      </c>
      <c r="D117" s="5">
        <f>COUNTIFS(STATUS!$Q:$Q,D$1,STATUS!$D:$D,$A117)</f>
        <v>0</v>
      </c>
      <c r="E117" s="5">
        <f>COUNTIFS(STATUS!$Q:$Q,E$1,STATUS!$D:$D,$A117)</f>
        <v>0</v>
      </c>
      <c r="F117" s="5">
        <f>COUNTIFS(STATUS!$Q:$Q,F$1,STATUS!$D:$D,$A117)</f>
        <v>0</v>
      </c>
      <c r="G117" s="5">
        <f>COUNTIFS(STATUS!$Q:$Q,G$1,STATUS!$D:$D,$A117)</f>
        <v>0</v>
      </c>
      <c r="H117" s="5">
        <f>COUNTIFS(STATUS!$Q:$Q,H$1,STATUS!$D:$D,$A117)</f>
        <v>0</v>
      </c>
      <c r="I117" s="5">
        <f>COUNTIFS(STATUS!$Q:$Q,I$1,STATUS!$D:$D,$A117)</f>
        <v>0</v>
      </c>
      <c r="J117" s="5">
        <f t="shared" si="7"/>
        <v>0</v>
      </c>
    </row>
    <row r="118" spans="1:10" x14ac:dyDescent="0.35">
      <c r="A118" s="4">
        <v>44011</v>
      </c>
      <c r="B118" s="5">
        <f>COUNTIFS(STATUS!$Q:$Q,B$1,STATUS!$D:$D,$A118)</f>
        <v>2</v>
      </c>
      <c r="C118" s="5">
        <f>COUNTIFS(STATUS!$Q:$Q,C$1,STATUS!$D:$D,$A118)</f>
        <v>5</v>
      </c>
      <c r="D118" s="5">
        <f>COUNTIFS(STATUS!$Q:$Q,D$1,STATUS!$D:$D,$A118)</f>
        <v>2</v>
      </c>
      <c r="E118" s="5">
        <f>COUNTIFS(STATUS!$Q:$Q,E$1,STATUS!$D:$D,$A118)</f>
        <v>3</v>
      </c>
      <c r="F118" s="5">
        <f>COUNTIFS(STATUS!$Q:$Q,F$1,STATUS!$D:$D,$A118)</f>
        <v>0</v>
      </c>
      <c r="G118" s="5">
        <f>COUNTIFS(STATUS!$Q:$Q,G$1,STATUS!$D:$D,$A118)</f>
        <v>4</v>
      </c>
      <c r="H118" s="5">
        <f>COUNTIFS(STATUS!$Q:$Q,H$1,STATUS!$D:$D,$A118)</f>
        <v>0</v>
      </c>
      <c r="I118" s="5">
        <f>COUNTIFS(STATUS!$Q:$Q,I$1,STATUS!$D:$D,$A118)</f>
        <v>0</v>
      </c>
      <c r="J118" s="5">
        <f t="shared" si="7"/>
        <v>16</v>
      </c>
    </row>
    <row r="119" spans="1:10" x14ac:dyDescent="0.35">
      <c r="A119" s="4">
        <v>44012</v>
      </c>
      <c r="B119" s="5">
        <f>COUNTIFS(STATUS!$Q:$Q,B$1,STATUS!$D:$D,$A119)</f>
        <v>5</v>
      </c>
      <c r="C119" s="5">
        <f>COUNTIFS(STATUS!$Q:$Q,C$1,STATUS!$D:$D,$A119)</f>
        <v>0</v>
      </c>
      <c r="D119" s="5">
        <f>COUNTIFS(STATUS!$Q:$Q,D$1,STATUS!$D:$D,$A119)</f>
        <v>5</v>
      </c>
      <c r="E119" s="5">
        <f>COUNTIFS(STATUS!$Q:$Q,E$1,STATUS!$D:$D,$A119)</f>
        <v>5</v>
      </c>
      <c r="F119" s="5">
        <f>COUNTIFS(STATUS!$Q:$Q,F$1,STATUS!$D:$D,$A119)</f>
        <v>0</v>
      </c>
      <c r="G119" s="5">
        <f>COUNTIFS(STATUS!$Q:$Q,G$1,STATUS!$D:$D,$A119)</f>
        <v>2</v>
      </c>
      <c r="H119" s="5">
        <f>COUNTIFS(STATUS!$Q:$Q,H$1,STATUS!$D:$D,$A119)</f>
        <v>0</v>
      </c>
      <c r="I119" s="5">
        <f>COUNTIFS(STATUS!$Q:$Q,I$1,STATUS!$D:$D,$A119)</f>
        <v>0</v>
      </c>
      <c r="J119" s="5">
        <f t="shared" si="7"/>
        <v>17</v>
      </c>
    </row>
    <row r="120" spans="1:10" x14ac:dyDescent="0.35">
      <c r="A120" s="4">
        <v>44013</v>
      </c>
      <c r="B120" s="5">
        <f>COUNTIFS(STATUS!$Q:$Q,B$1,STATUS!$D:$D,$A120)</f>
        <v>0</v>
      </c>
      <c r="C120" s="5">
        <f>COUNTIFS(STATUS!$Q:$Q,C$1,STATUS!$D:$D,$A120)</f>
        <v>0</v>
      </c>
      <c r="D120" s="5">
        <f>COUNTIFS(STATUS!$Q:$Q,D$1,STATUS!$D:$D,$A120)</f>
        <v>0</v>
      </c>
      <c r="E120" s="5">
        <f>COUNTIFS(STATUS!$Q:$Q,E$1,STATUS!$D:$D,$A120)</f>
        <v>0</v>
      </c>
      <c r="F120" s="5">
        <f>COUNTIFS(STATUS!$Q:$Q,F$1,STATUS!$D:$D,$A120)</f>
        <v>0</v>
      </c>
      <c r="G120" s="5">
        <f>COUNTIFS(STATUS!$Q:$Q,G$1,STATUS!$D:$D,$A120)</f>
        <v>0</v>
      </c>
      <c r="H120" s="5">
        <f>COUNTIFS(STATUS!$Q:$Q,H$1,STATUS!$D:$D,$A120)</f>
        <v>0</v>
      </c>
      <c r="I120" s="5">
        <f>COUNTIFS(STATUS!$Q:$Q,I$1,STATUS!$D:$D,$A120)</f>
        <v>0</v>
      </c>
      <c r="J120" s="5">
        <f t="shared" si="7"/>
        <v>0</v>
      </c>
    </row>
    <row r="121" spans="1:10" x14ac:dyDescent="0.35">
      <c r="A121" s="4">
        <v>44014</v>
      </c>
      <c r="B121" s="5">
        <f>COUNTIFS(STATUS!$Q:$Q,B$1,STATUS!$D:$D,$A121)</f>
        <v>14</v>
      </c>
      <c r="C121" s="5">
        <f>COUNTIFS(STATUS!$Q:$Q,C$1,STATUS!$D:$D,$A121)</f>
        <v>0</v>
      </c>
      <c r="D121" s="5">
        <f>COUNTIFS(STATUS!$Q:$Q,D$1,STATUS!$D:$D,$A121)</f>
        <v>10</v>
      </c>
      <c r="E121" s="5">
        <f>COUNTIFS(STATUS!$Q:$Q,E$1,STATUS!$D:$D,$A121)</f>
        <v>11</v>
      </c>
      <c r="F121" s="5">
        <f>COUNTIFS(STATUS!$Q:$Q,F$1,STATUS!$D:$D,$A121)</f>
        <v>0</v>
      </c>
      <c r="G121" s="5">
        <f>COUNTIFS(STATUS!$Q:$Q,G$1,STATUS!$D:$D,$A121)</f>
        <v>6</v>
      </c>
      <c r="H121" s="5">
        <f>COUNTIFS(STATUS!$Q:$Q,H$1,STATUS!$D:$D,$A121)</f>
        <v>0</v>
      </c>
      <c r="I121" s="5">
        <f>COUNTIFS(STATUS!$Q:$Q,I$1,STATUS!$D:$D,$A121)</f>
        <v>0</v>
      </c>
      <c r="J121" s="5">
        <f t="shared" si="7"/>
        <v>41</v>
      </c>
    </row>
    <row r="122" spans="1:10" x14ac:dyDescent="0.35">
      <c r="A122" s="4">
        <v>44015</v>
      </c>
      <c r="B122" s="5">
        <f>COUNTIFS(STATUS!$Q:$Q,B$1,STATUS!$D:$D,$A122)</f>
        <v>7</v>
      </c>
      <c r="C122" s="5">
        <f>COUNTIFS(STATUS!$Q:$Q,C$1,STATUS!$D:$D,$A122)</f>
        <v>0</v>
      </c>
      <c r="D122" s="5">
        <f>COUNTIFS(STATUS!$Q:$Q,D$1,STATUS!$D:$D,$A122)</f>
        <v>6</v>
      </c>
      <c r="E122" s="5">
        <f>COUNTIFS(STATUS!$Q:$Q,E$1,STATUS!$D:$D,$A122)</f>
        <v>8</v>
      </c>
      <c r="F122" s="5">
        <f>COUNTIFS(STATUS!$Q:$Q,F$1,STATUS!$D:$D,$A122)</f>
        <v>0</v>
      </c>
      <c r="G122" s="5">
        <f>COUNTIFS(STATUS!$Q:$Q,G$1,STATUS!$D:$D,$A122)</f>
        <v>7</v>
      </c>
      <c r="H122" s="5">
        <f>COUNTIFS(STATUS!$Q:$Q,H$1,STATUS!$D:$D,$A122)</f>
        <v>0</v>
      </c>
      <c r="I122" s="5">
        <f>COUNTIFS(STATUS!$Q:$Q,I$1,STATUS!$D:$D,$A122)</f>
        <v>0</v>
      </c>
      <c r="J122" s="5">
        <f t="shared" si="7"/>
        <v>28</v>
      </c>
    </row>
    <row r="123" spans="1:10" x14ac:dyDescent="0.35">
      <c r="A123" s="4">
        <v>44016</v>
      </c>
      <c r="B123" s="5">
        <f>COUNTIFS(STATUS!$Q:$Q,B$1,STATUS!$D:$D,$A123)</f>
        <v>0</v>
      </c>
      <c r="C123" s="5">
        <f>COUNTIFS(STATUS!$Q:$Q,C$1,STATUS!$D:$D,$A123)</f>
        <v>0</v>
      </c>
      <c r="D123" s="5">
        <f>COUNTIFS(STATUS!$Q:$Q,D$1,STATUS!$D:$D,$A123)</f>
        <v>0</v>
      </c>
      <c r="E123" s="5">
        <f>COUNTIFS(STATUS!$Q:$Q,E$1,STATUS!$D:$D,$A123)</f>
        <v>0</v>
      </c>
      <c r="F123" s="5">
        <f>COUNTIFS(STATUS!$Q:$Q,F$1,STATUS!$D:$D,$A123)</f>
        <v>0</v>
      </c>
      <c r="G123" s="5">
        <f>COUNTIFS(STATUS!$Q:$Q,G$1,STATUS!$D:$D,$A123)</f>
        <v>0</v>
      </c>
      <c r="H123" s="5">
        <f>COUNTIFS(STATUS!$Q:$Q,H$1,STATUS!$D:$D,$A123)</f>
        <v>0</v>
      </c>
      <c r="I123" s="5">
        <f>COUNTIFS(STATUS!$Q:$Q,I$1,STATUS!$D:$D,$A123)</f>
        <v>0</v>
      </c>
      <c r="J123" s="5">
        <f t="shared" si="7"/>
        <v>0</v>
      </c>
    </row>
    <row r="124" spans="1:10" x14ac:dyDescent="0.35">
      <c r="A124" s="4">
        <v>44017</v>
      </c>
      <c r="B124" s="5">
        <f>COUNTIFS(STATUS!$Q:$Q,B$1,STATUS!$D:$D,$A124)</f>
        <v>0</v>
      </c>
      <c r="C124" s="5">
        <f>COUNTIFS(STATUS!$Q:$Q,C$1,STATUS!$D:$D,$A124)</f>
        <v>0</v>
      </c>
      <c r="D124" s="5">
        <f>COUNTIFS(STATUS!$Q:$Q,D$1,STATUS!$D:$D,$A124)</f>
        <v>0</v>
      </c>
      <c r="E124" s="5">
        <f>COUNTIFS(STATUS!$Q:$Q,E$1,STATUS!$D:$D,$A124)</f>
        <v>0</v>
      </c>
      <c r="F124" s="5">
        <f>COUNTIFS(STATUS!$Q:$Q,F$1,STATUS!$D:$D,$A124)</f>
        <v>0</v>
      </c>
      <c r="G124" s="5">
        <f>COUNTIFS(STATUS!$Q:$Q,G$1,STATUS!$D:$D,$A124)</f>
        <v>0</v>
      </c>
      <c r="H124" s="5">
        <f>COUNTIFS(STATUS!$Q:$Q,H$1,STATUS!$D:$D,$A124)</f>
        <v>0</v>
      </c>
      <c r="I124" s="5">
        <f>COUNTIFS(STATUS!$Q:$Q,I$1,STATUS!$D:$D,$A124)</f>
        <v>0</v>
      </c>
      <c r="J124" s="5">
        <f t="shared" si="7"/>
        <v>0</v>
      </c>
    </row>
    <row r="125" spans="1:10" x14ac:dyDescent="0.35">
      <c r="A125" s="4">
        <v>44018</v>
      </c>
      <c r="B125" s="5">
        <f>COUNTIFS(STATUS!$Q:$Q,B$1,STATUS!$D:$D,$A125)</f>
        <v>5</v>
      </c>
      <c r="C125" s="5">
        <f>COUNTIFS(STATUS!$Q:$Q,C$1,STATUS!$D:$D,$A125)</f>
        <v>0</v>
      </c>
      <c r="D125" s="5">
        <f>COUNTIFS(STATUS!$Q:$Q,D$1,STATUS!$D:$D,$A125)</f>
        <v>7</v>
      </c>
      <c r="E125" s="5">
        <f>COUNTIFS(STATUS!$Q:$Q,E$1,STATUS!$D:$D,$A125)</f>
        <v>6</v>
      </c>
      <c r="F125" s="5">
        <f>COUNTIFS(STATUS!$Q:$Q,F$1,STATUS!$D:$D,$A125)</f>
        <v>0</v>
      </c>
      <c r="G125" s="5">
        <f>COUNTIFS(STATUS!$Q:$Q,G$1,STATUS!$D:$D,$A125)</f>
        <v>4</v>
      </c>
      <c r="H125" s="5">
        <f>COUNTIFS(STATUS!$Q:$Q,H$1,STATUS!$D:$D,$A125)</f>
        <v>0</v>
      </c>
      <c r="I125" s="5">
        <f>COUNTIFS(STATUS!$Q:$Q,I$1,STATUS!$D:$D,$A125)</f>
        <v>0</v>
      </c>
      <c r="J125" s="5">
        <f t="shared" si="7"/>
        <v>22</v>
      </c>
    </row>
    <row r="126" spans="1:10" x14ac:dyDescent="0.35">
      <c r="A126" s="4">
        <v>44019</v>
      </c>
      <c r="B126" s="5">
        <f>COUNTIFS(STATUS!$Q:$Q,B$1,STATUS!$D:$D,$A126)</f>
        <v>3</v>
      </c>
      <c r="C126" s="5">
        <f>COUNTIFS(STATUS!$Q:$Q,C$1,STATUS!$D:$D,$A126)</f>
        <v>0</v>
      </c>
      <c r="D126" s="5">
        <f>COUNTIFS(STATUS!$Q:$Q,D$1,STATUS!$D:$D,$A126)</f>
        <v>1</v>
      </c>
      <c r="E126" s="5">
        <f>COUNTIFS(STATUS!$Q:$Q,E$1,STATUS!$D:$D,$A126)</f>
        <v>2</v>
      </c>
      <c r="F126" s="5">
        <f>COUNTIFS(STATUS!$Q:$Q,F$1,STATUS!$D:$D,$A126)</f>
        <v>0</v>
      </c>
      <c r="G126" s="5">
        <f>COUNTIFS(STATUS!$Q:$Q,G$1,STATUS!$D:$D,$A126)</f>
        <v>1</v>
      </c>
      <c r="H126" s="5">
        <f>COUNTIFS(STATUS!$Q:$Q,H$1,STATUS!$D:$D,$A126)</f>
        <v>0</v>
      </c>
      <c r="I126" s="5">
        <f>COUNTIFS(STATUS!$Q:$Q,I$1,STATUS!$D:$D,$A126)</f>
        <v>0</v>
      </c>
      <c r="J126" s="5">
        <f t="shared" si="7"/>
        <v>7</v>
      </c>
    </row>
    <row r="127" spans="1:10" x14ac:dyDescent="0.35">
      <c r="A127" s="4">
        <v>44020</v>
      </c>
      <c r="B127" s="5">
        <f>COUNTIFS(STATUS!$Q:$Q,B$1,STATUS!$D:$D,$A127)</f>
        <v>3</v>
      </c>
      <c r="C127" s="5">
        <f>COUNTIFS(STATUS!$Q:$Q,C$1,STATUS!$D:$D,$A127)</f>
        <v>2</v>
      </c>
      <c r="D127" s="5">
        <f>COUNTIFS(STATUS!$Q:$Q,D$1,STATUS!$D:$D,$A127)</f>
        <v>2</v>
      </c>
      <c r="E127" s="5">
        <f>COUNTIFS(STATUS!$Q:$Q,E$1,STATUS!$D:$D,$A127)</f>
        <v>3</v>
      </c>
      <c r="F127" s="5">
        <f>COUNTIFS(STATUS!$Q:$Q,F$1,STATUS!$D:$D,$A127)</f>
        <v>0</v>
      </c>
      <c r="G127" s="5">
        <f>COUNTIFS(STATUS!$Q:$Q,G$1,STATUS!$D:$D,$A127)</f>
        <v>1</v>
      </c>
      <c r="H127" s="5">
        <f>COUNTIFS(STATUS!$Q:$Q,H$1,STATUS!$D:$D,$A127)</f>
        <v>0</v>
      </c>
      <c r="I127" s="5">
        <f>COUNTIFS(STATUS!$Q:$Q,I$1,STATUS!$D:$D,$A127)</f>
        <v>0</v>
      </c>
      <c r="J127" s="5">
        <f t="shared" si="7"/>
        <v>11</v>
      </c>
    </row>
    <row r="128" spans="1:10" x14ac:dyDescent="0.35">
      <c r="A128" s="4">
        <v>44021</v>
      </c>
      <c r="B128" s="5">
        <f>COUNTIFS(STATUS!$Q:$Q,B$1,STATUS!$D:$D,$A128)</f>
        <v>7</v>
      </c>
      <c r="C128" s="5">
        <f>COUNTIFS(STATUS!$Q:$Q,C$1,STATUS!$D:$D,$A128)</f>
        <v>4</v>
      </c>
      <c r="D128" s="5">
        <f>COUNTIFS(STATUS!$Q:$Q,D$1,STATUS!$D:$D,$A128)</f>
        <v>0</v>
      </c>
      <c r="E128" s="5">
        <f>COUNTIFS(STATUS!$Q:$Q,E$1,STATUS!$D:$D,$A128)</f>
        <v>6</v>
      </c>
      <c r="F128" s="5">
        <f>COUNTIFS(STATUS!$Q:$Q,F$1,STATUS!$D:$D,$A128)</f>
        <v>0</v>
      </c>
      <c r="G128" s="5">
        <f>COUNTIFS(STATUS!$Q:$Q,G$1,STATUS!$D:$D,$A128)</f>
        <v>3</v>
      </c>
      <c r="H128" s="5">
        <f>COUNTIFS(STATUS!$Q:$Q,H$1,STATUS!$D:$D,$A128)</f>
        <v>0</v>
      </c>
      <c r="I128" s="5">
        <f>COUNTIFS(STATUS!$Q:$Q,I$1,STATUS!$D:$D,$A128)</f>
        <v>0</v>
      </c>
      <c r="J128" s="5">
        <f t="shared" si="7"/>
        <v>20</v>
      </c>
    </row>
    <row r="129" spans="1:10" x14ac:dyDescent="0.35">
      <c r="A129" s="4">
        <v>44022</v>
      </c>
      <c r="B129" s="5">
        <f>COUNTIFS(STATUS!$Q:$Q,B$1,STATUS!$D:$D,$A129)</f>
        <v>3</v>
      </c>
      <c r="C129" s="5">
        <f>COUNTIFS(STATUS!$Q:$Q,C$1,STATUS!$D:$D,$A129)</f>
        <v>1</v>
      </c>
      <c r="D129" s="5">
        <f>COUNTIFS(STATUS!$Q:$Q,D$1,STATUS!$D:$D,$A129)</f>
        <v>2</v>
      </c>
      <c r="E129" s="5">
        <f>COUNTIFS(STATUS!$Q:$Q,E$1,STATUS!$D:$D,$A129)</f>
        <v>2</v>
      </c>
      <c r="F129" s="5">
        <f>COUNTIFS(STATUS!$Q:$Q,F$1,STATUS!$D:$D,$A129)</f>
        <v>0</v>
      </c>
      <c r="G129" s="5">
        <f>COUNTIFS(STATUS!$Q:$Q,G$1,STATUS!$D:$D,$A129)</f>
        <v>4</v>
      </c>
      <c r="H129" s="5">
        <f>COUNTIFS(STATUS!$Q:$Q,H$1,STATUS!$D:$D,$A129)</f>
        <v>0</v>
      </c>
      <c r="I129" s="5">
        <f>COUNTIFS(STATUS!$Q:$Q,I$1,STATUS!$D:$D,$A129)</f>
        <v>0</v>
      </c>
      <c r="J129" s="5">
        <f t="shared" si="7"/>
        <v>12</v>
      </c>
    </row>
    <row r="130" spans="1:10" x14ac:dyDescent="0.35">
      <c r="A130" s="4">
        <v>44023</v>
      </c>
      <c r="B130" s="5">
        <f>COUNTIFS(STATUS!$Q:$Q,B$1,STATUS!$D:$D,$A130)</f>
        <v>0</v>
      </c>
      <c r="C130" s="5">
        <f>COUNTIFS(STATUS!$Q:$Q,C$1,STATUS!$D:$D,$A130)</f>
        <v>0</v>
      </c>
      <c r="D130" s="5">
        <f>COUNTIFS(STATUS!$Q:$Q,D$1,STATUS!$D:$D,$A130)</f>
        <v>0</v>
      </c>
      <c r="E130" s="5">
        <f>COUNTIFS(STATUS!$Q:$Q,E$1,STATUS!$D:$D,$A130)</f>
        <v>0</v>
      </c>
      <c r="F130" s="5">
        <f>COUNTIFS(STATUS!$Q:$Q,F$1,STATUS!$D:$D,$A130)</f>
        <v>0</v>
      </c>
      <c r="G130" s="5">
        <f>COUNTIFS(STATUS!$Q:$Q,G$1,STATUS!$D:$D,$A130)</f>
        <v>0</v>
      </c>
      <c r="H130" s="5">
        <f>COUNTIFS(STATUS!$Q:$Q,H$1,STATUS!$D:$D,$A130)</f>
        <v>0</v>
      </c>
      <c r="I130" s="5">
        <f>COUNTIFS(STATUS!$Q:$Q,I$1,STATUS!$D:$D,$A130)</f>
        <v>0</v>
      </c>
      <c r="J130" s="5">
        <f t="shared" si="7"/>
        <v>0</v>
      </c>
    </row>
    <row r="131" spans="1:10" x14ac:dyDescent="0.35">
      <c r="A131" s="4">
        <v>44024</v>
      </c>
      <c r="B131" s="5">
        <f>COUNTIFS(STATUS!$Q:$Q,B$1,STATUS!$D:$D,$A131)</f>
        <v>0</v>
      </c>
      <c r="C131" s="5">
        <f>COUNTIFS(STATUS!$Q:$Q,C$1,STATUS!$D:$D,$A131)</f>
        <v>0</v>
      </c>
      <c r="D131" s="5">
        <f>COUNTIFS(STATUS!$Q:$Q,D$1,STATUS!$D:$D,$A131)</f>
        <v>0</v>
      </c>
      <c r="E131" s="5">
        <f>COUNTIFS(STATUS!$Q:$Q,E$1,STATUS!$D:$D,$A131)</f>
        <v>0</v>
      </c>
      <c r="F131" s="5">
        <f>COUNTIFS(STATUS!$Q:$Q,F$1,STATUS!$D:$D,$A131)</f>
        <v>0</v>
      </c>
      <c r="G131" s="5">
        <f>COUNTIFS(STATUS!$Q:$Q,G$1,STATUS!$D:$D,$A131)</f>
        <v>0</v>
      </c>
      <c r="H131" s="5">
        <f>COUNTIFS(STATUS!$Q:$Q,H$1,STATUS!$D:$D,$A131)</f>
        <v>0</v>
      </c>
      <c r="I131" s="5">
        <f>COUNTIFS(STATUS!$Q:$Q,I$1,STATUS!$D:$D,$A131)</f>
        <v>0</v>
      </c>
      <c r="J131" s="5">
        <f t="shared" si="7"/>
        <v>0</v>
      </c>
    </row>
    <row r="132" spans="1:10" x14ac:dyDescent="0.35">
      <c r="A132" s="4">
        <v>44025</v>
      </c>
      <c r="B132" s="5">
        <f>COUNTIFS(STATUS!$Q:$Q,B$1,STATUS!$D:$D,$A132)</f>
        <v>1</v>
      </c>
      <c r="C132" s="5">
        <f>COUNTIFS(STATUS!$Q:$Q,C$1,STATUS!$D:$D,$A132)</f>
        <v>3</v>
      </c>
      <c r="D132" s="5">
        <f>COUNTIFS(STATUS!$Q:$Q,D$1,STATUS!$D:$D,$A132)</f>
        <v>1</v>
      </c>
      <c r="E132" s="5">
        <f>COUNTIFS(STATUS!$Q:$Q,E$1,STATUS!$D:$D,$A132)</f>
        <v>1</v>
      </c>
      <c r="F132" s="5">
        <f>COUNTIFS(STATUS!$Q:$Q,F$1,STATUS!$D:$D,$A132)</f>
        <v>0</v>
      </c>
      <c r="G132" s="5">
        <f>COUNTIFS(STATUS!$Q:$Q,G$1,STATUS!$D:$D,$A132)</f>
        <v>4</v>
      </c>
      <c r="H132" s="5">
        <f>COUNTIFS(STATUS!$Q:$Q,H$1,STATUS!$D:$D,$A132)</f>
        <v>0</v>
      </c>
      <c r="I132" s="5">
        <f>COUNTIFS(STATUS!$Q:$Q,I$1,STATUS!$D:$D,$A132)</f>
        <v>0</v>
      </c>
      <c r="J132" s="5">
        <f t="shared" si="7"/>
        <v>10</v>
      </c>
    </row>
    <row r="133" spans="1:10" x14ac:dyDescent="0.35">
      <c r="A133" s="4">
        <v>44026</v>
      </c>
      <c r="B133" s="5">
        <f>COUNTIFS(STATUS!$Q:$Q,B$1,STATUS!$D:$D,$A133)</f>
        <v>3</v>
      </c>
      <c r="C133" s="5">
        <f>COUNTIFS(STATUS!$Q:$Q,C$1,STATUS!$D:$D,$A133)</f>
        <v>0</v>
      </c>
      <c r="D133" s="5">
        <f>COUNTIFS(STATUS!$Q:$Q,D$1,STATUS!$D:$D,$A133)</f>
        <v>2</v>
      </c>
      <c r="E133" s="5">
        <f>COUNTIFS(STATUS!$Q:$Q,E$1,STATUS!$D:$D,$A133)</f>
        <v>1</v>
      </c>
      <c r="F133" s="5">
        <f>COUNTIFS(STATUS!$Q:$Q,F$1,STATUS!$D:$D,$A133)</f>
        <v>0</v>
      </c>
      <c r="G133" s="5">
        <f>COUNTIFS(STATUS!$Q:$Q,G$1,STATUS!$D:$D,$A133)</f>
        <v>1</v>
      </c>
      <c r="H133" s="5">
        <f>COUNTIFS(STATUS!$Q:$Q,H$1,STATUS!$D:$D,$A133)</f>
        <v>0</v>
      </c>
      <c r="I133" s="5">
        <f>COUNTIFS(STATUS!$Q:$Q,I$1,STATUS!$D:$D,$A133)</f>
        <v>0</v>
      </c>
      <c r="J133" s="5">
        <f t="shared" si="7"/>
        <v>7</v>
      </c>
    </row>
    <row r="134" spans="1:10" x14ac:dyDescent="0.35">
      <c r="A134" s="4">
        <v>44027</v>
      </c>
      <c r="B134" s="5">
        <f>COUNTIFS(STATUS!$Q:$Q,B$1,STATUS!$D:$D,$A134)</f>
        <v>0</v>
      </c>
      <c r="C134" s="5">
        <f>COUNTIFS(STATUS!$Q:$Q,C$1,STATUS!$D:$D,$A134)</f>
        <v>0</v>
      </c>
      <c r="D134" s="5">
        <f>COUNTIFS(STATUS!$Q:$Q,D$1,STATUS!$D:$D,$A134)</f>
        <v>0</v>
      </c>
      <c r="E134" s="5">
        <f>COUNTIFS(STATUS!$Q:$Q,E$1,STATUS!$D:$D,$A134)</f>
        <v>0</v>
      </c>
      <c r="F134" s="5">
        <f>COUNTIFS(STATUS!$Q:$Q,F$1,STATUS!$D:$D,$A134)</f>
        <v>0</v>
      </c>
      <c r="G134" s="5">
        <f>COUNTIFS(STATUS!$Q:$Q,G$1,STATUS!$D:$D,$A134)</f>
        <v>3</v>
      </c>
      <c r="H134" s="5">
        <f>COUNTIFS(STATUS!$Q:$Q,H$1,STATUS!$D:$D,$A134)</f>
        <v>0</v>
      </c>
      <c r="I134" s="5">
        <f>COUNTIFS(STATUS!$Q:$Q,I$1,STATUS!$D:$D,$A134)</f>
        <v>0</v>
      </c>
      <c r="J134" s="5">
        <f t="shared" si="7"/>
        <v>3</v>
      </c>
    </row>
    <row r="135" spans="1:10" x14ac:dyDescent="0.35">
      <c r="A135" s="4">
        <v>44028</v>
      </c>
      <c r="B135" s="5">
        <f>COUNTIFS(STATUS!$Q:$Q,B$1,STATUS!$D:$D,$A135)</f>
        <v>0</v>
      </c>
      <c r="C135" s="5">
        <f>COUNTIFS(STATUS!$Q:$Q,C$1,STATUS!$D:$D,$A135)</f>
        <v>0</v>
      </c>
      <c r="D135" s="5">
        <f>COUNTIFS(STATUS!$Q:$Q,D$1,STATUS!$D:$D,$A135)</f>
        <v>0</v>
      </c>
      <c r="E135" s="5">
        <f>COUNTIFS(STATUS!$Q:$Q,E$1,STATUS!$D:$D,$A135)</f>
        <v>0</v>
      </c>
      <c r="F135" s="5">
        <f>COUNTIFS(STATUS!$Q:$Q,F$1,STATUS!$D:$D,$A135)</f>
        <v>0</v>
      </c>
      <c r="G135" s="5">
        <f>COUNTIFS(STATUS!$Q:$Q,G$1,STATUS!$D:$D,$A135)</f>
        <v>4</v>
      </c>
      <c r="H135" s="5">
        <f>COUNTIFS(STATUS!$Q:$Q,H$1,STATUS!$D:$D,$A135)</f>
        <v>0</v>
      </c>
      <c r="I135" s="5">
        <f>COUNTIFS(STATUS!$Q:$Q,I$1,STATUS!$D:$D,$A135)</f>
        <v>0</v>
      </c>
      <c r="J135" s="5">
        <f t="shared" si="7"/>
        <v>4</v>
      </c>
    </row>
    <row r="136" spans="1:10" x14ac:dyDescent="0.35">
      <c r="A136" s="4">
        <v>44029</v>
      </c>
      <c r="B136" s="5">
        <f>COUNTIFS(STATUS!$Q:$Q,B$1,STATUS!$D:$D,$A136)</f>
        <v>0</v>
      </c>
      <c r="C136" s="5">
        <f>COUNTIFS(STATUS!$Q:$Q,C$1,STATUS!$D:$D,$A136)</f>
        <v>0</v>
      </c>
      <c r="D136" s="5">
        <f>COUNTIFS(STATUS!$Q:$Q,D$1,STATUS!$D:$D,$A136)</f>
        <v>0</v>
      </c>
      <c r="E136" s="5">
        <f>COUNTIFS(STATUS!$Q:$Q,E$1,STATUS!$D:$D,$A136)</f>
        <v>0</v>
      </c>
      <c r="F136" s="5">
        <f>COUNTIFS(STATUS!$Q:$Q,F$1,STATUS!$D:$D,$A136)</f>
        <v>0</v>
      </c>
      <c r="G136" s="5">
        <f>COUNTIFS(STATUS!$Q:$Q,G$1,STATUS!$D:$D,$A136)</f>
        <v>0</v>
      </c>
      <c r="H136" s="5">
        <f>COUNTIFS(STATUS!$Q:$Q,H$1,STATUS!$D:$D,$A136)</f>
        <v>0</v>
      </c>
      <c r="I136" s="5">
        <f>COUNTIFS(STATUS!$Q:$Q,I$1,STATUS!$D:$D,$A136)</f>
        <v>0</v>
      </c>
      <c r="J136" s="5">
        <f t="shared" si="7"/>
        <v>0</v>
      </c>
    </row>
    <row r="137" spans="1:10" x14ac:dyDescent="0.35">
      <c r="A137" s="4">
        <v>44030</v>
      </c>
      <c r="B137" s="5">
        <f>COUNTIFS(STATUS!$Q:$Q,B$1,STATUS!$D:$D,$A137)</f>
        <v>0</v>
      </c>
      <c r="C137" s="5">
        <f>COUNTIFS(STATUS!$Q:$Q,C$1,STATUS!$D:$D,$A137)</f>
        <v>0</v>
      </c>
      <c r="D137" s="5">
        <f>COUNTIFS(STATUS!$Q:$Q,D$1,STATUS!$D:$D,$A137)</f>
        <v>0</v>
      </c>
      <c r="E137" s="5">
        <f>COUNTIFS(STATUS!$Q:$Q,E$1,STATUS!$D:$D,$A137)</f>
        <v>0</v>
      </c>
      <c r="F137" s="5">
        <f>COUNTIFS(STATUS!$Q:$Q,F$1,STATUS!$D:$D,$A137)</f>
        <v>0</v>
      </c>
      <c r="G137" s="5">
        <f>COUNTIFS(STATUS!$Q:$Q,G$1,STATUS!$D:$D,$A137)</f>
        <v>0</v>
      </c>
      <c r="H137" s="5">
        <f>COUNTIFS(STATUS!$Q:$Q,H$1,STATUS!$D:$D,$A137)</f>
        <v>0</v>
      </c>
      <c r="I137" s="5">
        <f>COUNTIFS(STATUS!$Q:$Q,I$1,STATUS!$D:$D,$A137)</f>
        <v>0</v>
      </c>
      <c r="J137" s="5">
        <f t="shared" si="7"/>
        <v>0</v>
      </c>
    </row>
    <row r="138" spans="1:10" x14ac:dyDescent="0.35">
      <c r="A138" s="4">
        <v>44031</v>
      </c>
      <c r="B138" s="5">
        <f>COUNTIFS(STATUS!$Q:$Q,B$1,STATUS!$D:$D,$A138)</f>
        <v>0</v>
      </c>
      <c r="C138" s="5">
        <f>COUNTIFS(STATUS!$Q:$Q,C$1,STATUS!$D:$D,$A138)</f>
        <v>0</v>
      </c>
      <c r="D138" s="5">
        <f>COUNTIFS(STATUS!$Q:$Q,D$1,STATUS!$D:$D,$A138)</f>
        <v>0</v>
      </c>
      <c r="E138" s="5">
        <f>COUNTIFS(STATUS!$Q:$Q,E$1,STATUS!$D:$D,$A138)</f>
        <v>0</v>
      </c>
      <c r="F138" s="5">
        <f>COUNTIFS(STATUS!$Q:$Q,F$1,STATUS!$D:$D,$A138)</f>
        <v>0</v>
      </c>
      <c r="G138" s="5">
        <f>COUNTIFS(STATUS!$Q:$Q,G$1,STATUS!$D:$D,$A138)</f>
        <v>0</v>
      </c>
      <c r="H138" s="5">
        <f>COUNTIFS(STATUS!$Q:$Q,H$1,STATUS!$D:$D,$A138)</f>
        <v>0</v>
      </c>
      <c r="I138" s="5">
        <f>COUNTIFS(STATUS!$Q:$Q,I$1,STATUS!$D:$D,$A138)</f>
        <v>0</v>
      </c>
      <c r="J138" s="5">
        <f t="shared" si="7"/>
        <v>0</v>
      </c>
    </row>
    <row r="139" spans="1:10" x14ac:dyDescent="0.35">
      <c r="A139" s="4">
        <v>44032</v>
      </c>
      <c r="B139" s="5">
        <f>COUNTIFS(STATUS!$Q:$Q,B$1,STATUS!$D:$D,$A139)</f>
        <v>0</v>
      </c>
      <c r="C139" s="5">
        <f>COUNTIFS(STATUS!$Q:$Q,C$1,STATUS!$D:$D,$A139)</f>
        <v>2</v>
      </c>
      <c r="D139" s="5">
        <f>COUNTIFS(STATUS!$Q:$Q,D$1,STATUS!$D:$D,$A139)</f>
        <v>0</v>
      </c>
      <c r="E139" s="5">
        <f>COUNTIFS(STATUS!$Q:$Q,E$1,STATUS!$D:$D,$A139)</f>
        <v>0</v>
      </c>
      <c r="F139" s="5">
        <f>COUNTIFS(STATUS!$Q:$Q,F$1,STATUS!$D:$D,$A139)</f>
        <v>0</v>
      </c>
      <c r="G139" s="5">
        <f>COUNTIFS(STATUS!$Q:$Q,G$1,STATUS!$D:$D,$A139)</f>
        <v>0</v>
      </c>
      <c r="H139" s="5">
        <f>COUNTIFS(STATUS!$Q:$Q,H$1,STATUS!$D:$D,$A139)</f>
        <v>0</v>
      </c>
      <c r="I139" s="5">
        <f>COUNTIFS(STATUS!$Q:$Q,I$1,STATUS!$D:$D,$A139)</f>
        <v>0</v>
      </c>
      <c r="J139" s="5">
        <f t="shared" si="7"/>
        <v>2</v>
      </c>
    </row>
    <row r="140" spans="1:10" x14ac:dyDescent="0.35">
      <c r="A140" s="4">
        <v>44033</v>
      </c>
      <c r="B140" s="5">
        <f>COUNTIFS(STATUS!$Q:$Q,B$1,STATUS!$D:$D,$A140)</f>
        <v>0</v>
      </c>
      <c r="C140" s="5">
        <f>COUNTIFS(STATUS!$Q:$Q,C$1,STATUS!$D:$D,$A140)</f>
        <v>0</v>
      </c>
      <c r="D140" s="5">
        <f>COUNTIFS(STATUS!$Q:$Q,D$1,STATUS!$D:$D,$A140)</f>
        <v>0</v>
      </c>
      <c r="E140" s="5">
        <f>COUNTIFS(STATUS!$Q:$Q,E$1,STATUS!$D:$D,$A140)</f>
        <v>0</v>
      </c>
      <c r="F140" s="5">
        <f>COUNTIFS(STATUS!$Q:$Q,F$1,STATUS!$D:$D,$A140)</f>
        <v>0</v>
      </c>
      <c r="G140" s="5">
        <f>COUNTIFS(STATUS!$Q:$Q,G$1,STATUS!$D:$D,$A140)</f>
        <v>0</v>
      </c>
      <c r="H140" s="5">
        <f>COUNTIFS(STATUS!$Q:$Q,H$1,STATUS!$D:$D,$A140)</f>
        <v>0</v>
      </c>
      <c r="I140" s="5">
        <f>COUNTIFS(STATUS!$Q:$Q,I$1,STATUS!$D:$D,$A140)</f>
        <v>0</v>
      </c>
      <c r="J140" s="5">
        <f t="shared" si="7"/>
        <v>0</v>
      </c>
    </row>
    <row r="141" spans="1:10" x14ac:dyDescent="0.35">
      <c r="A141" s="4">
        <v>44034</v>
      </c>
      <c r="B141" s="5">
        <f>COUNTIFS(STATUS!$Q:$Q,B$1,STATUS!$D:$D,$A141)</f>
        <v>0</v>
      </c>
      <c r="C141" s="5">
        <f>COUNTIFS(STATUS!$Q:$Q,C$1,STATUS!$D:$D,$A141)</f>
        <v>0</v>
      </c>
      <c r="D141" s="5">
        <f>COUNTIFS(STATUS!$Q:$Q,D$1,STATUS!$D:$D,$A141)</f>
        <v>0</v>
      </c>
      <c r="E141" s="5">
        <f>COUNTIFS(STATUS!$Q:$Q,E$1,STATUS!$D:$D,$A141)</f>
        <v>0</v>
      </c>
      <c r="F141" s="5">
        <f>COUNTIFS(STATUS!$Q:$Q,F$1,STATUS!$D:$D,$A141)</f>
        <v>0</v>
      </c>
      <c r="G141" s="5">
        <f>COUNTIFS(STATUS!$Q:$Q,G$1,STATUS!$D:$D,$A141)</f>
        <v>0</v>
      </c>
      <c r="H141" s="5">
        <f>COUNTIFS(STATUS!$Q:$Q,H$1,STATUS!$D:$D,$A141)</f>
        <v>0</v>
      </c>
      <c r="I141" s="5">
        <f>COUNTIFS(STATUS!$Q:$Q,I$1,STATUS!$D:$D,$A141)</f>
        <v>0</v>
      </c>
      <c r="J141" s="5">
        <f t="shared" si="7"/>
        <v>0</v>
      </c>
    </row>
    <row r="142" spans="1:10" x14ac:dyDescent="0.35">
      <c r="A142" s="4">
        <v>44035</v>
      </c>
      <c r="B142" s="5">
        <f>COUNTIFS(STATUS!$Q:$Q,B$1,STATUS!$D:$D,$A142)</f>
        <v>0</v>
      </c>
      <c r="C142" s="5">
        <f>COUNTIFS(STATUS!$Q:$Q,C$1,STATUS!$D:$D,$A142)</f>
        <v>0</v>
      </c>
      <c r="D142" s="5">
        <f>COUNTIFS(STATUS!$Q:$Q,D$1,STATUS!$D:$D,$A142)</f>
        <v>0</v>
      </c>
      <c r="E142" s="5">
        <f>COUNTIFS(STATUS!$Q:$Q,E$1,STATUS!$D:$D,$A142)</f>
        <v>0</v>
      </c>
      <c r="F142" s="5">
        <f>COUNTIFS(STATUS!$Q:$Q,F$1,STATUS!$D:$D,$A142)</f>
        <v>0</v>
      </c>
      <c r="G142" s="5">
        <f>COUNTIFS(STATUS!$Q:$Q,G$1,STATUS!$D:$D,$A142)</f>
        <v>0</v>
      </c>
      <c r="H142" s="5">
        <f>COUNTIFS(STATUS!$Q:$Q,H$1,STATUS!$D:$D,$A142)</f>
        <v>0</v>
      </c>
      <c r="I142" s="5">
        <f>COUNTIFS(STATUS!$Q:$Q,I$1,STATUS!$D:$D,$A142)</f>
        <v>0</v>
      </c>
      <c r="J142" s="5">
        <f t="shared" si="7"/>
        <v>0</v>
      </c>
    </row>
    <row r="143" spans="1:10" x14ac:dyDescent="0.35">
      <c r="A143" s="4">
        <v>44036</v>
      </c>
      <c r="B143" s="5">
        <f>COUNTIFS(STATUS!$Q:$Q,B$1,STATUS!$D:$D,$A143)</f>
        <v>0</v>
      </c>
      <c r="C143" s="5">
        <f>COUNTIFS(STATUS!$Q:$Q,C$1,STATUS!$D:$D,$A143)</f>
        <v>0</v>
      </c>
      <c r="D143" s="5">
        <f>COUNTIFS(STATUS!$Q:$Q,D$1,STATUS!$D:$D,$A143)</f>
        <v>0</v>
      </c>
      <c r="E143" s="5">
        <f>COUNTIFS(STATUS!$Q:$Q,E$1,STATUS!$D:$D,$A143)</f>
        <v>0</v>
      </c>
      <c r="F143" s="5">
        <f>COUNTIFS(STATUS!$Q:$Q,F$1,STATUS!$D:$D,$A143)</f>
        <v>0</v>
      </c>
      <c r="G143" s="5">
        <f>COUNTIFS(STATUS!$Q:$Q,G$1,STATUS!$D:$D,$A143)</f>
        <v>0</v>
      </c>
      <c r="H143" s="5">
        <f>COUNTIFS(STATUS!$Q:$Q,H$1,STATUS!$D:$D,$A143)</f>
        <v>0</v>
      </c>
      <c r="I143" s="5">
        <f>COUNTIFS(STATUS!$Q:$Q,I$1,STATUS!$D:$D,$A143)</f>
        <v>0</v>
      </c>
      <c r="J143" s="5">
        <f t="shared" si="7"/>
        <v>0</v>
      </c>
    </row>
    <row r="144" spans="1:10" x14ac:dyDescent="0.35">
      <c r="A144" s="4">
        <v>44037</v>
      </c>
      <c r="B144" s="5">
        <f>COUNTIFS(STATUS!$Q:$Q,B$1,STATUS!$D:$D,$A144)</f>
        <v>0</v>
      </c>
      <c r="C144" s="5">
        <f>COUNTIFS(STATUS!$Q:$Q,C$1,STATUS!$D:$D,$A144)</f>
        <v>0</v>
      </c>
      <c r="D144" s="5">
        <f>COUNTIFS(STATUS!$Q:$Q,D$1,STATUS!$D:$D,$A144)</f>
        <v>0</v>
      </c>
      <c r="E144" s="5">
        <f>COUNTIFS(STATUS!$Q:$Q,E$1,STATUS!$D:$D,$A144)</f>
        <v>0</v>
      </c>
      <c r="F144" s="5">
        <f>COUNTIFS(STATUS!$Q:$Q,F$1,STATUS!$D:$D,$A144)</f>
        <v>0</v>
      </c>
      <c r="G144" s="5">
        <f>COUNTIFS(STATUS!$Q:$Q,G$1,STATUS!$D:$D,$A144)</f>
        <v>0</v>
      </c>
      <c r="H144" s="5">
        <f>COUNTIFS(STATUS!$Q:$Q,H$1,STATUS!$D:$D,$A144)</f>
        <v>0</v>
      </c>
      <c r="I144" s="5">
        <f>COUNTIFS(STATUS!$Q:$Q,I$1,STATUS!$D:$D,$A144)</f>
        <v>0</v>
      </c>
      <c r="J144" s="5">
        <f t="shared" si="7"/>
        <v>0</v>
      </c>
    </row>
    <row r="145" spans="1:10" x14ac:dyDescent="0.35">
      <c r="A145" s="4">
        <v>44038</v>
      </c>
      <c r="B145" s="5">
        <f>COUNTIFS(STATUS!$Q:$Q,B$1,STATUS!$D:$D,$A145)</f>
        <v>0</v>
      </c>
      <c r="C145" s="5">
        <f>COUNTIFS(STATUS!$Q:$Q,C$1,STATUS!$D:$D,$A145)</f>
        <v>0</v>
      </c>
      <c r="D145" s="5">
        <f>COUNTIFS(STATUS!$Q:$Q,D$1,STATUS!$D:$D,$A145)</f>
        <v>0</v>
      </c>
      <c r="E145" s="5">
        <f>COUNTIFS(STATUS!$Q:$Q,E$1,STATUS!$D:$D,$A145)</f>
        <v>0</v>
      </c>
      <c r="F145" s="5">
        <f>COUNTIFS(STATUS!$Q:$Q,F$1,STATUS!$D:$D,$A145)</f>
        <v>0</v>
      </c>
      <c r="G145" s="5">
        <f>COUNTIFS(STATUS!$Q:$Q,G$1,STATUS!$D:$D,$A145)</f>
        <v>0</v>
      </c>
      <c r="H145" s="5">
        <f>COUNTIFS(STATUS!$Q:$Q,H$1,STATUS!$D:$D,$A145)</f>
        <v>0</v>
      </c>
      <c r="I145" s="5">
        <f>COUNTIFS(STATUS!$Q:$Q,I$1,STATUS!$D:$D,$A145)</f>
        <v>0</v>
      </c>
      <c r="J145" s="5">
        <f t="shared" si="7"/>
        <v>0</v>
      </c>
    </row>
    <row r="146" spans="1:10" x14ac:dyDescent="0.35">
      <c r="A146" s="4">
        <v>44039</v>
      </c>
      <c r="B146" s="5">
        <f>COUNTIFS(STATUS!$Q:$Q,B$1,STATUS!$D:$D,$A146)</f>
        <v>0</v>
      </c>
      <c r="C146" s="5">
        <f>COUNTIFS(STATUS!$Q:$Q,C$1,STATUS!$D:$D,$A146)</f>
        <v>0</v>
      </c>
      <c r="D146" s="5">
        <f>COUNTIFS(STATUS!$Q:$Q,D$1,STATUS!$D:$D,$A146)</f>
        <v>0</v>
      </c>
      <c r="E146" s="5">
        <f>COUNTIFS(STATUS!$Q:$Q,E$1,STATUS!$D:$D,$A146)</f>
        <v>0</v>
      </c>
      <c r="F146" s="5">
        <f>COUNTIFS(STATUS!$Q:$Q,F$1,STATUS!$D:$D,$A146)</f>
        <v>0</v>
      </c>
      <c r="G146" s="5">
        <f>COUNTIFS(STATUS!$Q:$Q,G$1,STATUS!$D:$D,$A146)</f>
        <v>0</v>
      </c>
      <c r="H146" s="5">
        <f>COUNTIFS(STATUS!$Q:$Q,H$1,STATUS!$D:$D,$A146)</f>
        <v>0</v>
      </c>
      <c r="I146" s="5">
        <f>COUNTIFS(STATUS!$Q:$Q,I$1,STATUS!$D:$D,$A146)</f>
        <v>0</v>
      </c>
      <c r="J146" s="5">
        <f t="shared" si="7"/>
        <v>0</v>
      </c>
    </row>
    <row r="147" spans="1:10" x14ac:dyDescent="0.35">
      <c r="A147" s="4">
        <v>44040</v>
      </c>
      <c r="B147" s="5">
        <f>COUNTIFS(STATUS!$Q:$Q,B$1,STATUS!$D:$D,$A147)</f>
        <v>0</v>
      </c>
      <c r="C147" s="5">
        <f>COUNTIFS(STATUS!$Q:$Q,C$1,STATUS!$D:$D,$A147)</f>
        <v>0</v>
      </c>
      <c r="D147" s="5">
        <f>COUNTIFS(STATUS!$Q:$Q,D$1,STATUS!$D:$D,$A147)</f>
        <v>0</v>
      </c>
      <c r="E147" s="5">
        <f>COUNTIFS(STATUS!$Q:$Q,E$1,STATUS!$D:$D,$A147)</f>
        <v>0</v>
      </c>
      <c r="F147" s="5">
        <f>COUNTIFS(STATUS!$Q:$Q,F$1,STATUS!$D:$D,$A147)</f>
        <v>0</v>
      </c>
      <c r="G147" s="5">
        <f>COUNTIFS(STATUS!$Q:$Q,G$1,STATUS!$D:$D,$A147)</f>
        <v>0</v>
      </c>
      <c r="H147" s="5">
        <f>COUNTIFS(STATUS!$Q:$Q,H$1,STATUS!$D:$D,$A147)</f>
        <v>0</v>
      </c>
      <c r="I147" s="5">
        <f>COUNTIFS(STATUS!$Q:$Q,I$1,STATUS!$D:$D,$A147)</f>
        <v>0</v>
      </c>
      <c r="J147" s="5">
        <f t="shared" si="7"/>
        <v>0</v>
      </c>
    </row>
    <row r="148" spans="1:10" x14ac:dyDescent="0.35">
      <c r="A148" s="4">
        <v>44041</v>
      </c>
      <c r="B148" s="5">
        <f>COUNTIFS(STATUS!$Q:$Q,B$1,STATUS!$D:$D,$A148)</f>
        <v>0</v>
      </c>
      <c r="C148" s="5">
        <f>COUNTIFS(STATUS!$Q:$Q,C$1,STATUS!$D:$D,$A148)</f>
        <v>0</v>
      </c>
      <c r="D148" s="5">
        <f>COUNTIFS(STATUS!$Q:$Q,D$1,STATUS!$D:$D,$A148)</f>
        <v>0</v>
      </c>
      <c r="E148" s="5">
        <f>COUNTIFS(STATUS!$Q:$Q,E$1,STATUS!$D:$D,$A148)</f>
        <v>0</v>
      </c>
      <c r="F148" s="5">
        <f>COUNTIFS(STATUS!$Q:$Q,F$1,STATUS!$D:$D,$A148)</f>
        <v>0</v>
      </c>
      <c r="G148" s="5">
        <f>COUNTIFS(STATUS!$Q:$Q,G$1,STATUS!$D:$D,$A148)</f>
        <v>0</v>
      </c>
      <c r="H148" s="5">
        <f>COUNTIFS(STATUS!$Q:$Q,H$1,STATUS!$D:$D,$A148)</f>
        <v>0</v>
      </c>
      <c r="I148" s="5">
        <f>COUNTIFS(STATUS!$Q:$Q,I$1,STATUS!$D:$D,$A148)</f>
        <v>0</v>
      </c>
      <c r="J148" s="5">
        <f t="shared" si="7"/>
        <v>0</v>
      </c>
    </row>
    <row r="149" spans="1:10" x14ac:dyDescent="0.35">
      <c r="A149" s="4">
        <v>44042</v>
      </c>
      <c r="B149" s="5">
        <f>COUNTIFS(STATUS!$Q:$Q,B$1,STATUS!$D:$D,$A149)</f>
        <v>0</v>
      </c>
      <c r="C149" s="5">
        <f>COUNTIFS(STATUS!$Q:$Q,C$1,STATUS!$D:$D,$A149)</f>
        <v>0</v>
      </c>
      <c r="D149" s="5">
        <f>COUNTIFS(STATUS!$Q:$Q,D$1,STATUS!$D:$D,$A149)</f>
        <v>0</v>
      </c>
      <c r="E149" s="5">
        <f>COUNTIFS(STATUS!$Q:$Q,E$1,STATUS!$D:$D,$A149)</f>
        <v>0</v>
      </c>
      <c r="F149" s="5">
        <f>COUNTIFS(STATUS!$Q:$Q,F$1,STATUS!$D:$D,$A149)</f>
        <v>0</v>
      </c>
      <c r="G149" s="5">
        <f>COUNTIFS(STATUS!$Q:$Q,G$1,STATUS!$D:$D,$A149)</f>
        <v>0</v>
      </c>
      <c r="H149" s="5">
        <f>COUNTIFS(STATUS!$Q:$Q,H$1,STATUS!$D:$D,$A149)</f>
        <v>0</v>
      </c>
      <c r="I149" s="5">
        <f>COUNTIFS(STATUS!$Q:$Q,I$1,STATUS!$D:$D,$A149)</f>
        <v>0</v>
      </c>
      <c r="J149" s="5">
        <f t="shared" si="7"/>
        <v>0</v>
      </c>
    </row>
    <row r="150" spans="1:10" x14ac:dyDescent="0.35">
      <c r="A150" s="4">
        <v>44043</v>
      </c>
      <c r="B150" s="5">
        <f>COUNTIFS(STATUS!$Q:$Q,B$1,STATUS!$D:$D,$A150)</f>
        <v>0</v>
      </c>
      <c r="C150" s="5">
        <f>COUNTIFS(STATUS!$Q:$Q,C$1,STATUS!$D:$D,$A150)</f>
        <v>0</v>
      </c>
      <c r="D150" s="5">
        <f>COUNTIFS(STATUS!$Q:$Q,D$1,STATUS!$D:$D,$A150)</f>
        <v>0</v>
      </c>
      <c r="E150" s="5">
        <f>COUNTIFS(STATUS!$Q:$Q,E$1,STATUS!$D:$D,$A150)</f>
        <v>0</v>
      </c>
      <c r="F150" s="5">
        <f>COUNTIFS(STATUS!$Q:$Q,F$1,STATUS!$D:$D,$A150)</f>
        <v>0</v>
      </c>
      <c r="G150" s="5">
        <f>COUNTIFS(STATUS!$Q:$Q,G$1,STATUS!$D:$D,$A150)</f>
        <v>0</v>
      </c>
      <c r="H150" s="5">
        <f>COUNTIFS(STATUS!$Q:$Q,H$1,STATUS!$D:$D,$A150)</f>
        <v>0</v>
      </c>
      <c r="I150" s="5">
        <f>COUNTIFS(STATUS!$Q:$Q,I$1,STATUS!$D:$D,$A150)</f>
        <v>0</v>
      </c>
      <c r="J150" s="5">
        <f t="shared" si="7"/>
        <v>0</v>
      </c>
    </row>
    <row r="151" spans="1:10" x14ac:dyDescent="0.35">
      <c r="A151" s="4">
        <v>44044</v>
      </c>
      <c r="B151" s="5">
        <f>COUNTIFS(STATUS!$Q:$Q,B$1,STATUS!$D:$D,$A151)</f>
        <v>0</v>
      </c>
      <c r="C151" s="5">
        <f>COUNTIFS(STATUS!$Q:$Q,C$1,STATUS!$D:$D,$A151)</f>
        <v>0</v>
      </c>
      <c r="D151" s="5">
        <f>COUNTIFS(STATUS!$Q:$Q,D$1,STATUS!$D:$D,$A151)</f>
        <v>0</v>
      </c>
      <c r="E151" s="5">
        <f>COUNTIFS(STATUS!$Q:$Q,E$1,STATUS!$D:$D,$A151)</f>
        <v>0</v>
      </c>
      <c r="F151" s="5">
        <f>COUNTIFS(STATUS!$Q:$Q,F$1,STATUS!$D:$D,$A151)</f>
        <v>0</v>
      </c>
      <c r="G151" s="5">
        <f>COUNTIFS(STATUS!$Q:$Q,G$1,STATUS!$D:$D,$A151)</f>
        <v>0</v>
      </c>
      <c r="H151" s="5">
        <f>COUNTIFS(STATUS!$Q:$Q,H$1,STATUS!$D:$D,$A151)</f>
        <v>0</v>
      </c>
      <c r="I151" s="5">
        <f>COUNTIFS(STATUS!$Q:$Q,I$1,STATUS!$D:$D,$A151)</f>
        <v>0</v>
      </c>
      <c r="J151" s="5">
        <f t="shared" si="7"/>
        <v>0</v>
      </c>
    </row>
    <row r="152" spans="1:10" x14ac:dyDescent="0.35">
      <c r="A152" s="4">
        <v>44045</v>
      </c>
      <c r="B152" s="5">
        <f>COUNTIFS(STATUS!$Q:$Q,B$1,STATUS!$D:$D,$A152)</f>
        <v>0</v>
      </c>
      <c r="C152" s="5">
        <f>COUNTIFS(STATUS!$Q:$Q,C$1,STATUS!$D:$D,$A152)</f>
        <v>0</v>
      </c>
      <c r="D152" s="5">
        <f>COUNTIFS(STATUS!$Q:$Q,D$1,STATUS!$D:$D,$A152)</f>
        <v>0</v>
      </c>
      <c r="E152" s="5">
        <f>COUNTIFS(STATUS!$Q:$Q,E$1,STATUS!$D:$D,$A152)</f>
        <v>0</v>
      </c>
      <c r="F152" s="5">
        <f>COUNTIFS(STATUS!$Q:$Q,F$1,STATUS!$D:$D,$A152)</f>
        <v>0</v>
      </c>
      <c r="G152" s="5">
        <f>COUNTIFS(STATUS!$Q:$Q,G$1,STATUS!$D:$D,$A152)</f>
        <v>0</v>
      </c>
      <c r="H152" s="5">
        <f>COUNTIFS(STATUS!$Q:$Q,H$1,STATUS!$D:$D,$A152)</f>
        <v>0</v>
      </c>
      <c r="I152" s="5">
        <f>COUNTIFS(STATUS!$Q:$Q,I$1,STATUS!$D:$D,$A152)</f>
        <v>0</v>
      </c>
      <c r="J152" s="5">
        <f t="shared" si="7"/>
        <v>0</v>
      </c>
    </row>
    <row r="153" spans="1:10" x14ac:dyDescent="0.35">
      <c r="A153" s="4">
        <v>44046</v>
      </c>
      <c r="B153" s="5">
        <f>COUNTIFS(STATUS!$Q:$Q,B$1,STATUS!$D:$D,$A153)</f>
        <v>0</v>
      </c>
      <c r="C153" s="5">
        <f>COUNTIFS(STATUS!$Q:$Q,C$1,STATUS!$D:$D,$A153)</f>
        <v>0</v>
      </c>
      <c r="D153" s="5">
        <f>COUNTIFS(STATUS!$Q:$Q,D$1,STATUS!$D:$D,$A153)</f>
        <v>0</v>
      </c>
      <c r="E153" s="5">
        <f>COUNTIFS(STATUS!$Q:$Q,E$1,STATUS!$D:$D,$A153)</f>
        <v>0</v>
      </c>
      <c r="F153" s="5">
        <f>COUNTIFS(STATUS!$Q:$Q,F$1,STATUS!$D:$D,$A153)</f>
        <v>0</v>
      </c>
      <c r="G153" s="5">
        <f>COUNTIFS(STATUS!$Q:$Q,G$1,STATUS!$D:$D,$A153)</f>
        <v>0</v>
      </c>
      <c r="H153" s="5">
        <f>COUNTIFS(STATUS!$Q:$Q,H$1,STATUS!$D:$D,$A153)</f>
        <v>0</v>
      </c>
      <c r="I153" s="5">
        <f>COUNTIFS(STATUS!$Q:$Q,I$1,STATUS!$D:$D,$A153)</f>
        <v>0</v>
      </c>
      <c r="J153" s="5">
        <f t="shared" si="7"/>
        <v>0</v>
      </c>
    </row>
    <row r="154" spans="1:10" x14ac:dyDescent="0.35">
      <c r="A154" s="4">
        <v>44047</v>
      </c>
      <c r="B154" s="5">
        <f>COUNTIFS(STATUS!$Q:$Q,B$1,STATUS!$D:$D,$A154)</f>
        <v>0</v>
      </c>
      <c r="C154" s="5">
        <f>COUNTIFS(STATUS!$Q:$Q,C$1,STATUS!$D:$D,$A154)</f>
        <v>0</v>
      </c>
      <c r="D154" s="5">
        <f>COUNTIFS(STATUS!$Q:$Q,D$1,STATUS!$D:$D,$A154)</f>
        <v>0</v>
      </c>
      <c r="E154" s="5">
        <f>COUNTIFS(STATUS!$Q:$Q,E$1,STATUS!$D:$D,$A154)</f>
        <v>0</v>
      </c>
      <c r="F154" s="5">
        <f>COUNTIFS(STATUS!$Q:$Q,F$1,STATUS!$D:$D,$A154)</f>
        <v>0</v>
      </c>
      <c r="G154" s="5">
        <f>COUNTIFS(STATUS!$Q:$Q,G$1,STATUS!$D:$D,$A154)</f>
        <v>0</v>
      </c>
      <c r="H154" s="5">
        <f>COUNTIFS(STATUS!$Q:$Q,H$1,STATUS!$D:$D,$A154)</f>
        <v>0</v>
      </c>
      <c r="I154" s="5">
        <f>COUNTIFS(STATUS!$Q:$Q,I$1,STATUS!$D:$D,$A154)</f>
        <v>0</v>
      </c>
      <c r="J154" s="5">
        <f t="shared" si="7"/>
        <v>0</v>
      </c>
    </row>
    <row r="155" spans="1:10" x14ac:dyDescent="0.35">
      <c r="A155" s="4">
        <v>44048</v>
      </c>
      <c r="B155" s="5">
        <f>COUNTIFS(STATUS!$Q:$Q,B$1,STATUS!$D:$D,$A155)</f>
        <v>0</v>
      </c>
      <c r="C155" s="5">
        <f>COUNTIFS(STATUS!$Q:$Q,C$1,STATUS!$D:$D,$A155)</f>
        <v>0</v>
      </c>
      <c r="D155" s="5">
        <f>COUNTIFS(STATUS!$Q:$Q,D$1,STATUS!$D:$D,$A155)</f>
        <v>0</v>
      </c>
      <c r="E155" s="5">
        <f>COUNTIFS(STATUS!$Q:$Q,E$1,STATUS!$D:$D,$A155)</f>
        <v>0</v>
      </c>
      <c r="F155" s="5">
        <f>COUNTIFS(STATUS!$Q:$Q,F$1,STATUS!$D:$D,$A155)</f>
        <v>0</v>
      </c>
      <c r="G155" s="5">
        <f>COUNTIFS(STATUS!$Q:$Q,G$1,STATUS!$D:$D,$A155)</f>
        <v>0</v>
      </c>
      <c r="H155" s="5">
        <f>COUNTIFS(STATUS!$Q:$Q,H$1,STATUS!$D:$D,$A155)</f>
        <v>0</v>
      </c>
      <c r="I155" s="5">
        <f>COUNTIFS(STATUS!$Q:$Q,I$1,STATUS!$D:$D,$A155)</f>
        <v>0</v>
      </c>
      <c r="J155" s="5">
        <f t="shared" si="7"/>
        <v>0</v>
      </c>
    </row>
    <row r="156" spans="1:10" x14ac:dyDescent="0.35">
      <c r="A156" s="4">
        <v>44049</v>
      </c>
      <c r="B156" s="5">
        <f>COUNTIFS(STATUS!$Q:$Q,B$1,STATUS!$D:$D,$A156)</f>
        <v>0</v>
      </c>
      <c r="C156" s="5">
        <f>COUNTIFS(STATUS!$Q:$Q,C$1,STATUS!$D:$D,$A156)</f>
        <v>0</v>
      </c>
      <c r="D156" s="5">
        <f>COUNTIFS(STATUS!$Q:$Q,D$1,STATUS!$D:$D,$A156)</f>
        <v>0</v>
      </c>
      <c r="E156" s="5">
        <f>COUNTIFS(STATUS!$Q:$Q,E$1,STATUS!$D:$D,$A156)</f>
        <v>0</v>
      </c>
      <c r="F156" s="5">
        <f>COUNTIFS(STATUS!$Q:$Q,F$1,STATUS!$D:$D,$A156)</f>
        <v>0</v>
      </c>
      <c r="G156" s="5">
        <f>COUNTIFS(STATUS!$Q:$Q,G$1,STATUS!$D:$D,$A156)</f>
        <v>0</v>
      </c>
      <c r="H156" s="5">
        <f>COUNTIFS(STATUS!$Q:$Q,H$1,STATUS!$D:$D,$A156)</f>
        <v>0</v>
      </c>
      <c r="I156" s="5">
        <f>COUNTIFS(STATUS!$Q:$Q,I$1,STATUS!$D:$D,$A156)</f>
        <v>0</v>
      </c>
      <c r="J156" s="5">
        <f t="shared" si="7"/>
        <v>0</v>
      </c>
    </row>
    <row r="157" spans="1:10" x14ac:dyDescent="0.35">
      <c r="A157" s="4">
        <v>44050</v>
      </c>
      <c r="B157" s="5">
        <f>COUNTIFS(STATUS!$Q:$Q,B$1,STATUS!$D:$D,$A157)</f>
        <v>0</v>
      </c>
      <c r="C157" s="5">
        <f>COUNTIFS(STATUS!$Q:$Q,C$1,STATUS!$D:$D,$A157)</f>
        <v>0</v>
      </c>
      <c r="D157" s="5">
        <f>COUNTIFS(STATUS!$Q:$Q,D$1,STATUS!$D:$D,$A157)</f>
        <v>0</v>
      </c>
      <c r="E157" s="5">
        <f>COUNTIFS(STATUS!$Q:$Q,E$1,STATUS!$D:$D,$A157)</f>
        <v>0</v>
      </c>
      <c r="F157" s="5">
        <f>COUNTIFS(STATUS!$Q:$Q,F$1,STATUS!$D:$D,$A157)</f>
        <v>0</v>
      </c>
      <c r="G157" s="5">
        <f>COUNTIFS(STATUS!$Q:$Q,G$1,STATUS!$D:$D,$A157)</f>
        <v>0</v>
      </c>
      <c r="H157" s="5">
        <f>COUNTIFS(STATUS!$Q:$Q,H$1,STATUS!$D:$D,$A157)</f>
        <v>0</v>
      </c>
      <c r="I157" s="5">
        <f>COUNTIFS(STATUS!$Q:$Q,I$1,STATUS!$D:$D,$A157)</f>
        <v>0</v>
      </c>
      <c r="J157" s="5">
        <f t="shared" ref="J157:J171" si="8">SUM(B157:I157)</f>
        <v>0</v>
      </c>
    </row>
    <row r="158" spans="1:10" x14ac:dyDescent="0.35">
      <c r="A158" s="4">
        <v>44051</v>
      </c>
      <c r="B158" s="5">
        <f>COUNTIFS(STATUS!$Q:$Q,B$1,STATUS!$D:$D,$A158)</f>
        <v>0</v>
      </c>
      <c r="C158" s="5">
        <f>COUNTIFS(STATUS!$Q:$Q,C$1,STATUS!$D:$D,$A158)</f>
        <v>0</v>
      </c>
      <c r="D158" s="5">
        <f>COUNTIFS(STATUS!$Q:$Q,D$1,STATUS!$D:$D,$A158)</f>
        <v>0</v>
      </c>
      <c r="E158" s="5">
        <f>COUNTIFS(STATUS!$Q:$Q,E$1,STATUS!$D:$D,$A158)</f>
        <v>0</v>
      </c>
      <c r="F158" s="5">
        <f>COUNTIFS(STATUS!$Q:$Q,F$1,STATUS!$D:$D,$A158)</f>
        <v>0</v>
      </c>
      <c r="G158" s="5">
        <f>COUNTIFS(STATUS!$Q:$Q,G$1,STATUS!$D:$D,$A158)</f>
        <v>0</v>
      </c>
      <c r="H158" s="5">
        <f>COUNTIFS(STATUS!$Q:$Q,H$1,STATUS!$D:$D,$A158)</f>
        <v>0</v>
      </c>
      <c r="I158" s="5">
        <f>COUNTIFS(STATUS!$Q:$Q,I$1,STATUS!$D:$D,$A158)</f>
        <v>0</v>
      </c>
      <c r="J158" s="5">
        <f t="shared" si="8"/>
        <v>0</v>
      </c>
    </row>
    <row r="159" spans="1:10" x14ac:dyDescent="0.35">
      <c r="A159" s="4">
        <v>44052</v>
      </c>
      <c r="B159" s="5">
        <f>COUNTIFS(STATUS!$Q:$Q,B$1,STATUS!$D:$D,$A159)</f>
        <v>0</v>
      </c>
      <c r="C159" s="5">
        <f>COUNTIFS(STATUS!$Q:$Q,C$1,STATUS!$D:$D,$A159)</f>
        <v>0</v>
      </c>
      <c r="D159" s="5">
        <f>COUNTIFS(STATUS!$Q:$Q,D$1,STATUS!$D:$D,$A159)</f>
        <v>0</v>
      </c>
      <c r="E159" s="5">
        <f>COUNTIFS(STATUS!$Q:$Q,E$1,STATUS!$D:$D,$A159)</f>
        <v>0</v>
      </c>
      <c r="F159" s="5">
        <f>COUNTIFS(STATUS!$Q:$Q,F$1,STATUS!$D:$D,$A159)</f>
        <v>0</v>
      </c>
      <c r="G159" s="5">
        <f>COUNTIFS(STATUS!$Q:$Q,G$1,STATUS!$D:$D,$A159)</f>
        <v>0</v>
      </c>
      <c r="H159" s="5">
        <f>COUNTIFS(STATUS!$Q:$Q,H$1,STATUS!$D:$D,$A159)</f>
        <v>0</v>
      </c>
      <c r="I159" s="5">
        <f>COUNTIFS(STATUS!$Q:$Q,I$1,STATUS!$D:$D,$A159)</f>
        <v>0</v>
      </c>
      <c r="J159" s="5">
        <f t="shared" si="8"/>
        <v>0</v>
      </c>
    </row>
    <row r="160" spans="1:10" x14ac:dyDescent="0.35">
      <c r="A160" s="4">
        <v>44053</v>
      </c>
      <c r="B160" s="5">
        <f>COUNTIFS(STATUS!$Q:$Q,B$1,STATUS!$D:$D,$A160)</f>
        <v>0</v>
      </c>
      <c r="C160" s="5">
        <f>COUNTIFS(STATUS!$Q:$Q,C$1,STATUS!$D:$D,$A160)</f>
        <v>0</v>
      </c>
      <c r="D160" s="5">
        <f>COUNTIFS(STATUS!$Q:$Q,D$1,STATUS!$D:$D,$A160)</f>
        <v>0</v>
      </c>
      <c r="E160" s="5">
        <f>COUNTIFS(STATUS!$Q:$Q,E$1,STATUS!$D:$D,$A160)</f>
        <v>0</v>
      </c>
      <c r="F160" s="5">
        <f>COUNTIFS(STATUS!$Q:$Q,F$1,STATUS!$D:$D,$A160)</f>
        <v>0</v>
      </c>
      <c r="G160" s="5">
        <f>COUNTIFS(STATUS!$Q:$Q,G$1,STATUS!$D:$D,$A160)</f>
        <v>0</v>
      </c>
      <c r="H160" s="5">
        <f>COUNTIFS(STATUS!$Q:$Q,H$1,STATUS!$D:$D,$A160)</f>
        <v>0</v>
      </c>
      <c r="I160" s="5">
        <f>COUNTIFS(STATUS!$Q:$Q,I$1,STATUS!$D:$D,$A160)</f>
        <v>0</v>
      </c>
      <c r="J160" s="5">
        <f t="shared" si="8"/>
        <v>0</v>
      </c>
    </row>
    <row r="161" spans="1:10" x14ac:dyDescent="0.35">
      <c r="A161" s="4">
        <v>44054</v>
      </c>
      <c r="B161" s="5">
        <f>COUNTIFS(STATUS!$Q:$Q,B$1,STATUS!$D:$D,$A161)</f>
        <v>0</v>
      </c>
      <c r="C161" s="5">
        <f>COUNTIFS(STATUS!$Q:$Q,C$1,STATUS!$D:$D,$A161)</f>
        <v>0</v>
      </c>
      <c r="D161" s="5">
        <f>COUNTIFS(STATUS!$Q:$Q,D$1,STATUS!$D:$D,$A161)</f>
        <v>0</v>
      </c>
      <c r="E161" s="5">
        <f>COUNTIFS(STATUS!$Q:$Q,E$1,STATUS!$D:$D,$A161)</f>
        <v>0</v>
      </c>
      <c r="F161" s="5">
        <f>COUNTIFS(STATUS!$Q:$Q,F$1,STATUS!$D:$D,$A161)</f>
        <v>0</v>
      </c>
      <c r="G161" s="5">
        <f>COUNTIFS(STATUS!$Q:$Q,G$1,STATUS!$D:$D,$A161)</f>
        <v>0</v>
      </c>
      <c r="H161" s="5">
        <f>COUNTIFS(STATUS!$Q:$Q,H$1,STATUS!$D:$D,$A161)</f>
        <v>0</v>
      </c>
      <c r="I161" s="5">
        <f>COUNTIFS(STATUS!$Q:$Q,I$1,STATUS!$D:$D,$A161)</f>
        <v>0</v>
      </c>
      <c r="J161" s="5">
        <f t="shared" si="8"/>
        <v>0</v>
      </c>
    </row>
    <row r="162" spans="1:10" x14ac:dyDescent="0.35">
      <c r="A162" s="4">
        <v>44055</v>
      </c>
      <c r="B162" s="5">
        <f>COUNTIFS(STATUS!$Q:$Q,B$1,STATUS!$D:$D,$A162)</f>
        <v>0</v>
      </c>
      <c r="C162" s="5">
        <f>COUNTIFS(STATUS!$Q:$Q,C$1,STATUS!$D:$D,$A162)</f>
        <v>0</v>
      </c>
      <c r="D162" s="5">
        <f>COUNTIFS(STATUS!$Q:$Q,D$1,STATUS!$D:$D,$A162)</f>
        <v>0</v>
      </c>
      <c r="E162" s="5">
        <f>COUNTIFS(STATUS!$Q:$Q,E$1,STATUS!$D:$D,$A162)</f>
        <v>0</v>
      </c>
      <c r="F162" s="5">
        <f>COUNTIFS(STATUS!$Q:$Q,F$1,STATUS!$D:$D,$A162)</f>
        <v>0</v>
      </c>
      <c r="G162" s="5">
        <f>COUNTIFS(STATUS!$Q:$Q,G$1,STATUS!$D:$D,$A162)</f>
        <v>0</v>
      </c>
      <c r="H162" s="5">
        <f>COUNTIFS(STATUS!$Q:$Q,H$1,STATUS!$D:$D,$A162)</f>
        <v>0</v>
      </c>
      <c r="I162" s="5">
        <f>COUNTIFS(STATUS!$Q:$Q,I$1,STATUS!$D:$D,$A162)</f>
        <v>0</v>
      </c>
      <c r="J162" s="5">
        <f t="shared" si="8"/>
        <v>0</v>
      </c>
    </row>
    <row r="163" spans="1:10" x14ac:dyDescent="0.35">
      <c r="A163" s="4">
        <v>44056</v>
      </c>
      <c r="B163" s="5">
        <f>COUNTIFS(STATUS!$Q:$Q,B$1,STATUS!$D:$D,$A163)</f>
        <v>0</v>
      </c>
      <c r="C163" s="5">
        <f>COUNTIFS(STATUS!$Q:$Q,C$1,STATUS!$D:$D,$A163)</f>
        <v>0</v>
      </c>
      <c r="D163" s="5">
        <f>COUNTIFS(STATUS!$Q:$Q,D$1,STATUS!$D:$D,$A163)</f>
        <v>0</v>
      </c>
      <c r="E163" s="5">
        <f>COUNTIFS(STATUS!$Q:$Q,E$1,STATUS!$D:$D,$A163)</f>
        <v>0</v>
      </c>
      <c r="F163" s="5">
        <f>COUNTIFS(STATUS!$Q:$Q,F$1,STATUS!$D:$D,$A163)</f>
        <v>0</v>
      </c>
      <c r="G163" s="5">
        <f>COUNTIFS(STATUS!$Q:$Q,G$1,STATUS!$D:$D,$A163)</f>
        <v>0</v>
      </c>
      <c r="H163" s="5">
        <f>COUNTIFS(STATUS!$Q:$Q,H$1,STATUS!$D:$D,$A163)</f>
        <v>0</v>
      </c>
      <c r="I163" s="5">
        <f>COUNTIFS(STATUS!$Q:$Q,I$1,STATUS!$D:$D,$A163)</f>
        <v>0</v>
      </c>
      <c r="J163" s="5">
        <f t="shared" si="8"/>
        <v>0</v>
      </c>
    </row>
    <row r="164" spans="1:10" x14ac:dyDescent="0.35">
      <c r="A164" s="4">
        <v>44057</v>
      </c>
      <c r="B164" s="5">
        <f>COUNTIFS(STATUS!$Q:$Q,B$1,STATUS!$D:$D,$A164)</f>
        <v>0</v>
      </c>
      <c r="C164" s="5">
        <f>COUNTIFS(STATUS!$Q:$Q,C$1,STATUS!$D:$D,$A164)</f>
        <v>0</v>
      </c>
      <c r="D164" s="5">
        <f>COUNTIFS(STATUS!$Q:$Q,D$1,STATUS!$D:$D,$A164)</f>
        <v>0</v>
      </c>
      <c r="E164" s="5">
        <f>COUNTIFS(STATUS!$Q:$Q,E$1,STATUS!$D:$D,$A164)</f>
        <v>0</v>
      </c>
      <c r="F164" s="5">
        <f>COUNTIFS(STATUS!$Q:$Q,F$1,STATUS!$D:$D,$A164)</f>
        <v>0</v>
      </c>
      <c r="G164" s="5">
        <f>COUNTIFS(STATUS!$Q:$Q,G$1,STATUS!$D:$D,$A164)</f>
        <v>0</v>
      </c>
      <c r="H164" s="5">
        <f>COUNTIFS(STATUS!$Q:$Q,H$1,STATUS!$D:$D,$A164)</f>
        <v>0</v>
      </c>
      <c r="I164" s="5">
        <f>COUNTIFS(STATUS!$Q:$Q,I$1,STATUS!$D:$D,$A164)</f>
        <v>0</v>
      </c>
      <c r="J164" s="5">
        <f t="shared" si="8"/>
        <v>0</v>
      </c>
    </row>
    <row r="165" spans="1:10" x14ac:dyDescent="0.35">
      <c r="A165" s="4">
        <v>44058</v>
      </c>
      <c r="B165" s="5">
        <f>COUNTIFS(STATUS!$Q:$Q,B$1,STATUS!$D:$D,$A165)</f>
        <v>0</v>
      </c>
      <c r="C165" s="5">
        <f>COUNTIFS(STATUS!$Q:$Q,C$1,STATUS!$D:$D,$A165)</f>
        <v>0</v>
      </c>
      <c r="D165" s="5">
        <f>COUNTIFS(STATUS!$Q:$Q,D$1,STATUS!$D:$D,$A165)</f>
        <v>0</v>
      </c>
      <c r="E165" s="5">
        <f>COUNTIFS(STATUS!$Q:$Q,E$1,STATUS!$D:$D,$A165)</f>
        <v>0</v>
      </c>
      <c r="F165" s="5">
        <f>COUNTIFS(STATUS!$Q:$Q,F$1,STATUS!$D:$D,$A165)</f>
        <v>0</v>
      </c>
      <c r="G165" s="5">
        <f>COUNTIFS(STATUS!$Q:$Q,G$1,STATUS!$D:$D,$A165)</f>
        <v>0</v>
      </c>
      <c r="H165" s="5">
        <f>COUNTIFS(STATUS!$Q:$Q,H$1,STATUS!$D:$D,$A165)</f>
        <v>0</v>
      </c>
      <c r="I165" s="5">
        <f>COUNTIFS(STATUS!$Q:$Q,I$1,STATUS!$D:$D,$A165)</f>
        <v>0</v>
      </c>
      <c r="J165" s="5">
        <f t="shared" si="8"/>
        <v>0</v>
      </c>
    </row>
    <row r="166" spans="1:10" x14ac:dyDescent="0.35">
      <c r="A166" s="4">
        <v>44059</v>
      </c>
      <c r="B166" s="5">
        <f>COUNTIFS(STATUS!$Q:$Q,B$1,STATUS!$D:$D,$A166)</f>
        <v>0</v>
      </c>
      <c r="C166" s="5">
        <f>COUNTIFS(STATUS!$Q:$Q,C$1,STATUS!$D:$D,$A166)</f>
        <v>0</v>
      </c>
      <c r="D166" s="5">
        <f>COUNTIFS(STATUS!$Q:$Q,D$1,STATUS!$D:$D,$A166)</f>
        <v>0</v>
      </c>
      <c r="E166" s="5">
        <f>COUNTIFS(STATUS!$Q:$Q,E$1,STATUS!$D:$D,$A166)</f>
        <v>0</v>
      </c>
      <c r="F166" s="5">
        <f>COUNTIFS(STATUS!$Q:$Q,F$1,STATUS!$D:$D,$A166)</f>
        <v>0</v>
      </c>
      <c r="G166" s="5">
        <f>COUNTIFS(STATUS!$Q:$Q,G$1,STATUS!$D:$D,$A166)</f>
        <v>0</v>
      </c>
      <c r="H166" s="5">
        <f>COUNTIFS(STATUS!$Q:$Q,H$1,STATUS!$D:$D,$A166)</f>
        <v>0</v>
      </c>
      <c r="I166" s="5">
        <f>COUNTIFS(STATUS!$Q:$Q,I$1,STATUS!$D:$D,$A166)</f>
        <v>0</v>
      </c>
      <c r="J166" s="5">
        <f t="shared" si="8"/>
        <v>0</v>
      </c>
    </row>
    <row r="167" spans="1:10" x14ac:dyDescent="0.35">
      <c r="A167" s="4">
        <v>44060</v>
      </c>
      <c r="B167" s="5">
        <f>COUNTIFS(STATUS!$Q:$Q,B$1,STATUS!$D:$D,$A167)</f>
        <v>0</v>
      </c>
      <c r="C167" s="5">
        <f>COUNTIFS(STATUS!$Q:$Q,C$1,STATUS!$D:$D,$A167)</f>
        <v>0</v>
      </c>
      <c r="D167" s="5">
        <f>COUNTIFS(STATUS!$Q:$Q,D$1,STATUS!$D:$D,$A167)</f>
        <v>0</v>
      </c>
      <c r="E167" s="5">
        <f>COUNTIFS(STATUS!$Q:$Q,E$1,STATUS!$D:$D,$A167)</f>
        <v>0</v>
      </c>
      <c r="F167" s="5">
        <f>COUNTIFS(STATUS!$Q:$Q,F$1,STATUS!$D:$D,$A167)</f>
        <v>0</v>
      </c>
      <c r="G167" s="5">
        <f>COUNTIFS(STATUS!$Q:$Q,G$1,STATUS!$D:$D,$A167)</f>
        <v>0</v>
      </c>
      <c r="H167" s="5">
        <f>COUNTIFS(STATUS!$Q:$Q,H$1,STATUS!$D:$D,$A167)</f>
        <v>0</v>
      </c>
      <c r="I167" s="5">
        <f>COUNTIFS(STATUS!$Q:$Q,I$1,STATUS!$D:$D,$A167)</f>
        <v>0</v>
      </c>
      <c r="J167" s="5">
        <f t="shared" si="8"/>
        <v>0</v>
      </c>
    </row>
    <row r="168" spans="1:10" x14ac:dyDescent="0.35">
      <c r="A168" s="4">
        <v>44061</v>
      </c>
      <c r="B168" s="5">
        <f>COUNTIFS(STATUS!$Q:$Q,B$1,STATUS!$D:$D,$A168)</f>
        <v>0</v>
      </c>
      <c r="C168" s="5">
        <f>COUNTIFS(STATUS!$Q:$Q,C$1,STATUS!$D:$D,$A168)</f>
        <v>0</v>
      </c>
      <c r="D168" s="5">
        <f>COUNTIFS(STATUS!$Q:$Q,D$1,STATUS!$D:$D,$A168)</f>
        <v>0</v>
      </c>
      <c r="E168" s="5">
        <f>COUNTIFS(STATUS!$Q:$Q,E$1,STATUS!$D:$D,$A168)</f>
        <v>0</v>
      </c>
      <c r="F168" s="5">
        <f>COUNTIFS(STATUS!$Q:$Q,F$1,STATUS!$D:$D,$A168)</f>
        <v>0</v>
      </c>
      <c r="G168" s="5">
        <f>COUNTIFS(STATUS!$Q:$Q,G$1,STATUS!$D:$D,$A168)</f>
        <v>0</v>
      </c>
      <c r="H168" s="5">
        <f>COUNTIFS(STATUS!$Q:$Q,H$1,STATUS!$D:$D,$A168)</f>
        <v>0</v>
      </c>
      <c r="I168" s="5">
        <f>COUNTIFS(STATUS!$Q:$Q,I$1,STATUS!$D:$D,$A168)</f>
        <v>0</v>
      </c>
      <c r="J168" s="5">
        <f t="shared" si="8"/>
        <v>0</v>
      </c>
    </row>
    <row r="169" spans="1:10" x14ac:dyDescent="0.35">
      <c r="A169" s="4">
        <v>44062</v>
      </c>
      <c r="B169" s="5">
        <f>COUNTIFS(STATUS!$Q:$Q,B$1,STATUS!$D:$D,$A169)</f>
        <v>0</v>
      </c>
      <c r="C169" s="5">
        <f>COUNTIFS(STATUS!$Q:$Q,C$1,STATUS!$D:$D,$A169)</f>
        <v>0</v>
      </c>
      <c r="D169" s="5">
        <f>COUNTIFS(STATUS!$Q:$Q,D$1,STATUS!$D:$D,$A169)</f>
        <v>0</v>
      </c>
      <c r="E169" s="5">
        <f>COUNTIFS(STATUS!$Q:$Q,E$1,STATUS!$D:$D,$A169)</f>
        <v>0</v>
      </c>
      <c r="F169" s="5">
        <f>COUNTIFS(STATUS!$Q:$Q,F$1,STATUS!$D:$D,$A169)</f>
        <v>0</v>
      </c>
      <c r="G169" s="5">
        <f>COUNTIFS(STATUS!$Q:$Q,G$1,STATUS!$D:$D,$A169)</f>
        <v>0</v>
      </c>
      <c r="H169" s="5">
        <f>COUNTIFS(STATUS!$Q:$Q,H$1,STATUS!$D:$D,$A169)</f>
        <v>0</v>
      </c>
      <c r="I169" s="5">
        <f>COUNTIFS(STATUS!$Q:$Q,I$1,STATUS!$D:$D,$A169)</f>
        <v>0</v>
      </c>
      <c r="J169" s="5">
        <f t="shared" si="8"/>
        <v>0</v>
      </c>
    </row>
    <row r="170" spans="1:10" x14ac:dyDescent="0.35">
      <c r="A170" s="4">
        <v>44063</v>
      </c>
      <c r="B170" s="5">
        <f>COUNTIFS(STATUS!$Q:$Q,B$1,STATUS!$D:$D,$A170)</f>
        <v>0</v>
      </c>
      <c r="C170" s="5">
        <f>COUNTIFS(STATUS!$Q:$Q,C$1,STATUS!$D:$D,$A170)</f>
        <v>0</v>
      </c>
      <c r="D170" s="5">
        <f>COUNTIFS(STATUS!$Q:$Q,D$1,STATUS!$D:$D,$A170)</f>
        <v>0</v>
      </c>
      <c r="E170" s="5">
        <f>COUNTIFS(STATUS!$Q:$Q,E$1,STATUS!$D:$D,$A170)</f>
        <v>0</v>
      </c>
      <c r="F170" s="5">
        <f>COUNTIFS(STATUS!$Q:$Q,F$1,STATUS!$D:$D,$A170)</f>
        <v>0</v>
      </c>
      <c r="G170" s="5">
        <f>COUNTIFS(STATUS!$Q:$Q,G$1,STATUS!$D:$D,$A170)</f>
        <v>0</v>
      </c>
      <c r="H170" s="5">
        <f>COUNTIFS(STATUS!$Q:$Q,H$1,STATUS!$D:$D,$A170)</f>
        <v>0</v>
      </c>
      <c r="I170" s="5">
        <f>COUNTIFS(STATUS!$Q:$Q,I$1,STATUS!$D:$D,$A170)</f>
        <v>0</v>
      </c>
      <c r="J170" s="5">
        <f t="shared" si="8"/>
        <v>0</v>
      </c>
    </row>
    <row r="171" spans="1:10" x14ac:dyDescent="0.35">
      <c r="A171" s="4">
        <v>44064</v>
      </c>
      <c r="B171" s="5">
        <f>COUNTIFS(STATUS!$Q:$Q,B$1,STATUS!$D:$D,$A171)</f>
        <v>0</v>
      </c>
      <c r="C171" s="5">
        <f>COUNTIFS(STATUS!$Q:$Q,C$1,STATUS!$D:$D,$A171)</f>
        <v>0</v>
      </c>
      <c r="D171" s="5">
        <f>COUNTIFS(STATUS!$Q:$Q,D$1,STATUS!$D:$D,$A171)</f>
        <v>0</v>
      </c>
      <c r="E171" s="5">
        <f>COUNTIFS(STATUS!$Q:$Q,E$1,STATUS!$D:$D,$A171)</f>
        <v>0</v>
      </c>
      <c r="F171" s="5">
        <f>COUNTIFS(STATUS!$Q:$Q,F$1,STATUS!$D:$D,$A171)</f>
        <v>0</v>
      </c>
      <c r="G171" s="5">
        <f>COUNTIFS(STATUS!$Q:$Q,G$1,STATUS!$D:$D,$A171)</f>
        <v>0</v>
      </c>
      <c r="H171" s="5">
        <f>COUNTIFS(STATUS!$Q:$Q,H$1,STATUS!$D:$D,$A171)</f>
        <v>0</v>
      </c>
      <c r="I171" s="5">
        <f>COUNTIFS(STATUS!$Q:$Q,I$1,STATUS!$D:$D,$A171)</f>
        <v>0</v>
      </c>
      <c r="J171" s="5">
        <f t="shared" si="8"/>
        <v>0</v>
      </c>
    </row>
  </sheetData>
  <conditionalFormatting sqref="J1:J1048576">
    <cfRule type="colorScale" priority="3">
      <colorScale>
        <cfvo type="min"/>
        <cfvo type="percentile" val="50"/>
        <cfvo type="max"/>
        <color rgb="FF63BE7B"/>
        <color rgb="FFFFEB84"/>
        <color rgb="FFF8696B"/>
      </colorScale>
    </cfRule>
  </conditionalFormatting>
  <conditionalFormatting sqref="A1:A1048576">
    <cfRule type="timePeriod" dxfId="0" priority="1" timePeriod="today">
      <formula>FLOOR(A1,1)=TODAY()</formula>
    </cfRule>
  </conditionalFormatting>
  <conditionalFormatting sqref="B2:I171">
    <cfRule type="colorScale" priority="16128">
      <colorScale>
        <cfvo type="min"/>
        <cfvo type="percentile" val="50"/>
        <cfvo type="max"/>
        <color rgb="FF63BE7B"/>
        <color rgb="FFFFEB84"/>
        <color rgb="FFF8696B"/>
      </colorScale>
    </cfRule>
  </conditionalFormatting>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E12"/>
  <sheetViews>
    <sheetView workbookViewId="0">
      <selection activeCell="D11" sqref="D11"/>
    </sheetView>
  </sheetViews>
  <sheetFormatPr defaultRowHeight="14.5" x14ac:dyDescent="0.35"/>
  <cols>
    <col min="1" max="1" width="32.81640625" customWidth="1"/>
    <col min="2" max="2" width="15.1796875" customWidth="1"/>
    <col min="3" max="3" width="18.26953125" customWidth="1"/>
    <col min="4" max="4" width="20.26953125" customWidth="1"/>
  </cols>
  <sheetData>
    <row r="1" spans="1:5" ht="21.75" customHeight="1" thickTop="1" thickBot="1" x14ac:dyDescent="0.4">
      <c r="A1" s="457"/>
      <c r="B1" s="431" t="s">
        <v>932</v>
      </c>
      <c r="C1" s="432" t="s">
        <v>933</v>
      </c>
      <c r="D1" s="432" t="s">
        <v>934</v>
      </c>
    </row>
    <row r="2" spans="1:5" ht="15.5" thickTop="1" thickBot="1" x14ac:dyDescent="0.4">
      <c r="A2" s="433" t="s">
        <v>2056</v>
      </c>
      <c r="B2" s="406">
        <f>COUNTIFS(STATUS!$T:$T,B$1,STATUS!$Q:$Q,$A2)</f>
        <v>64</v>
      </c>
      <c r="C2" s="404">
        <f>COUNTIFS(STATUS!$T:$T,C$1,STATUS!$Q:$Q,$A2)</f>
        <v>75</v>
      </c>
      <c r="D2" s="405">
        <f>COUNTIFS(STATUS!$T:$T,D$1,STATUS!$Q:$Q,$A2)</f>
        <v>78</v>
      </c>
    </row>
    <row r="3" spans="1:5" ht="15.5" thickTop="1" thickBot="1" x14ac:dyDescent="0.4">
      <c r="A3" s="433" t="s">
        <v>2097</v>
      </c>
      <c r="B3" s="407">
        <f>COUNTIFS(STATUS!$T:$T,B$1,STATUS!$Q:$Q,$A3)</f>
        <v>72</v>
      </c>
      <c r="C3" s="309">
        <f>COUNTIFS(STATUS!$T:$T,C$1,STATUS!$Q:$Q,$A3)</f>
        <v>65</v>
      </c>
      <c r="D3" s="402">
        <f>COUNTIFS(STATUS!$T:$T,D$1,STATUS!$Q:$Q,$A3)</f>
        <v>64</v>
      </c>
    </row>
    <row r="4" spans="1:5" ht="15.5" thickTop="1" thickBot="1" x14ac:dyDescent="0.4">
      <c r="A4" s="433" t="s">
        <v>2163</v>
      </c>
      <c r="B4" s="407">
        <f>COUNTIFS(STATUS!$T:$T,B$1,STATUS!$Q:$Q,$A4)</f>
        <v>81</v>
      </c>
      <c r="C4" s="309">
        <f>COUNTIFS(STATUS!$T:$T,C$1,STATUS!$Q:$Q,$A4)</f>
        <v>89</v>
      </c>
      <c r="D4" s="402">
        <f>COUNTIFS(STATUS!$T:$T,D$1,STATUS!$Q:$Q,$A4)</f>
        <v>63</v>
      </c>
    </row>
    <row r="5" spans="1:5" ht="15.5" thickTop="1" thickBot="1" x14ac:dyDescent="0.4">
      <c r="A5" s="433" t="s">
        <v>2130</v>
      </c>
      <c r="B5" s="408">
        <f>COUNTIFS(STATUS!$T:$T,B$1,STATUS!$Q:$Q,$A5)</f>
        <v>60</v>
      </c>
      <c r="C5" s="409">
        <f>COUNTIFS(STATUS!$T:$T,C$1,STATUS!$Q:$Q,$A5)</f>
        <v>90</v>
      </c>
      <c r="D5" s="410">
        <f>COUNTIFS(STATUS!$T:$T,D$1,STATUS!$Q:$Q,$A5)</f>
        <v>48</v>
      </c>
    </row>
    <row r="6" spans="1:5" ht="15.5" thickTop="1" thickBot="1" x14ac:dyDescent="0.4">
      <c r="A6" s="456" t="s">
        <v>2447</v>
      </c>
      <c r="B6" s="408">
        <f>COUNTIFS(STATUS!$T:$T,B$1,STATUS!$Q:$Q,$A6)</f>
        <v>60</v>
      </c>
      <c r="C6" s="409">
        <f>COUNTIFS(STATUS!$T:$T,C$1,STATUS!$Q:$Q,$A6)</f>
        <v>63</v>
      </c>
      <c r="D6" s="410">
        <f>COUNTIFS(STATUS!$T:$T,D$1,STATUS!$Q:$Q,$A6)</f>
        <v>67</v>
      </c>
    </row>
    <row r="7" spans="1:5" ht="15" thickTop="1" x14ac:dyDescent="0.35">
      <c r="A7" s="875" t="s">
        <v>47</v>
      </c>
      <c r="B7" s="411">
        <f>SUM(B2:B6)</f>
        <v>337</v>
      </c>
      <c r="C7" s="412">
        <f>SUM(C2:C6)</f>
        <v>382</v>
      </c>
      <c r="D7" s="413">
        <f>SUM(D2:D6)</f>
        <v>320</v>
      </c>
      <c r="E7" s="438">
        <f>SUM(B7:D7)</f>
        <v>1039</v>
      </c>
    </row>
    <row r="8" spans="1:5" ht="16" thickBot="1" x14ac:dyDescent="0.4">
      <c r="A8" s="876"/>
      <c r="B8" s="441">
        <f>B7/$E7</f>
        <v>0.32435033686236764</v>
      </c>
      <c r="C8" s="442">
        <f t="shared" ref="C8:E8" si="0">C7/$E7</f>
        <v>0.36766121270452357</v>
      </c>
      <c r="D8" s="443">
        <f t="shared" si="0"/>
        <v>0.30798845043310874</v>
      </c>
      <c r="E8" s="439">
        <f t="shared" si="0"/>
        <v>1</v>
      </c>
    </row>
    <row r="9" spans="1:5" ht="15" thickTop="1" x14ac:dyDescent="0.35"/>
    <row r="12" spans="1:5" x14ac:dyDescent="0.35">
      <c r="B12" s="4"/>
    </row>
  </sheetData>
  <mergeCells count="1">
    <mergeCell ref="A7:A8"/>
  </mergeCells>
  <conditionalFormatting sqref="B8:D8">
    <cfRule type="colorScale" priority="2">
      <colorScale>
        <cfvo type="min"/>
        <cfvo type="percentile" val="50"/>
        <cfvo type="max"/>
        <color rgb="FF92D050"/>
        <color theme="7"/>
        <color rgb="FFFF0000"/>
      </colorScale>
    </cfRule>
  </conditionalFormatting>
  <conditionalFormatting sqref="B2:D6">
    <cfRule type="colorScale" priority="1">
      <colorScale>
        <cfvo type="min"/>
        <cfvo type="percentile" val="50"/>
        <cfvo type="max"/>
        <color rgb="FF92D050"/>
        <color theme="7"/>
        <color rgb="FFFF0000"/>
      </colorScale>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16</vt:i4>
      </vt:variant>
    </vt:vector>
  </HeadingPairs>
  <TitlesOfParts>
    <vt:vector size="16" baseType="lpstr">
      <vt:lpstr>TOTAL</vt:lpstr>
      <vt:lpstr>DRAFT</vt:lpstr>
      <vt:lpstr>MOTIV</vt:lpstr>
      <vt:lpstr>ФО</vt:lpstr>
      <vt:lpstr>WORKSHEET</vt:lpstr>
      <vt:lpstr>DATES</vt:lpstr>
      <vt:lpstr>STATUS</vt:lpstr>
      <vt:lpstr>FILLING</vt:lpstr>
      <vt:lpstr>STATISTICS</vt:lpstr>
      <vt:lpstr>МАТРИЦА</vt:lpstr>
      <vt:lpstr>СОГЛАСОВАНИЕ</vt:lpstr>
      <vt:lpstr>ДЕЛА</vt:lpstr>
      <vt:lpstr>ВОЗВРАТЫ</vt:lpstr>
      <vt:lpstr>СТАТИСТИКА_PAST</vt:lpstr>
      <vt:lpstr>СТАТИСТИКА_FUTURE</vt:lpstr>
      <vt:lpstr>ФУ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2019-10-19T06:10:01Z</dcterms:created>
  <dcterms:modified xsi:type="dcterms:W3CDTF">2020-06-23T21:09:17Z</dcterms:modified>
</cp:coreProperties>
</file>