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653BB445-64D6-4837-8C85-6E57B1BD3E1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4" l="1" a="1"/>
  <c r="B30" i="4" s="1"/>
  <c r="B11" i="9" s="1"/>
  <c r="B31" i="4" a="1"/>
  <c r="B31" i="4" s="1"/>
  <c r="B29" i="4" a="1"/>
  <c r="B29" i="4" s="1"/>
  <c r="B13" i="9"/>
  <c r="A36" i="4" l="1"/>
  <c r="B38" i="4" l="1"/>
  <c r="A59" i="4" l="1"/>
  <c r="B73" i="4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D7" i="9"/>
  <c r="B7" i="9" s="1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<sst xmlns="http://schemas.openxmlformats.org/spreadsheetml/2006/main" count="176" uniqueCount="121">
  <si>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</si>
  <si>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</si>
  <si>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</si>
  <si>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</si>
  <si>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</si>
  <si>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</si>
  <si>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</si>
  <si>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</si>
  <si>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</si>
  <si>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</si>
  <si>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</si>
  <si>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</si>
  <si>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</si>
  <si>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</si>
  <si>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</si>
  <si>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</si>
  <si>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</si>
  <si>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</si>
  <si>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</si>
  <si>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</si>
  <si>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</si>
  <si>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</si>
  <si>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</si>
  <si>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</si>
  <si>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</si>
  <si>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</si>
  <si>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</si>
  <si>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</si>
  <si>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</si>
  <si>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</si>
  <si>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</si>
  <si>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</si>
  <si>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</si>
  <si>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</si>
  <si>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</si>
  <si>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</si>
  <si>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</si>
  <si>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</si>
  <si>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</si>
  <si>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</si>
  <si>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</si>
  <si>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</si>
  <si>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</si>
  <si>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</si>
  <si>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</si>
  <si>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</si>
  <si>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</si>
  <si>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</si>
  <si>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</si>
  <si>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</si>
  <si>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</si>
  <si>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</si>
  <si>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</si>
  <si>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</si>
  <si>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</si>
  <si>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</si>
  <si>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</si>
  <si>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</si>
  <si>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</si>
  <si>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</si>
  <si>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</si>
  <si>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</si>
  <si>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</si>
  <si>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</si>
  <si>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</si>
  <si>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</si>
  <si>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</si>
  <si>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</si>
  <si>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</si>
  <si>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</si>
  <si>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</si>
  <si>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</si>
  <si>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</si>
  <si>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</si>
  <si>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</si>
  <si>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</si>
  <si>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</si>
  <si>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</si>
  <si>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</si>
  <si>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</si>
  <si>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</si>
  <si>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</si>
  <si>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</si>
  <si>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</si>
  <si>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</si>
  <si>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</si>
  <si>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</si>
  <si>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</si>
  <si>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</si>
  <si>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</si>
  <si>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</si>
  <si>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</si>
  <si>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</si>
  <si>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</si>
  <si>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</si>
  <si>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</si>
  <si>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</si>
  <si>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</si>
  <si>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</si>
  <si>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</si>
  <si>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</si>
  <si>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</si>
  <si>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</si>
  <si>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</si>
  <si>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</si>
  <si>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</si>
  <si>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</si>
  <si>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</si>
  <si>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</si>
  <si>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</si>
  <si>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</si>
  <si>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</si>
  <si>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</si>
  <si>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Revenue drop for the claim period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</si>
  <si>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</si>
  <si>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</si>
  <si>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</si>
  <si>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</si>
  <si>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</si>
  <si>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Three-month average top-up revenue drop</t>
  </si>
  <si>
    <t>Subsidy rate used for active employees in the calculation of the total basic CEWS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</si>
</sst>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3" applyNumberFormat="1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center" vertical="center" wrapText="1"/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58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50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46</v>
      </c>
      <c r="B6" s="10"/>
      <c r="O6" s="12"/>
      <c r="P6" s="12"/>
    </row>
    <row r="8" spans="1:16" x14ac:dyDescent="0.5">
      <c r="A8" s="48" t="s">
        <v>78</v>
      </c>
      <c r="B8" s="69" t="s">
        <v>51</v>
      </c>
      <c r="D8" s="49"/>
      <c r="O8" s="7"/>
      <c r="P8" s="7"/>
    </row>
    <row r="10" spans="1:16" x14ac:dyDescent="0.5">
      <c r="A10" s="6" t="s">
        <v>52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112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41</v>
      </c>
      <c r="B14" s="69" t="s">
        <v>51</v>
      </c>
      <c r="D14" s="50"/>
      <c r="O14" s="41"/>
      <c r="P14" s="41"/>
    </row>
    <row r="16" spans="1:16" x14ac:dyDescent="0.5">
      <c r="A16" s="6" t="s">
        <v>110</v>
      </c>
      <c r="O16" s="41"/>
      <c r="P16" s="41"/>
    </row>
    <row r="17" spans="1:16" x14ac:dyDescent="0.5">
      <c r="A17" s="6" t="s">
        <v>81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111</v>
      </c>
      <c r="B19" s="10"/>
      <c r="O19" s="12"/>
      <c r="P19" s="12"/>
    </row>
    <row r="21" spans="1:16" x14ac:dyDescent="0.5">
      <c r="A21" s="6" t="s">
        <v>55</v>
      </c>
    </row>
    <row r="22" spans="1:16" x14ac:dyDescent="0.5">
      <c r="B22" s="79"/>
    </row>
    <row r="23" spans="1:16" ht="21" x14ac:dyDescent="0.65">
      <c r="A23" s="70" t="s">
        <v>97</v>
      </c>
    </row>
    <row r="24" spans="1:16" x14ac:dyDescent="0.5">
      <c r="A24" s="88" t="s">
        <v>38</v>
      </c>
      <c r="B24" s="88" t="s">
        <v>101</v>
      </c>
      <c r="C24" s="88" t="s">
        <v>43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January 2020</v>
      </c>
      <c r="B25" s="94"/>
      <c r="C25" s="6" t="s">
        <v>59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February 2020</v>
      </c>
      <c r="B26" s="93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June 2020</v>
      </c>
      <c r="B27" s="93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July 2020</v>
      </c>
      <c r="B28" s="93"/>
      <c r="D28" s="79"/>
    </row>
    <row r="29" spans="1:16" ht="16.149999999999999" thickBot="1" x14ac:dyDescent="0.55000000000000004">
      <c r="A29" s="53" t="s">
        <v>114</v>
      </c>
      <c r="B29" s="96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6" t="s">
        <v>113</v>
      </c>
      <c r="D29" s="79"/>
    </row>
    <row r="30" spans="1:16" ht="16.149999999999999" thickBot="1" x14ac:dyDescent="0.55000000000000004">
      <c r="A30" s="53" t="s">
        <v>116</v>
      </c>
      <c r="B30" s="83" t="str" cm="1">
        <f t="array" ref="B30">IF(SUMPRODUCT(--ISNUMBER(B25:B28))=4,IF(A14="Corresponding month of 2019",ROUNDDOWN((B26-B28)/B26,4),ROUNDDOWN((AVERAGE(B25:B26)*(60/(60-B59))-B28)/(AVERAGE(B25:B26)*(60/(60-B59))),4)),"Enter your revenue above")</f>
        <v>Enter your revenue above</v>
      </c>
      <c r="C30" s="6" t="s">
        <v>91</v>
      </c>
    </row>
    <row r="31" spans="1:16" ht="16.149999999999999" thickBot="1" x14ac:dyDescent="0.55000000000000004">
      <c r="A31" s="53" t="s">
        <v>115</v>
      </c>
      <c r="B31" s="83" t="str" cm="1">
        <f t="array" ref="B31">IF(SUMPRODUCT(--ISNUMBER(B25:B28))=4,IF(A14="Corresponding month of 2019",ROUNDDOWN(IF(B26=0,(B25-B27)/B25,IF(B25=0,(B26-B28)/B26,MAX((B26-B28)/B26,(B25-B27)/B25))),4),ROUNDDOWN(IF(AVERAGE(B25:B26)*(60/(60-B59))-B27&gt;AVERAGE(B25:B26)*(60/(60-B59))-B28,(AVERAGE(B25:B26)*(60/(60-B59))-B27)/(AVERAGE(B25:B26)*(60/(60-B59))),(AVERAGE(B25:B26)*(60/(60-B59))-B28)/(AVERAGE(B25:B26)*(60/(60-B59)))),4)),"Enter your revenue above")</f>
        <v>Enter your revenue above</v>
      </c>
      <c r="C31" s="6" t="s">
        <v>92</v>
      </c>
    </row>
    <row r="32" spans="1:16" ht="21.4" thickBot="1" x14ac:dyDescent="0.7">
      <c r="A32" s="91" t="str">
        <f>"Your base CEWS rate for period "&amp;INDEX(claimPeriodNo,MATCH($A$8,claimPeriods,0))&amp;":"</f>
        <v>Your base CEWS rate for period 5:</v>
      </c>
      <c r="B32" s="82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The base CEWS rate in period 5 is your revenue drop x1.2 to a maximum of 60%.</v>
      </c>
    </row>
    <row r="34" spans="1:4" ht="21" x14ac:dyDescent="0.65">
      <c r="A34" s="70" t="s">
        <v>98</v>
      </c>
    </row>
    <row r="35" spans="1:4" x14ac:dyDescent="0.5">
      <c r="A35" s="88" t="s">
        <v>38</v>
      </c>
      <c r="B35" s="88" t="s">
        <v>101</v>
      </c>
      <c r="C35" s="88" t="s">
        <v>43</v>
      </c>
    </row>
    <row r="36" spans="1:4" x14ac:dyDescent="0.5">
      <c r="A36" s="47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93"/>
    </row>
    <row r="37" spans="1:4" x14ac:dyDescent="0.5">
      <c r="A37" s="47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93"/>
      <c r="D37" s="79"/>
    </row>
    <row r="38" spans="1:4" x14ac:dyDescent="0.5">
      <c r="A38" s="47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93" t="str">
        <f>IF(A14="Corresponding month of 2019",B25,"")</f>
        <v/>
      </c>
      <c r="C38" s="6" t="str">
        <f>IF(A14="Corresponding month of 2019","Value taken from the base CEWS rate table","")</f>
        <v/>
      </c>
      <c r="D38" s="79"/>
    </row>
    <row r="39" spans="1:4" x14ac:dyDescent="0.5">
      <c r="A39" s="47" t="str">
        <f>IF(ISERROR(SEARCH(":",A8)),"(Select a claim period)",IF(MID(A8,SEARCH(":",A8)+2,SEARCH(" ",A8,SEARCH(":",A8)+2)-SEARCH(":",A8)-2)="July","April 2020","May 2020"))</f>
        <v>April 2020</v>
      </c>
      <c r="B39" s="93"/>
      <c r="C39" s="6" t="str">
        <f>IF(A8="Period 5: July 5 to August 1 2020","March is not used. The 3 months to calculate your top up for period 5 are April, May and June","")</f>
        <v>March is not used. The 3 months to calculate your top up for period 5 are April, May and June</v>
      </c>
    </row>
    <row r="40" spans="1:4" x14ac:dyDescent="0.5">
      <c r="A40" s="47" t="str">
        <f>IF(ISERROR(SEARCH(":",A8)),"(Select a claim period)",IF(MID(A8,SEARCH(":",A8)+2,SEARCH(" ",A8,SEARCH(":",A8)+2)-SEARCH(":",A8)-2)="July","May 2020","June 2020"))</f>
        <v>May 2020</v>
      </c>
      <c r="B40" s="93"/>
    </row>
    <row r="41" spans="1:4" ht="16.149999999999999" thickBot="1" x14ac:dyDescent="0.55000000000000004">
      <c r="A41" s="47" t="str">
        <f>IF(ISERROR(SEARCH(":",A8)),"(Select a claim period)",IF(MID(A8,SEARCH(":",A8)+2,SEARCH(" ",A8,SEARCH(":",A8)+2)-SEARCH(":",A8)-2)="July","June 2020","July 2020"))</f>
        <v>June 2020</v>
      </c>
      <c r="B41" s="95">
        <f>B27</f>
        <v>0</v>
      </c>
      <c r="C41" s="6" t="s">
        <v>103</v>
      </c>
    </row>
    <row r="42" spans="1:4" ht="16.149999999999999" thickBot="1" x14ac:dyDescent="0.55000000000000004">
      <c r="A42" s="53" t="s">
        <v>87</v>
      </c>
      <c r="B42" s="96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6" t="s">
        <v>88</v>
      </c>
    </row>
    <row r="43" spans="1:4" ht="16.149999999999999" thickBot="1" x14ac:dyDescent="0.55000000000000004">
      <c r="A43" s="53" t="s">
        <v>89</v>
      </c>
      <c r="B43" s="83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6" t="s">
        <v>90</v>
      </c>
    </row>
    <row r="44" spans="1:4" ht="21.4" thickBot="1" x14ac:dyDescent="0.7">
      <c r="A44" s="77" t="str">
        <f>"Your top up rate for period "&amp;INDEX(claimPeriodNo,MATCH($A$8,claimPeriods,0))&amp;":"</f>
        <v>Your top up rate for period 5:</v>
      </c>
      <c r="B44" s="82" t="str">
        <f>IF(ISERROR(1.25*B74),"Enter your revenue above",IF(1.25*(B74-0.5)&gt;0.25,0.25,IF(1.25*(B74-0.5)&lt;0,0,1.25*(B74-0.5))))</f>
        <v>Enter your revenue above</v>
      </c>
      <c r="C44" s="6" t="s">
        <v>95</v>
      </c>
    </row>
    <row r="45" spans="1:4" x14ac:dyDescent="0.5">
      <c r="A45" s="71"/>
      <c r="B45" s="72"/>
    </row>
    <row r="46" spans="1:4" ht="21.4" thickBot="1" x14ac:dyDescent="0.7">
      <c r="A46" s="70" t="s">
        <v>99</v>
      </c>
      <c r="B46" s="72"/>
    </row>
    <row r="47" spans="1:4" ht="21.4" thickBot="1" x14ac:dyDescent="0.7">
      <c r="A47" s="78" t="s">
        <v>54</v>
      </c>
      <c r="B47" s="81" t="str">
        <f>IF(ISERROR(B32+B44)," -   ",IF(AND(ROUND(B32+B44,4)&lt;0.75,revenueReduction&gt;=0.3),0.75,ROUND(B32+B44,4)))</f>
        <v xml:space="preserve"> -   </v>
      </c>
      <c r="C47" s="6" t="s">
        <v>96</v>
      </c>
    </row>
    <row r="48" spans="1:4" x14ac:dyDescent="0.5">
      <c r="B48" s="46"/>
    </row>
    <row r="49" spans="1:16" s="11" customFormat="1" ht="21.75" customHeight="1" x14ac:dyDescent="0.5">
      <c r="A49" s="15" t="s">
        <v>102</v>
      </c>
      <c r="B49" s="10"/>
      <c r="P49" s="16"/>
    </row>
    <row r="51" spans="1:16" ht="24.85" customHeight="1" x14ac:dyDescent="0.5">
      <c r="A51" s="14" t="s">
        <v>45</v>
      </c>
      <c r="B51" s="13"/>
      <c r="C51" s="13"/>
      <c r="D51" s="13"/>
      <c r="E51" s="13"/>
      <c r="F51" s="13"/>
      <c r="G51" s="13"/>
      <c r="H51" s="13"/>
      <c r="I51" s="13"/>
      <c r="J51" s="13"/>
      <c r="K51" s="40"/>
      <c r="M51" s="13"/>
      <c r="O51" s="17"/>
    </row>
    <row r="52" spans="1:16" ht="24.85" customHeight="1" x14ac:dyDescent="0.5">
      <c r="A52" s="14" t="s">
        <v>70</v>
      </c>
      <c r="B52" s="13"/>
      <c r="C52" s="13"/>
      <c r="D52" s="13"/>
      <c r="E52" s="13"/>
      <c r="F52" s="13"/>
      <c r="G52" s="13"/>
      <c r="H52" s="86"/>
      <c r="I52" s="86"/>
      <c r="J52" s="86"/>
      <c r="K52" s="40"/>
      <c r="M52" s="13"/>
      <c r="O52" s="17"/>
    </row>
    <row r="53" spans="1:16" ht="24.85" customHeight="1" x14ac:dyDescent="0.5">
      <c r="A53" s="14" t="s">
        <v>71</v>
      </c>
      <c r="B53" s="13"/>
      <c r="C53" s="13"/>
      <c r="D53" s="13"/>
      <c r="E53" s="13"/>
      <c r="F53" s="13"/>
      <c r="G53" s="13"/>
      <c r="H53" s="86"/>
      <c r="I53" s="86"/>
      <c r="J53" s="86"/>
      <c r="K53" s="40"/>
      <c r="M53" s="13"/>
      <c r="O53" s="17"/>
    </row>
    <row r="54" spans="1:16" ht="24.85" customHeight="1" x14ac:dyDescent="0.5">
      <c r="A54" s="14" t="s">
        <v>39</v>
      </c>
      <c r="B54" s="13"/>
      <c r="C54" s="13"/>
      <c r="D54" s="13"/>
      <c r="E54" s="13"/>
      <c r="F54" s="13"/>
      <c r="G54" s="13"/>
      <c r="H54" s="86"/>
      <c r="I54" s="86"/>
      <c r="J54" s="86"/>
      <c r="K54" s="40"/>
      <c r="M54" s="13"/>
      <c r="O54" s="17"/>
    </row>
    <row r="55" spans="1:16" s="11" customFormat="1" ht="21.75" customHeight="1" x14ac:dyDescent="0.5">
      <c r="A55" s="15" t="s">
        <v>107</v>
      </c>
      <c r="B55" s="10"/>
      <c r="P55" s="16"/>
    </row>
    <row r="56" spans="1:16" ht="12.4" customHeight="1" x14ac:dyDescent="0.5"/>
    <row r="57" spans="1:16" ht="21.4" customHeight="1" x14ac:dyDescent="0.5">
      <c r="A57" s="8" t="s">
        <v>106</v>
      </c>
      <c r="B57" s="86"/>
      <c r="C57" s="13"/>
      <c r="D57" s="13"/>
      <c r="E57" s="13"/>
      <c r="F57" s="13"/>
      <c r="G57" s="13"/>
      <c r="H57" s="13"/>
      <c r="I57" s="13"/>
      <c r="J57" s="13"/>
      <c r="K57" s="86"/>
      <c r="M57" s="13"/>
      <c r="O57" s="17"/>
    </row>
    <row r="58" spans="1:16" ht="27" customHeight="1" x14ac:dyDescent="0.5">
      <c r="A58" s="8" t="s">
        <v>108</v>
      </c>
    </row>
    <row r="59" spans="1:16" x14ac:dyDescent="0.5">
      <c r="A59" s="89" t="str">
        <f>IF(A14="January to February 2020","Days employer was not carrying on business during Jan-Feb 2020 (optional)","Leave blank - only for the Jan-Feb revenue comparison (see ii)")</f>
        <v>Days employer was not carrying on business during Jan-Feb 2020 (optional)</v>
      </c>
      <c r="B59" s="90"/>
    </row>
    <row r="60" spans="1:16" ht="34.9" customHeight="1" x14ac:dyDescent="0.5">
      <c r="A60" s="6" t="s">
        <v>109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M60" s="13"/>
      <c r="O60" s="17"/>
    </row>
    <row r="61" spans="1:16" s="11" customFormat="1" ht="21.75" customHeight="1" x14ac:dyDescent="0.5">
      <c r="A61" s="15" t="s">
        <v>72</v>
      </c>
      <c r="B61" s="10"/>
      <c r="P61" s="16"/>
    </row>
    <row r="63" spans="1:16" x14ac:dyDescent="0.5">
      <c r="A63" s="6" t="s">
        <v>73</v>
      </c>
    </row>
    <row r="64" spans="1:16" x14ac:dyDescent="0.5">
      <c r="A64" s="84" t="s">
        <v>74</v>
      </c>
    </row>
    <row r="67" spans="1:2" x14ac:dyDescent="0.5">
      <c r="A67" s="6" t="s">
        <v>104</v>
      </c>
    </row>
    <row r="72" spans="1:2" ht="16.149999999999999" thickBot="1" x14ac:dyDescent="0.55000000000000004">
      <c r="A72" s="6" t="s">
        <v>105</v>
      </c>
    </row>
    <row r="73" spans="1:2" ht="16.149999999999999" thickBot="1" x14ac:dyDescent="0.55000000000000004">
      <c r="A73" s="53" t="s">
        <v>86</v>
      </c>
      <c r="B73" s="92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ht="16.149999999999999" thickBot="1" x14ac:dyDescent="0.55000000000000004">
      <c r="A74" s="53" t="s">
        <v>89</v>
      </c>
      <c r="B74" s="97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formatCells="0" formatColumns="0" formatRows="0" insertColumns="0" insertRows="0" insertHyperlinks="0" deleteRows="0" sort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68</v>
      </c>
      <c r="E3" s="67"/>
      <c r="F3" s="67"/>
      <c r="G3" s="67"/>
      <c r="H3" s="66" t="s">
        <v>16</v>
      </c>
      <c r="I3" s="67"/>
      <c r="J3" s="67"/>
      <c r="K3" s="67"/>
      <c r="L3" s="75" t="s">
        <v>67</v>
      </c>
      <c r="M3" s="75"/>
      <c r="N3" s="75"/>
      <c r="O3" s="75"/>
      <c r="P3" s="33"/>
    </row>
    <row r="4" spans="1:17" s="24" customFormat="1" ht="108" x14ac:dyDescent="0.55000000000000004">
      <c r="A4" s="39" t="s">
        <v>69</v>
      </c>
      <c r="B4" s="35" t="s">
        <v>100</v>
      </c>
      <c r="C4" s="35" t="s">
        <v>64</v>
      </c>
      <c r="D4" s="35" t="str">
        <f>"Paid leave (week 1) - "&amp;INDEX('Claim periods'!$C$6:$C$8,MATCH('Step 1) Rates'!$A$8,'Claim periods'!$B$6:$B$8,0))</f>
        <v>Paid leave (week 1) - July 5 to July 11</v>
      </c>
      <c r="E4" s="35" t="str">
        <f>"Paid leave (week 2) - "&amp;INDEX('Claim periods'!$C$9:$C$11,MATCH('Step 1) Rates'!$A$8,'Claim periods'!$B$9:$B$11,0))</f>
        <v>Paid leave (week 2) - July 12 to July 18</v>
      </c>
      <c r="F4" s="35" t="str">
        <f>"Paid leave (week 3) - "&amp;INDEX('Claim periods'!$C$12:$C$14,MATCH('Step 1) Rates'!$A$8,'Claim periods'!$B$12:$B$14,0))</f>
        <v>Paid leave (week 3) - July 19 to July 25</v>
      </c>
      <c r="G4" s="35" t="str">
        <f>"Paid leave (week 4) - "&amp;INDEX('Claim periods'!$C$15:$C$17,MATCH('Step 1) Rates'!$A$8,'Claim periods'!$B$15:$B$17,0))</f>
        <v>Paid leave (week 4) - July 26 to August 1</v>
      </c>
      <c r="H4" s="35" t="str">
        <f>"Week 1 - "&amp;INDEX('Claim periods'!$C$6:$C$8,MATCH('Step 1) Rates'!$A$8,'Claim periods'!$B$6:$B$8,0))</f>
        <v>Week 1 - July 5 to July 11</v>
      </c>
      <c r="I4" s="35" t="str">
        <f>"Week 2 - "&amp;INDEX('Claim periods'!$C$9:$C$11,MATCH('Step 1) Rates'!$A$8,'Claim periods'!$B$9:$B$11,0))</f>
        <v>Week 2 - July 12 to July 18</v>
      </c>
      <c r="J4" s="35" t="str">
        <f>"Week 3 - "&amp;INDEX('Claim periods'!$C$12:$C$14,MATCH('Step 1) Rates'!$A$8,'Claim periods'!$B$12:$B$14,0))</f>
        <v>Week 3 - July 19 to July 25</v>
      </c>
      <c r="K4" s="35" t="str">
        <f>"Week 4 - "&amp;INDEX('Claim periods'!$C$15:$C$17,MATCH('Step 1) Rates'!$A$8,'Claim periods'!$B$15:$B$17,0))</f>
        <v>Week 4 - July 26 to August 1</v>
      </c>
      <c r="L4" s="35" t="str">
        <f>"Week 1 - "&amp;INDEX('Claim periods'!$C$6:$C$8,MATCH('Step 1) Rates'!$A$8,'Claim periods'!$B$6:$B$8,0))</f>
        <v>Week 1 - July 5 to July 11</v>
      </c>
      <c r="M4" s="35" t="str">
        <f>"Week 2 - "&amp;INDEX('Claim periods'!$C$9:$C$11,MATCH('Step 1) Rates'!$A$8,'Claim periods'!$B$9:$B$11,0))</f>
        <v>Week 2 - July 12 to July 18</v>
      </c>
      <c r="N4" s="35" t="str">
        <f>"Week 3 - "&amp;INDEX('Claim periods'!$C$12:$C$14,MATCH('Step 1) Rates'!$A$8,'Claim periods'!$B$12:$B$14,0))</f>
        <v>Week 3 - July 19 to July 25</v>
      </c>
      <c r="O4" s="35" t="str">
        <f>"Week 4 - "&amp;INDEX('Claim periods'!$C$15:$C$17,MATCH('Step 1) Rates'!$A$8,'Claim periods'!$B$15:$B$17,0))</f>
        <v>Week 4 - July 26 to August 1</v>
      </c>
      <c r="P4" s="35" t="s">
        <v>56</v>
      </c>
    </row>
    <row r="5" spans="1:17" s="25" customFormat="1" ht="204.4" customHeight="1" x14ac:dyDescent="0.45">
      <c r="A5" s="36" t="s">
        <v>20</v>
      </c>
      <c r="B5" s="37" t="s">
        <v>18</v>
      </c>
      <c r="C5" s="38" t="s">
        <v>84</v>
      </c>
      <c r="D5" s="37" t="s">
        <v>82</v>
      </c>
      <c r="E5" s="4"/>
      <c r="F5" s="4"/>
      <c r="G5" s="4"/>
      <c r="H5" s="4" t="s">
        <v>65</v>
      </c>
      <c r="I5" s="4"/>
      <c r="J5" s="4"/>
      <c r="K5" s="4"/>
      <c r="L5" s="4" t="s">
        <v>66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 activeCell="B6" sqref="B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94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67</v>
      </c>
      <c r="H3" s="76"/>
      <c r="I3" s="39"/>
    </row>
    <row r="4" spans="1:12" s="24" customFormat="1" ht="90" x14ac:dyDescent="0.55000000000000004">
      <c r="A4" s="34" t="s">
        <v>69</v>
      </c>
      <c r="B4" s="35" t="s">
        <v>100</v>
      </c>
      <c r="C4" s="35" t="s">
        <v>63</v>
      </c>
      <c r="D4" s="35" t="s">
        <v>85</v>
      </c>
      <c r="E4" s="80" t="str">
        <f>"2-week period 1 - "&amp;INDEX('Claim periods'!$C$20:$C$23,MATCH('Step 1) Rates'!$A$8,'Claim periods'!$B$20:$B$23,0))</f>
        <v>2-week period 1 - July 5 to July 18</v>
      </c>
      <c r="F4" s="80" t="str">
        <f>"2-week period 2 - "&amp;INDEX('Claim periods'!$C$23:$C$25,MATCH('Step 1) Rates'!$A$8,'Claim periods'!$B$23:$B$25,0))</f>
        <v>2-week period 2 - July 19 to August 1</v>
      </c>
      <c r="G4" s="80" t="str">
        <f>"2-week period 1 - "&amp;INDEX('Claim periods'!$C$20:$C$23,MATCH('Step 1) Rates'!$A$8,'Claim periods'!$B$20:$B$23,0))</f>
        <v>2-week period 1 - July 5 to July 18</v>
      </c>
      <c r="H4" s="80" t="str">
        <f>"2-week period 2 - "&amp;INDEX('Claim periods'!$C$23:$C$25,MATCH('Step 1) Rates'!$A$8,'Claim periods'!$B$23:$B$25,0))</f>
        <v>2-week period 2 - July 19 to August 1</v>
      </c>
      <c r="I4" s="35" t="s">
        <v>56</v>
      </c>
    </row>
    <row r="5" spans="1:12" s="25" customFormat="1" ht="175.15" customHeight="1" x14ac:dyDescent="0.45">
      <c r="A5" s="36" t="s">
        <v>20</v>
      </c>
      <c r="B5" s="37" t="s">
        <v>18</v>
      </c>
      <c r="C5" s="37" t="s">
        <v>57</v>
      </c>
      <c r="D5" s="38" t="s">
        <v>62</v>
      </c>
      <c r="E5" s="4" t="s">
        <v>65</v>
      </c>
      <c r="F5" s="4"/>
      <c r="G5" s="4" t="s">
        <v>66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8"/>
      <c r="K6" s="99"/>
      <c r="L6" s="99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98"/>
      <c r="K7" s="99"/>
      <c r="L7" s="99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topLeftCell="A4" zoomScale="88" zoomScaleNormal="100" workbookViewId="0">
      <selection activeCell="D11" sqref="D1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0" ht="30" customHeight="1" x14ac:dyDescent="0.5">
      <c r="A1" s="54" t="s">
        <v>61</v>
      </c>
      <c r="B1" s="55"/>
      <c r="C1" s="55"/>
      <c r="D1" s="55"/>
      <c r="E1" s="19"/>
      <c r="F1" s="19"/>
      <c r="G1" s="19"/>
      <c r="H1" s="19"/>
      <c r="I1" s="19"/>
      <c r="J1" s="19"/>
    </row>
    <row r="2" spans="1:10" s="11" customFormat="1" ht="24.4" customHeight="1" x14ac:dyDescent="0.5">
      <c r="A2" s="15" t="s">
        <v>47</v>
      </c>
      <c r="B2" s="60"/>
      <c r="C2" s="60"/>
      <c r="D2" s="60"/>
      <c r="E2" s="60"/>
      <c r="F2" s="60"/>
      <c r="G2" s="60"/>
      <c r="H2" s="18"/>
      <c r="I2" s="18"/>
      <c r="J2" s="18"/>
    </row>
    <row r="3" spans="1:10" s="11" customFormat="1" ht="22.9" customHeight="1" x14ac:dyDescent="0.5">
      <c r="A3" s="15" t="s">
        <v>44</v>
      </c>
      <c r="B3" s="60"/>
      <c r="C3" s="60"/>
      <c r="D3" s="60"/>
      <c r="E3" s="60"/>
      <c r="F3" s="60"/>
      <c r="G3" s="60"/>
      <c r="H3" s="18"/>
      <c r="I3" s="18"/>
      <c r="J3" s="18"/>
    </row>
    <row r="4" spans="1:10" ht="26.25" customHeight="1" x14ac:dyDescent="0.5">
      <c r="A4" s="14"/>
      <c r="B4" s="101"/>
      <c r="C4" s="101"/>
      <c r="D4" s="101"/>
      <c r="E4" s="101"/>
      <c r="F4" s="40"/>
    </row>
    <row r="5" spans="1:10" ht="23.25" customHeight="1" x14ac:dyDescent="0.5">
      <c r="C5" s="41"/>
      <c r="D5" s="41"/>
      <c r="E5" s="41"/>
      <c r="F5" s="41"/>
      <c r="G5" s="41"/>
      <c r="H5" s="41"/>
      <c r="I5" s="41"/>
    </row>
    <row r="6" spans="1:10" ht="36.75" customHeight="1" x14ac:dyDescent="0.5">
      <c r="A6" s="61" t="s">
        <v>77</v>
      </c>
      <c r="B6" s="43" t="s">
        <v>117</v>
      </c>
      <c r="C6" s="41"/>
      <c r="D6" s="43" t="s">
        <v>118</v>
      </c>
      <c r="E6" s="41"/>
      <c r="F6" s="43" t="str">
        <f>"Total eligible remuneration "&amp;'Step 1) Rates'!A8</f>
        <v>Total eligible remuneration Period 5: July 5 to August 1 2020</v>
      </c>
      <c r="G6" s="41"/>
      <c r="H6" s="41"/>
      <c r="I6" s="41"/>
    </row>
    <row r="7" spans="1:10" ht="59.25" customHeight="1" x14ac:dyDescent="0.5">
      <c r="A7" s="85" t="s">
        <v>15</v>
      </c>
      <c r="B7" s="62">
        <f>COUNTA('Step 2a) Weekly (52)'!C:C)-2+COUNTA('Step 2b) Bi-weekly (26)'!D:D)-2-'Step 3) Amounts to use'!D7</f>
        <v>0</v>
      </c>
      <c r="C7" s="41"/>
      <c r="D7" s="87">
        <f>COUNTIF('Step 2a) Weekly (52)'!D:G,"Yes")/4</f>
        <v>0</v>
      </c>
      <c r="E7" s="41"/>
      <c r="F7" s="63">
        <f>SUM('Step 2a) Weekly (52)'!H:K)+SUM('Step 2b) Bi-weekly (26)'!E:F)</f>
        <v>0</v>
      </c>
      <c r="G7" s="41"/>
      <c r="H7" s="41"/>
      <c r="I7" s="41"/>
    </row>
    <row r="10" spans="1:10" ht="61.15" customHeight="1" x14ac:dyDescent="0.5">
      <c r="B10" s="43" t="s">
        <v>113</v>
      </c>
      <c r="C10" s="45"/>
      <c r="D10" s="43" t="s">
        <v>119</v>
      </c>
      <c r="F10" s="43" t="s">
        <v>120</v>
      </c>
    </row>
    <row r="11" spans="1:10" ht="51.4" customHeight="1" x14ac:dyDescent="0.5">
      <c r="B11" s="104" t="str">
        <f>'Step 1) Rates'!B30</f>
        <v>Enter your revenue above</v>
      </c>
      <c r="C11" s="45"/>
      <c r="D11" s="104" t="str">
        <f>'Step 1) Rates'!B43</f>
        <v>Enter your revenue above</v>
      </c>
      <c r="F11" s="104" t="str">
        <f>overallRate</f>
        <v xml:space="preserve"> -   </v>
      </c>
    </row>
    <row r="13" spans="1:10" ht="40.9" customHeight="1" x14ac:dyDescent="0.5">
      <c r="B13" s="43" t="str">
        <f>"Total basic CEWS "&amp;'Step 1) Rates'!A11</f>
        <v xml:space="preserve">Total basic CEWS </v>
      </c>
      <c r="C13" s="45"/>
      <c r="D13" s="102"/>
      <c r="E13" s="17"/>
      <c r="F13" s="102"/>
    </row>
    <row r="14" spans="1:10" ht="51.4" customHeight="1" x14ac:dyDescent="0.5">
      <c r="B14" s="63">
        <f>SUM('Step 2a) Weekly (52)'!P:P)+SUM('Step 2b) Bi-weekly (26)'!I:I)</f>
        <v>0</v>
      </c>
      <c r="C14" s="45"/>
      <c r="D14" s="103"/>
      <c r="E14" s="17"/>
      <c r="F14" s="103"/>
    </row>
    <row r="16" spans="1:10" ht="25.9" customHeight="1" x14ac:dyDescent="0.5">
      <c r="A16" s="8" t="s">
        <v>11</v>
      </c>
      <c r="B16" s="42"/>
      <c r="C16" s="42"/>
      <c r="D16" s="42"/>
      <c r="E16" s="42"/>
      <c r="F16" s="42"/>
      <c r="G16" s="13"/>
      <c r="H16" s="100"/>
      <c r="I16" s="100"/>
      <c r="J16" s="100"/>
    </row>
    <row r="18" spans="1:7" s="11" customFormat="1" ht="18" x14ac:dyDescent="0.5">
      <c r="A18" s="15" t="s">
        <v>48</v>
      </c>
      <c r="B18" s="60"/>
      <c r="C18" s="60"/>
      <c r="D18" s="60"/>
      <c r="E18" s="60"/>
      <c r="F18" s="60"/>
    </row>
    <row r="19" spans="1:7" x14ac:dyDescent="0.5">
      <c r="F19" s="41"/>
      <c r="G19" s="41"/>
    </row>
    <row r="20" spans="1:7" x14ac:dyDescent="0.5">
      <c r="A20" s="8"/>
      <c r="F20" s="41"/>
      <c r="G20" s="41"/>
    </row>
    <row r="21" spans="1:7" x14ac:dyDescent="0.5">
      <c r="F21" s="41"/>
      <c r="G21" s="41"/>
    </row>
    <row r="22" spans="1:7" x14ac:dyDescent="0.5">
      <c r="F22" s="41"/>
      <c r="G22" s="41"/>
    </row>
    <row r="23" spans="1:7" x14ac:dyDescent="0.5">
      <c r="F23" s="41"/>
      <c r="G23" s="41"/>
    </row>
    <row r="24" spans="1:7" x14ac:dyDescent="0.5">
      <c r="B24" s="41"/>
      <c r="C24" s="41"/>
      <c r="D24" s="41"/>
      <c r="E24" s="41"/>
      <c r="F24" s="41"/>
      <c r="G24" s="41"/>
    </row>
  </sheetData>
  <sheetProtection formatCells="0" formatColumns="0" formatRows="0" insertColumns="0" insertRows="0" insertHyperlinks="0" deleteRows="0" sort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78</v>
      </c>
      <c r="B1">
        <v>0.6</v>
      </c>
      <c r="C1">
        <v>1.2</v>
      </c>
      <c r="D1">
        <v>5</v>
      </c>
    </row>
    <row r="2" spans="1:4" x14ac:dyDescent="0.45">
      <c r="A2" t="s">
        <v>79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80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78</v>
      </c>
      <c r="C6" s="2" t="s">
        <v>23</v>
      </c>
    </row>
    <row r="7" spans="1:4" x14ac:dyDescent="0.45">
      <c r="A7" t="s">
        <v>0</v>
      </c>
      <c r="B7" t="s">
        <v>79</v>
      </c>
      <c r="C7" s="2" t="s">
        <v>24</v>
      </c>
    </row>
    <row r="8" spans="1:4" x14ac:dyDescent="0.45">
      <c r="A8" t="s">
        <v>0</v>
      </c>
      <c r="B8" t="s">
        <v>10</v>
      </c>
      <c r="C8" t="s">
        <v>83</v>
      </c>
    </row>
    <row r="9" spans="1:4" x14ac:dyDescent="0.45">
      <c r="A9" t="s">
        <v>1</v>
      </c>
      <c r="B9" t="s">
        <v>78</v>
      </c>
      <c r="C9" s="2" t="s">
        <v>25</v>
      </c>
    </row>
    <row r="10" spans="1:4" x14ac:dyDescent="0.45">
      <c r="A10" t="s">
        <v>1</v>
      </c>
      <c r="B10" t="s">
        <v>79</v>
      </c>
      <c r="C10" s="2" t="s">
        <v>30</v>
      </c>
    </row>
    <row r="11" spans="1:4" x14ac:dyDescent="0.45">
      <c r="A11" t="s">
        <v>1</v>
      </c>
      <c r="B11" t="s">
        <v>10</v>
      </c>
      <c r="C11" t="s">
        <v>83</v>
      </c>
    </row>
    <row r="12" spans="1:4" x14ac:dyDescent="0.45">
      <c r="A12" t="s">
        <v>2</v>
      </c>
      <c r="B12" t="s">
        <v>78</v>
      </c>
      <c r="C12" s="2" t="s">
        <v>26</v>
      </c>
    </row>
    <row r="13" spans="1:4" x14ac:dyDescent="0.45">
      <c r="A13" t="s">
        <v>2</v>
      </c>
      <c r="B13" t="s">
        <v>79</v>
      </c>
      <c r="C13" s="2" t="s">
        <v>31</v>
      </c>
    </row>
    <row r="14" spans="1:4" x14ac:dyDescent="0.45">
      <c r="A14" t="s">
        <v>2</v>
      </c>
      <c r="B14" t="s">
        <v>10</v>
      </c>
      <c r="C14" t="s">
        <v>83</v>
      </c>
    </row>
    <row r="15" spans="1:4" x14ac:dyDescent="0.45">
      <c r="A15" t="s">
        <v>3</v>
      </c>
      <c r="B15" t="s">
        <v>78</v>
      </c>
      <c r="C15" t="s">
        <v>27</v>
      </c>
    </row>
    <row r="16" spans="1:4" x14ac:dyDescent="0.45">
      <c r="A16" t="s">
        <v>3</v>
      </c>
      <c r="B16" t="s">
        <v>79</v>
      </c>
      <c r="C16" t="s">
        <v>32</v>
      </c>
    </row>
    <row r="17" spans="1:3" x14ac:dyDescent="0.45">
      <c r="A17" t="s">
        <v>3</v>
      </c>
      <c r="B17" t="s">
        <v>10</v>
      </c>
      <c r="C17" t="s">
        <v>83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78</v>
      </c>
      <c r="C20" t="s">
        <v>28</v>
      </c>
    </row>
    <row r="21" spans="1:3" x14ac:dyDescent="0.45">
      <c r="A21" t="s">
        <v>13</v>
      </c>
      <c r="B21" t="s">
        <v>79</v>
      </c>
      <c r="C21" t="s">
        <v>33</v>
      </c>
    </row>
    <row r="22" spans="1:3" x14ac:dyDescent="0.45">
      <c r="A22" t="s">
        <v>13</v>
      </c>
      <c r="B22" t="s">
        <v>10</v>
      </c>
      <c r="C22" t="s">
        <v>83</v>
      </c>
    </row>
    <row r="23" spans="1:3" x14ac:dyDescent="0.45">
      <c r="A23" t="s">
        <v>14</v>
      </c>
      <c r="B23" t="s">
        <v>78</v>
      </c>
      <c r="C23" t="s">
        <v>29</v>
      </c>
    </row>
    <row r="24" spans="1:3" x14ac:dyDescent="0.45">
      <c r="A24" t="s">
        <v>14</v>
      </c>
      <c r="B24" t="s">
        <v>79</v>
      </c>
      <c r="C24" t="s">
        <v>34</v>
      </c>
    </row>
    <row r="25" spans="1:3" x14ac:dyDescent="0.45">
      <c r="A25" t="s">
        <v>14</v>
      </c>
      <c r="B25" t="s">
        <v>10</v>
      </c>
      <c r="C25" t="s">
        <v>83</v>
      </c>
    </row>
    <row r="27" spans="1:3" x14ac:dyDescent="0.45">
      <c r="A27" t="s">
        <v>9</v>
      </c>
    </row>
    <row r="28" spans="1:3" x14ac:dyDescent="0.45">
      <c r="A28" t="s">
        <v>75</v>
      </c>
      <c r="B28" t="s">
        <v>5</v>
      </c>
    </row>
    <row r="29" spans="1:3" x14ac:dyDescent="0.45">
      <c r="A29" t="s">
        <v>76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21</v>
      </c>
      <c r="B32" t="s">
        <v>53</v>
      </c>
      <c r="C32" t="s">
        <v>36</v>
      </c>
    </row>
    <row r="33" spans="1:3" x14ac:dyDescent="0.45">
      <c r="A33" t="s">
        <v>22</v>
      </c>
      <c r="B33" t="s">
        <v>53</v>
      </c>
      <c r="C33" t="s">
        <v>37</v>
      </c>
    </row>
    <row r="34" spans="1:3" x14ac:dyDescent="0.45">
      <c r="A34" t="s">
        <v>10</v>
      </c>
      <c r="B34" t="s">
        <v>35</v>
      </c>
    </row>
    <row r="36" spans="1:3" x14ac:dyDescent="0.45">
      <c r="A36" t="s">
        <v>41</v>
      </c>
    </row>
    <row r="37" spans="1:3" x14ac:dyDescent="0.45">
      <c r="A37" t="s">
        <v>40</v>
      </c>
    </row>
    <row r="38" spans="1:3" x14ac:dyDescent="0.45">
      <c r="A38" t="s">
        <v>42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2020-08-04T16:44:49Z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