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U:\_Programs\Python\"/>
    </mc:Choice>
  </mc:AlternateContent>
  <bookViews>
    <workbookView xWindow="-57720" yWindow="-120" windowWidth="29040" windowHeight="15840" activeTab="1"/>
  </bookViews>
  <sheets>
    <sheet name="Revisions" sheetId="6" r:id="rId1"/>
    <sheet name="Auto Populate CGWR-CCAR" sheetId="15" r:id="rId2"/>
    <sheet name="Auto Populate CGWR-CCAR Jetson" sheetId="26" r:id="rId3"/>
    <sheet name="Auto Populate CGWR-CCAR DB" sheetId="25" r:id="rId4"/>
    <sheet name="Auto Populate (CICD)" sheetId="20" r:id="rId5"/>
    <sheet name="Auto Populate (FWCD)" sheetId="24" r:id="rId6"/>
    <sheet name="Auto Populate (ACCA)" sheetId="31" r:id="rId7"/>
    <sheet name="CGWR Look Up Tables" sheetId="22" r:id="rId8"/>
    <sheet name="CICD Look Up Tables" sheetId="21" r:id="rId9"/>
    <sheet name="ACCA Look Up Tables" sheetId="28" r:id="rId10"/>
    <sheet name="General Look Up Tables" sheetId="32" r:id="rId11"/>
  </sheets>
  <externalReferences>
    <externalReference r:id="rId12"/>
    <externalReference r:id="rId13"/>
  </externalReferences>
  <definedNames>
    <definedName name="CGWQ" localSheetId="9">#REF!</definedName>
    <definedName name="CGWQ" localSheetId="6">#REF!</definedName>
    <definedName name="CGWQ" localSheetId="4">#REF!</definedName>
    <definedName name="CGWQ" localSheetId="5">#REF!</definedName>
    <definedName name="CGWQ" localSheetId="3">#REF!</definedName>
    <definedName name="CGWQ" localSheetId="2">#REF!</definedName>
    <definedName name="CGWQ">#REF!</definedName>
    <definedName name="CGWR" localSheetId="9">#REF!</definedName>
    <definedName name="CGWR" localSheetId="6">#REF!</definedName>
    <definedName name="CGWR" localSheetId="4">#REF!</definedName>
    <definedName name="CGWR" localSheetId="5">#REF!</definedName>
    <definedName name="CGWR" localSheetId="3">#REF!</definedName>
    <definedName name="CGWR" localSheetId="2">#REF!</definedName>
    <definedName name="CGWR">#REF!</definedName>
    <definedName name="CICD_BP_Refr_TOTAL_Charge">'CICD Look Up Tables'!$S$5:$S$25</definedName>
    <definedName name="CICD_Comp1" localSheetId="9">'General Look Up Tables'!#REF!</definedName>
    <definedName name="CICD_Comp1" localSheetId="7">'CGWR Look Up Tables'!$J$3:$J$23</definedName>
    <definedName name="CICD_Comp1">'CICD Look Up Tables'!$J$5:$J$25</definedName>
    <definedName name="CICD_Comp2" localSheetId="9">'General Look Up Tables'!#REF!</definedName>
    <definedName name="CICD_Comp2" localSheetId="7">'CGWR Look Up Tables'!$K$3:$K$23</definedName>
    <definedName name="CICD_Comp2">'CICD Look Up Tables'!$K$5:$K$25</definedName>
    <definedName name="CICD_LRA_1" localSheetId="9">'General Look Up Tables'!#REF!</definedName>
    <definedName name="CICD_LRA_1" localSheetId="7">'CGWR Look Up Tables'!$M$3:$M$20</definedName>
    <definedName name="CICD_LRA_1">'CICD Look Up Tables'!$L$5:$L$25</definedName>
    <definedName name="CICD_LRA_2" localSheetId="9">'General Look Up Tables'!#REF!</definedName>
    <definedName name="CICD_LRA_2" localSheetId="7">'CGWR Look Up Tables'!$O$3:$O$20</definedName>
    <definedName name="CICD_LRA_2">'CICD Look Up Tables'!$M$5:$M$25</definedName>
    <definedName name="CICD_MCA" localSheetId="9">'General Look Up Tables'!#REF!</definedName>
    <definedName name="CICD_MCA" localSheetId="7">'CGWR Look Up Tables'!$S$3:$S$20</definedName>
    <definedName name="CICD_MCA">'CICD Look Up Tables'!$P$5:$P$25</definedName>
    <definedName name="CICD_MOP" localSheetId="9">'General Look Up Tables'!#REF!</definedName>
    <definedName name="CICD_MOP" localSheetId="7">'CGWR Look Up Tables'!$T$3:$T$20</definedName>
    <definedName name="CICD_MOP">'CICD Look Up Tables'!$Q$5:$Q$25</definedName>
    <definedName name="CICD_Refr_TOTAL_Charge" localSheetId="9">'ACCA Look Up Tables'!#REF!</definedName>
    <definedName name="CICD_Refr_TOTAL_Charge" localSheetId="7">'CGWR Look Up Tables'!#REF!</definedName>
    <definedName name="CICD_Refr_TOTAL_Charge">'[1]CICD Lookup Tables'!$U$5:$U$22</definedName>
    <definedName name="CICD_RFS" localSheetId="9">'General Look Up Tables'!#REF!</definedName>
    <definedName name="CICD_RFS" localSheetId="7">'CGWR Look Up Tables'!$U$3:$U$20</definedName>
    <definedName name="CICD_RFS">'CICD Look Up Tables'!$R$5:$R$25</definedName>
    <definedName name="CICD_RLA_1" localSheetId="9">'General Look Up Tables'!#REF!</definedName>
    <definedName name="CICD_RLA_1" localSheetId="7">'CGWR Look Up Tables'!$P$3:$P$20</definedName>
    <definedName name="CICD_RLA_1">'CICD Look Up Tables'!$N$5:$N$25</definedName>
    <definedName name="CICD_RLA_2" localSheetId="9">'General Look Up Tables'!#REF!</definedName>
    <definedName name="CICD_RLA_2" localSheetId="7">'CGWR Look Up Tables'!$R$3:$R$20</definedName>
    <definedName name="CICD_RLA_2">'CICD Look Up Tables'!$O$5:$O$25</definedName>
    <definedName name="CICD_ST_Refr_TOTAL_Charge">'CICD Look Up Tables'!$T$5:$T$25</definedName>
    <definedName name="CICD_UNIT_SIZE" localSheetId="9">'General Look Up Tables'!#REF!</definedName>
    <definedName name="CICD_UNIT_SIZE" localSheetId="7">'CGWR Look Up Tables'!$H$3:$H$20</definedName>
    <definedName name="CICD_UNIT_SIZE">'CICD Look Up Tables'!$H$5:$H$25</definedName>
    <definedName name="CICD_VOLT" localSheetId="9">'General Look Up Tables'!#REF!</definedName>
    <definedName name="CICD_VOLT" localSheetId="7">'CGWR Look Up Tables'!$I$3:$I$20</definedName>
    <definedName name="CICD_VOLT">'CICD Look Up Tables'!$I$5:$I$25</definedName>
    <definedName name="CICD_WEIGHT_BZPL" localSheetId="9">'ACCA Look Up Tables'!#REF!</definedName>
    <definedName name="CICD_WEIGHT_BZPL" localSheetId="7">'CGWR Look Up Tables'!#REF!</definedName>
    <definedName name="CICD_WEIGHT_BZPL">'CICD Look Up Tables'!$U$5:$U$25</definedName>
    <definedName name="CICD_WEIGHT_Remote_Cond" localSheetId="9">'ACCA Look Up Tables'!#REF!</definedName>
    <definedName name="CICD_WEIGHT_Remote_Cond" localSheetId="7">'CGWR Look Up Tables'!#REF!</definedName>
    <definedName name="CICD_WEIGHT_Remote_Cond">'CICD Look Up Tables'!$W$5:$W$25</definedName>
    <definedName name="CICD_WEIGHT_ST" localSheetId="9">'ACCA Look Up Tables'!#REF!</definedName>
    <definedName name="CICD_WEIGHT_ST" localSheetId="7">'CGWR Look Up Tables'!#REF!</definedName>
    <definedName name="CICD_WEIGHT_ST">'CICD Look Up Tables'!$V$5:$V$25</definedName>
    <definedName name="_xlnm.Print_Area" localSheetId="6">'Auto Populate (ACCA)'!$A$1:$AA$53</definedName>
    <definedName name="_xlnm.Print_Area" localSheetId="4">'Auto Populate (CICD)'!$A$1:$V$54</definedName>
    <definedName name="_xlnm.Print_Area" localSheetId="5">'Auto Populate (FWCD)'!$A$1:$V$54</definedName>
    <definedName name="_xlnm.Print_Area" localSheetId="1">'Auto Populate CGWR-CCAR'!$B$1:$AA$54</definedName>
    <definedName name="_xlnm.Print_Area" localSheetId="3">'Auto Populate CGWR-CCAR DB'!$B$1:$AA$54</definedName>
    <definedName name="_xlnm.Print_Area" localSheetId="2">'Auto Populate CGWR-CCAR Jetson'!$B$1:$AA$54</definedName>
  </definedNames>
  <calcPr calcId="152511"/>
</workbook>
</file>

<file path=xl/calcChain.xml><?xml version="1.0" encoding="utf-8"?>
<calcChain xmlns="http://schemas.openxmlformats.org/spreadsheetml/2006/main">
  <c r="W5" i="15" l="1"/>
  <c r="S17" i="31"/>
  <c r="S45" i="31"/>
  <c r="S13" i="25" l="1"/>
  <c r="W3" i="25"/>
  <c r="U7" i="25"/>
  <c r="T7" i="25"/>
  <c r="B26" i="31" l="1"/>
  <c r="C17" i="28" l="1"/>
  <c r="C16" i="28"/>
  <c r="C15" i="28"/>
  <c r="C14" i="28"/>
  <c r="C13" i="28"/>
  <c r="C12" i="28"/>
  <c r="C11" i="28"/>
  <c r="C10" i="28"/>
  <c r="C9" i="28"/>
  <c r="E17" i="28" s="1"/>
  <c r="C8" i="28"/>
  <c r="C7" i="28"/>
  <c r="E16" i="28" s="1"/>
  <c r="H7" i="28" s="1"/>
  <c r="C6" i="28"/>
  <c r="C5" i="28"/>
  <c r="E14" i="28" s="1"/>
  <c r="C4" i="28"/>
  <c r="E13" i="28" s="1"/>
  <c r="C3" i="28"/>
  <c r="E12" i="28"/>
  <c r="F4" i="28" s="1"/>
  <c r="T5" i="31"/>
  <c r="L14" i="28" l="1"/>
  <c r="J7" i="28" a="1"/>
  <c r="J7" i="28" s="1"/>
  <c r="J8" i="28" a="1"/>
  <c r="J8" i="28" s="1"/>
  <c r="H9" i="28"/>
  <c r="G4" i="28"/>
  <c r="H4" i="28"/>
  <c r="K8" i="28" l="1"/>
  <c r="M8" i="28" s="1"/>
  <c r="K7" i="28"/>
  <c r="M7" i="28" s="1"/>
  <c r="I10" i="28"/>
  <c r="B32" i="31" s="1"/>
  <c r="I9" i="28"/>
  <c r="B30" i="31" s="1"/>
  <c r="I8" i="28"/>
  <c r="D30" i="31"/>
  <c r="J10" i="28" a="1"/>
  <c r="J10" i="28" s="1"/>
  <c r="J9" i="28" a="1"/>
  <c r="J9" i="28" s="1"/>
  <c r="E15" i="28"/>
  <c r="C23" i="31" s="1"/>
  <c r="R48" i="31" s="1"/>
  <c r="F26" i="31" l="1"/>
  <c r="L8" i="28"/>
  <c r="K10" i="28"/>
  <c r="M10" i="28" s="1"/>
  <c r="L7" i="28"/>
  <c r="L26" i="31" s="1"/>
  <c r="K9" i="28"/>
  <c r="F30" i="31" s="1"/>
  <c r="R26" i="31"/>
  <c r="L10" i="28"/>
  <c r="L32" i="31" s="1"/>
  <c r="R32" i="31"/>
  <c r="F32" i="31"/>
  <c r="B28" i="31"/>
  <c r="T30" i="26"/>
  <c r="N30" i="26"/>
  <c r="H30" i="26"/>
  <c r="U41" i="26"/>
  <c r="J19" i="25"/>
  <c r="J19" i="26"/>
  <c r="J19" i="15"/>
  <c r="J17" i="26"/>
  <c r="V30" i="22" a="1"/>
  <c r="V30" i="22" s="1"/>
  <c r="W30" i="22" a="1"/>
  <c r="W30" i="22" s="1"/>
  <c r="X30" i="22" a="1"/>
  <c r="X30" i="22" s="1"/>
  <c r="M9" i="28" l="1"/>
  <c r="L9" i="28"/>
  <c r="L30" i="31" s="1"/>
  <c r="R28" i="31"/>
  <c r="L28" i="31"/>
  <c r="F28" i="31"/>
  <c r="F20" i="22"/>
  <c r="G31" i="22" s="1"/>
  <c r="F14" i="22"/>
  <c r="G30" i="22" s="1"/>
  <c r="F8" i="22"/>
  <c r="G29" i="22" s="1"/>
  <c r="F22" i="22"/>
  <c r="I31" i="22" s="1"/>
  <c r="F21" i="22"/>
  <c r="H31" i="22" s="1"/>
  <c r="F16" i="22"/>
  <c r="F17" i="22" s="1"/>
  <c r="G23" i="26" s="1"/>
  <c r="F15" i="22"/>
  <c r="H30" i="22" s="1"/>
  <c r="F10" i="22"/>
  <c r="F11" i="22" s="1"/>
  <c r="G23" i="15" s="1"/>
  <c r="F9" i="22"/>
  <c r="H29" i="22" s="1"/>
  <c r="X29" i="22" s="1" a="1"/>
  <c r="X29" i="22" s="1"/>
  <c r="L4" i="28" l="1"/>
  <c r="M4" i="28" s="1" a="1"/>
  <c r="M4" i="28" s="1"/>
  <c r="S40" i="31" s="1"/>
  <c r="R30" i="31"/>
  <c r="I4" i="28"/>
  <c r="S36" i="31" s="1"/>
  <c r="J4" i="28"/>
  <c r="K4" i="28" s="1"/>
  <c r="S38" i="31" s="1"/>
  <c r="X31" i="22" a="1"/>
  <c r="X31" i="22" s="1"/>
  <c r="J17" i="25" s="1"/>
  <c r="V31" i="22" a="1"/>
  <c r="V31" i="22" s="1"/>
  <c r="S11" i="25" s="1"/>
  <c r="W31" i="22" a="1"/>
  <c r="W31" i="22" s="1"/>
  <c r="V29" i="22" a="1"/>
  <c r="V29" i="22" s="1"/>
  <c r="S11" i="15" s="1"/>
  <c r="W29" i="22" a="1"/>
  <c r="W29" i="22" s="1"/>
  <c r="S13" i="15" s="1"/>
  <c r="J17" i="15"/>
  <c r="S13" i="26"/>
  <c r="S11" i="26"/>
  <c r="S31" i="22" a="1"/>
  <c r="S31" i="22" s="1"/>
  <c r="U34" i="25" s="1"/>
  <c r="I30" i="22"/>
  <c r="S30" i="22" s="1" a="1"/>
  <c r="S30" i="22" s="1"/>
  <c r="U34" i="26" s="1"/>
  <c r="I29" i="22"/>
  <c r="R29" i="22" s="1" a="1"/>
  <c r="R29" i="22" s="1"/>
  <c r="R31" i="22" a="1"/>
  <c r="R31" i="22" s="1"/>
  <c r="N30" i="25" s="1"/>
  <c r="F23" i="22"/>
  <c r="G23" i="25" s="1"/>
  <c r="O31" i="22" a="1"/>
  <c r="O31" i="22" s="1"/>
  <c r="T30" i="25" s="1"/>
  <c r="L31" i="22" a="1"/>
  <c r="L31" i="22" s="1"/>
  <c r="H30" i="25" s="1"/>
  <c r="J31" i="22" a="1"/>
  <c r="J31" i="22" s="1"/>
  <c r="H26" i="25" s="1"/>
  <c r="Q31" i="22" a="1"/>
  <c r="Q31" i="22" s="1"/>
  <c r="P31" i="22" a="1"/>
  <c r="P31" i="22" s="1"/>
  <c r="N26" i="25" s="1"/>
  <c r="J30" i="22" a="1"/>
  <c r="J30" i="22" s="1"/>
  <c r="H26" i="26" s="1"/>
  <c r="N31" i="22" a="1"/>
  <c r="N31" i="22" s="1"/>
  <c r="P30" i="22" a="1"/>
  <c r="P30" i="22" s="1"/>
  <c r="N26" i="26" s="1"/>
  <c r="K31" i="22" a="1"/>
  <c r="K31" i="22" s="1"/>
  <c r="M31" i="22" a="1"/>
  <c r="M31" i="22" s="1"/>
  <c r="T26" i="25" s="1"/>
  <c r="U31" i="22" a="1"/>
  <c r="U31" i="22" s="1"/>
  <c r="U38" i="25" s="1"/>
  <c r="T31" i="22" a="1"/>
  <c r="T31" i="22" s="1"/>
  <c r="U36" i="25" s="1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F30" i="26"/>
  <c r="F28" i="26"/>
  <c r="U17" i="26"/>
  <c r="W5" i="26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L29" i="22" l="1" a="1"/>
  <c r="L29" i="22" s="1"/>
  <c r="V7" i="25"/>
  <c r="U44" i="25"/>
  <c r="U30" i="22" a="1"/>
  <c r="U30" i="22" s="1"/>
  <c r="U38" i="26" s="1"/>
  <c r="K30" i="22" a="1"/>
  <c r="K30" i="22" s="1"/>
  <c r="O30" i="22" a="1"/>
  <c r="O30" i="22" s="1"/>
  <c r="U29" i="22" a="1"/>
  <c r="U29" i="22" s="1"/>
  <c r="N29" i="22" a="1"/>
  <c r="N29" i="22" s="1"/>
  <c r="R30" i="22" a="1"/>
  <c r="R30" i="22" s="1"/>
  <c r="S29" i="22" a="1"/>
  <c r="S29" i="22" s="1"/>
  <c r="O29" i="22" a="1"/>
  <c r="O29" i="22" s="1"/>
  <c r="J29" i="22" a="1"/>
  <c r="J29" i="22" s="1"/>
  <c r="T29" i="22" a="1"/>
  <c r="T29" i="22" s="1"/>
  <c r="P29" i="22" a="1"/>
  <c r="P29" i="22" s="1"/>
  <c r="K29" i="22" a="1"/>
  <c r="K29" i="22" s="1"/>
  <c r="Q29" i="22" a="1"/>
  <c r="Q29" i="22" s="1"/>
  <c r="L30" i="22" a="1"/>
  <c r="L30" i="22" s="1"/>
  <c r="M30" i="22" a="1"/>
  <c r="M30" i="22" s="1"/>
  <c r="T26" i="26" s="1"/>
  <c r="M29" i="22" a="1"/>
  <c r="M29" i="22" s="1"/>
  <c r="T30" i="22" a="1"/>
  <c r="T30" i="22" s="1"/>
  <c r="U36" i="26" s="1"/>
  <c r="Q30" i="22" a="1"/>
  <c r="Q30" i="22" s="1"/>
  <c r="N30" i="22" a="1"/>
  <c r="N30" i="22" s="1"/>
  <c r="S5" i="20"/>
  <c r="F28" i="15" l="1"/>
  <c r="F30" i="25" l="1"/>
  <c r="F28" i="25"/>
  <c r="U41" i="25"/>
  <c r="U17" i="25"/>
  <c r="S5" i="24" l="1"/>
  <c r="D38" i="21" l="1"/>
  <c r="U44" i="26" l="1"/>
  <c r="Q41" i="20"/>
  <c r="D5" i="21" l="1"/>
  <c r="H29" i="21"/>
  <c r="D19" i="21"/>
  <c r="D18" i="21"/>
  <c r="G39" i="21" s="1"/>
  <c r="D17" i="21"/>
  <c r="D16" i="21"/>
  <c r="D15" i="21"/>
  <c r="D14" i="21"/>
  <c r="D13" i="21"/>
  <c r="D12" i="21"/>
  <c r="D11" i="21"/>
  <c r="D10" i="21"/>
  <c r="D9" i="21"/>
  <c r="G40" i="21" s="1"/>
  <c r="D8" i="21"/>
  <c r="D7" i="21"/>
  <c r="G42" i="21" s="1"/>
  <c r="D6" i="21"/>
  <c r="D4" i="21"/>
  <c r="G38" i="21" l="1"/>
  <c r="I29" i="21"/>
  <c r="F17" i="24"/>
  <c r="V29" i="21" a="1"/>
  <c r="V29" i="21" s="1"/>
  <c r="O13" i="24" s="1"/>
  <c r="P34" i="21"/>
  <c r="Q19" i="24" s="1"/>
  <c r="C23" i="24"/>
  <c r="L29" i="21" a="1"/>
  <c r="L29" i="21" s="1"/>
  <c r="P26" i="24" s="1"/>
  <c r="P29" i="21" a="1"/>
  <c r="P29" i="21" s="1"/>
  <c r="Q34" i="24" s="1"/>
  <c r="Q29" i="21" a="1"/>
  <c r="Q29" i="21" s="1"/>
  <c r="Q36" i="24" s="1"/>
  <c r="M29" i="21" a="1"/>
  <c r="M29" i="21" s="1"/>
  <c r="P28" i="24" s="1"/>
  <c r="N29" i="21" a="1"/>
  <c r="N29" i="21" s="1"/>
  <c r="J26" i="24" s="1"/>
  <c r="O29" i="21" a="1"/>
  <c r="O29" i="21" s="1"/>
  <c r="J28" i="24" s="1"/>
  <c r="J29" i="21" a="1"/>
  <c r="J29" i="21" s="1"/>
  <c r="D26" i="24" s="1"/>
  <c r="R29" i="21" a="1"/>
  <c r="R29" i="21" s="1"/>
  <c r="Q38" i="24" s="1"/>
  <c r="K29" i="21" a="1"/>
  <c r="K29" i="21" s="1"/>
  <c r="D28" i="24" s="1"/>
  <c r="G41" i="21"/>
  <c r="T29" i="21" l="1"/>
  <c r="U11" i="31" s="1"/>
  <c r="S29" i="21"/>
  <c r="P11" i="31" s="1"/>
  <c r="T11" i="24" l="1"/>
  <c r="O11" i="24"/>
  <c r="Q41" i="24"/>
  <c r="Q17" i="24"/>
  <c r="F30" i="15" l="1"/>
  <c r="N28" i="26" l="1"/>
  <c r="T28" i="26"/>
  <c r="H28" i="25" l="1"/>
  <c r="H28" i="26"/>
  <c r="U38" i="15"/>
  <c r="N26" i="15"/>
  <c r="N28" i="15" s="1"/>
  <c r="N28" i="25"/>
  <c r="U34" i="15"/>
  <c r="U36" i="15"/>
  <c r="T26" i="15"/>
  <c r="T28" i="15" s="1"/>
  <c r="T28" i="25"/>
  <c r="H26" i="15"/>
  <c r="H28" i="15" s="1"/>
  <c r="H30" i="15"/>
  <c r="T30" i="15"/>
  <c r="N30" i="15"/>
  <c r="Q17" i="20" l="1"/>
  <c r="C38" i="21" l="1"/>
  <c r="D37" i="21" l="1"/>
  <c r="G33" i="21" s="1"/>
  <c r="D36" i="21"/>
  <c r="D35" i="21"/>
  <c r="D34" i="21"/>
  <c r="D33" i="21"/>
  <c r="D32" i="21"/>
  <c r="D31" i="21"/>
  <c r="D30" i="21"/>
  <c r="D29" i="21"/>
  <c r="D27" i="21"/>
  <c r="D28" i="21"/>
  <c r="G34" i="21" s="1"/>
  <c r="D26" i="21"/>
  <c r="G36" i="21" s="1"/>
  <c r="D25" i="21"/>
  <c r="I28" i="21" s="1"/>
  <c r="D24" i="21"/>
  <c r="H28" i="21" s="1"/>
  <c r="P35" i="21" s="1"/>
  <c r="F19" i="24" s="1"/>
  <c r="D23" i="21"/>
  <c r="V28" i="21" l="1"/>
  <c r="C23" i="20"/>
  <c r="Q44" i="20" s="1"/>
  <c r="Q44" i="24"/>
  <c r="L35" i="21"/>
  <c r="F19" i="20" s="1"/>
  <c r="L34" i="21"/>
  <c r="F17" i="20"/>
  <c r="G35" i="21"/>
  <c r="S28" i="21" s="1"/>
  <c r="G32" i="21"/>
  <c r="T28" i="21" l="1"/>
  <c r="T11" i="20" s="1"/>
  <c r="L28" i="21" a="1"/>
  <c r="L28" i="21" s="1"/>
  <c r="J28" i="21" a="1"/>
  <c r="J28" i="21" s="1"/>
  <c r="D26" i="20" s="1"/>
  <c r="Q19" i="20"/>
  <c r="O13" i="20"/>
  <c r="P28" i="21" a="1"/>
  <c r="P28" i="21" s="1"/>
  <c r="K28" i="21" a="1"/>
  <c r="K28" i="21" s="1"/>
  <c r="R28" i="21" a="1"/>
  <c r="R28" i="21" s="1"/>
  <c r="O28" i="21" a="1"/>
  <c r="O28" i="21" s="1"/>
  <c r="N28" i="21" a="1"/>
  <c r="N28" i="21" s="1"/>
  <c r="M28" i="21" a="1"/>
  <c r="M28" i="21" s="1"/>
  <c r="Q28" i="21" a="1"/>
  <c r="Q28" i="21" s="1"/>
  <c r="U17" i="15"/>
  <c r="Q34" i="20" l="1"/>
  <c r="Q36" i="20"/>
  <c r="P28" i="20"/>
  <c r="O11" i="20"/>
  <c r="J28" i="20"/>
  <c r="P26" i="20"/>
  <c r="J26" i="20"/>
  <c r="Q38" i="20"/>
  <c r="D28" i="20"/>
  <c r="U41" i="15"/>
  <c r="U44" i="15" l="1"/>
</calcChain>
</file>

<file path=xl/sharedStrings.xml><?xml version="1.0" encoding="utf-8"?>
<sst xmlns="http://schemas.openxmlformats.org/spreadsheetml/2006/main" count="1593" uniqueCount="576">
  <si>
    <t>Serial</t>
  </si>
  <si>
    <t>Model</t>
  </si>
  <si>
    <t>Refrigerant</t>
  </si>
  <si>
    <t>Maximum Operating Pressures (PSIG):</t>
  </si>
  <si>
    <t>Water Side:</t>
  </si>
  <si>
    <t>Condenser</t>
  </si>
  <si>
    <t>Chiller</t>
  </si>
  <si>
    <t>Refr. Side:</t>
  </si>
  <si>
    <t>Electrical Data:</t>
  </si>
  <si>
    <t>Volts</t>
  </si>
  <si>
    <t>Ph</t>
  </si>
  <si>
    <t>Hz</t>
  </si>
  <si>
    <t>LRA</t>
  </si>
  <si>
    <t>Comp. #1</t>
  </si>
  <si>
    <t>RLA</t>
  </si>
  <si>
    <t>Amps</t>
  </si>
  <si>
    <t xml:space="preserve">Charge </t>
  </si>
  <si>
    <t>Date Manufactured</t>
  </si>
  <si>
    <t>Tons</t>
  </si>
  <si>
    <t xml:space="preserve">Unit  </t>
  </si>
  <si>
    <t>Series</t>
  </si>
  <si>
    <t>Voltage</t>
  </si>
  <si>
    <t>Power</t>
  </si>
  <si>
    <t>Connection</t>
  </si>
  <si>
    <t>Water</t>
  </si>
  <si>
    <t>Regulating Valves</t>
  </si>
  <si>
    <t>0  -  None</t>
  </si>
  <si>
    <t>Communication</t>
  </si>
  <si>
    <t>Options</t>
  </si>
  <si>
    <t>Enclosure</t>
  </si>
  <si>
    <t>Sound</t>
  </si>
  <si>
    <t>Special Design</t>
  </si>
  <si>
    <t>410A</t>
  </si>
  <si>
    <t>Refrigerant Charge</t>
  </si>
  <si>
    <t>N/A</t>
  </si>
  <si>
    <t>Rated</t>
  </si>
  <si>
    <t>200-230/3/60</t>
  </si>
  <si>
    <t>460/3/60</t>
  </si>
  <si>
    <t>575/3/60</t>
  </si>
  <si>
    <t xml:space="preserve">     Minimum Circuit Ampacity</t>
  </si>
  <si>
    <t xml:space="preserve">     Maximum Fuse Size</t>
  </si>
  <si>
    <t xml:space="preserve">     Recommended Dual-Element,</t>
  </si>
  <si>
    <t xml:space="preserve">     Time-Delay Fuse Size</t>
  </si>
  <si>
    <t>Date</t>
  </si>
  <si>
    <t>Rev #</t>
  </si>
  <si>
    <t>Changes/Descriptions</t>
  </si>
  <si>
    <t>kA RMS</t>
  </si>
  <si>
    <t xml:space="preserve">     Control Panel SCCR</t>
  </si>
  <si>
    <t xml:space="preserve">                (RMS Symmetrical)</t>
  </si>
  <si>
    <t>SMH</t>
  </si>
  <si>
    <t xml:space="preserve">     Maximum Voltage</t>
  </si>
  <si>
    <t>Changes
by</t>
  </si>
  <si>
    <t>Create new nameplate for CGWQ &amp; CCAQ products</t>
  </si>
  <si>
    <t>Unit Voltage</t>
  </si>
  <si>
    <t>Design Sequence</t>
  </si>
  <si>
    <t>1  -  With valve(s) installed</t>
  </si>
  <si>
    <t>Evap Temp</t>
  </si>
  <si>
    <t>Range</t>
  </si>
  <si>
    <t>1  -  Std cooling/ice 20-60F(-6.7-15.6C)</t>
  </si>
  <si>
    <t>Agency</t>
  </si>
  <si>
    <t>Listing</t>
  </si>
  <si>
    <t>Factory assigned</t>
  </si>
  <si>
    <t>E  -  ETL Listed</t>
  </si>
  <si>
    <t>0  -  Std cooling 42-60F(5.6-15.6C)</t>
  </si>
  <si>
    <t>3  -  Blankets</t>
  </si>
  <si>
    <t>9  -  Factory enclosure</t>
  </si>
  <si>
    <t>2  -  LonTalk</t>
  </si>
  <si>
    <t>4  -  BACnet MS/TP</t>
  </si>
  <si>
    <t>5  -  Standard BACnet IP</t>
  </si>
  <si>
    <t>6  -  Standard Modbus</t>
  </si>
  <si>
    <t>8  -  Johnson N2</t>
  </si>
  <si>
    <t>Monitor</t>
  </si>
  <si>
    <t>0  -  No PWM</t>
  </si>
  <si>
    <t>1  -  With PWM</t>
  </si>
  <si>
    <t>Neoprene Isolator</t>
  </si>
  <si>
    <t>Pads</t>
  </si>
  <si>
    <t>0  -  No Iso Pads</t>
  </si>
  <si>
    <t>1  -  With Iso Pads</t>
  </si>
  <si>
    <t xml:space="preserve">Flow </t>
  </si>
  <si>
    <t>Switch</t>
  </si>
  <si>
    <t>0  -  No Flow Swtch</t>
  </si>
  <si>
    <t>1  -  With Flow Swtch</t>
  </si>
  <si>
    <t>Evap Fluid</t>
  </si>
  <si>
    <t>type</t>
  </si>
  <si>
    <t>Cond Fluid</t>
  </si>
  <si>
    <t>4  -  Methanol</t>
  </si>
  <si>
    <t>0  - Water</t>
  </si>
  <si>
    <t>0  -  No enclosure</t>
  </si>
  <si>
    <t>T  -  Std Terminal Block</t>
  </si>
  <si>
    <t>A 0</t>
  </si>
  <si>
    <t>0  -  No WRVs</t>
  </si>
  <si>
    <t>N  -  No ETL listing</t>
  </si>
  <si>
    <t>D  -  Non-fused Disconnect</t>
  </si>
  <si>
    <t>Oil Type</t>
  </si>
  <si>
    <t>POE</t>
  </si>
  <si>
    <t>Literature:</t>
  </si>
  <si>
    <t>&amp; Maintenance Manual</t>
  </si>
  <si>
    <t>Installation, Operation</t>
  </si>
  <si>
    <t>Controls Manual</t>
  </si>
  <si>
    <t>Operating weight</t>
  </si>
  <si>
    <t xml:space="preserve">Unit Weight </t>
  </si>
  <si>
    <t>CKT 1</t>
  </si>
  <si>
    <t>CKT 2</t>
  </si>
  <si>
    <t xml:space="preserve"> </t>
  </si>
  <si>
    <t>Added "CGWQ-CCAQ" to file name, and added to options under Digit 14, F - Fused Disconnect (100 kA)</t>
  </si>
  <si>
    <t>Rev 1</t>
  </si>
  <si>
    <t>NA</t>
  </si>
  <si>
    <t>CGWR</t>
  </si>
  <si>
    <t>CCAR</t>
  </si>
  <si>
    <t>Evaporator Wye</t>
  </si>
  <si>
    <t xml:space="preserve"> Strainer</t>
  </si>
  <si>
    <t>0 - No Strainer</t>
  </si>
  <si>
    <t>1 - Nom Flow Strainer</t>
  </si>
  <si>
    <t>2 - Strainer w/Kit</t>
  </si>
  <si>
    <t>F  -  Fused Disconnect</t>
  </si>
  <si>
    <t>Short Circuit Rating</t>
  </si>
  <si>
    <t>(SCCR)</t>
  </si>
  <si>
    <t>1 - Opt 100 kA</t>
  </si>
  <si>
    <t>0 - Std 5 kA</t>
  </si>
  <si>
    <t>Local Unit Controller</t>
  </si>
  <si>
    <t>Interface</t>
  </si>
  <si>
    <t>0 - Keypad</t>
  </si>
  <si>
    <t>1 - Touchscreen</t>
  </si>
  <si>
    <t>9  - CCAR</t>
  </si>
  <si>
    <t>25 lbs</t>
  </si>
  <si>
    <t>37 lbs</t>
  </si>
  <si>
    <t>24 lbs per circuit</t>
  </si>
  <si>
    <t>CG-SVX038A-EN</t>
  </si>
  <si>
    <t>CG-SVX030B-EN</t>
  </si>
  <si>
    <t>Features 0 = None, 1 = Yes</t>
  </si>
  <si>
    <t>0  -  Water Evap</t>
  </si>
  <si>
    <t>2  -  EG Evap</t>
  </si>
  <si>
    <t>3  -  PG Evap</t>
  </si>
  <si>
    <t>0  - Water Cond</t>
  </si>
  <si>
    <t>2  - EG Cond</t>
  </si>
  <si>
    <t>3  - PG Cond</t>
  </si>
  <si>
    <t>29 lbs per circuit</t>
  </si>
  <si>
    <t>32 lbs per circuit</t>
  </si>
  <si>
    <t>0</t>
  </si>
  <si>
    <t>0    - No special design</t>
  </si>
  <si>
    <t>1    -  With special design</t>
  </si>
  <si>
    <t>CG-SVX030*-EN</t>
  </si>
  <si>
    <t>Added "CGWR-CCAR" to title of file because it has been in use in for a while</t>
  </si>
  <si>
    <t>Added Fill in Yourself Tab for CICD Dual and one for Single circuit Product</t>
  </si>
  <si>
    <t>CG-SVX044*-EN</t>
  </si>
  <si>
    <t>Evaporator</t>
  </si>
  <si>
    <t xml:space="preserve">Ref Charge, lbs </t>
  </si>
  <si>
    <t>Comp 1 Circuit 1</t>
  </si>
  <si>
    <t>Comp 2 Circuit 2</t>
  </si>
  <si>
    <t>CICD</t>
  </si>
  <si>
    <t>030</t>
  </si>
  <si>
    <t>Digit 1 to 4</t>
  </si>
  <si>
    <t>Digit 5 to 7</t>
  </si>
  <si>
    <t>Digit 8</t>
  </si>
  <si>
    <t>Digit 9</t>
  </si>
  <si>
    <t>Digit 10</t>
  </si>
  <si>
    <t>Digit 11</t>
  </si>
  <si>
    <t>Digit 12</t>
  </si>
  <si>
    <t>Digit 13</t>
  </si>
  <si>
    <t>Digit 14</t>
  </si>
  <si>
    <t>Digit 15</t>
  </si>
  <si>
    <t>Digit 16</t>
  </si>
  <si>
    <t>Digit 17</t>
  </si>
  <si>
    <t>Digit 18</t>
  </si>
  <si>
    <t>Digit 19</t>
  </si>
  <si>
    <t>Digit 20</t>
  </si>
  <si>
    <t>Nominal Capacity</t>
  </si>
  <si>
    <t>Unit Application</t>
  </si>
  <si>
    <t>Refr. Style</t>
  </si>
  <si>
    <t># of Circs.</t>
  </si>
  <si>
    <t>Efficieny/Capacity</t>
  </si>
  <si>
    <t>Array System</t>
  </si>
  <si>
    <t>Evap HX Type</t>
  </si>
  <si>
    <t>Evap Fluid Type</t>
  </si>
  <si>
    <t>Evap Flow</t>
  </si>
  <si>
    <t>Evap Temp Range</t>
  </si>
  <si>
    <t>Evap Control Valves</t>
  </si>
  <si>
    <t>Condenser HX Type</t>
  </si>
  <si>
    <t>020</t>
  </si>
  <si>
    <t>045</t>
  </si>
  <si>
    <t>055</t>
  </si>
  <si>
    <t>065</t>
  </si>
  <si>
    <t>075</t>
  </si>
  <si>
    <t>A - Water Cooled Chiller</t>
  </si>
  <si>
    <t>B - Remote Condenser</t>
  </si>
  <si>
    <t>D - Compressor Chiller w/remote Condenser</t>
  </si>
  <si>
    <t>A - R-410A Scroll</t>
  </si>
  <si>
    <t>0 - Factory Assigned</t>
  </si>
  <si>
    <t>1  - Single Circuit</t>
  </si>
  <si>
    <t>2  - Dual Circuit</t>
  </si>
  <si>
    <t>1  - Standard Efficiency</t>
  </si>
  <si>
    <t>2  - High Capacity Evaporator</t>
  </si>
  <si>
    <t xml:space="preserve">0  - Non-Array System </t>
  </si>
  <si>
    <t>1  - Array System</t>
  </si>
  <si>
    <t>0  - Brazed Plate</t>
  </si>
  <si>
    <t>3  - Propylene Glycol</t>
  </si>
  <si>
    <t>2  - Ethylene Glycol</t>
  </si>
  <si>
    <t>0  - Constant Flow Primary</t>
  </si>
  <si>
    <t>1  - Variable Flow Primary</t>
  </si>
  <si>
    <t>0  - Standard Cooling</t>
  </si>
  <si>
    <t>1  - Standard Cooling/Ice Making</t>
  </si>
  <si>
    <t>2  - Low Temperature Glycol Process</t>
  </si>
  <si>
    <t>0  - Manual Valves</t>
  </si>
  <si>
    <t>1  - Motorized Valves</t>
  </si>
  <si>
    <t>1 - Shell and Tube</t>
  </si>
  <si>
    <t>5  - Remote Condenser</t>
  </si>
  <si>
    <t xml:space="preserve">   </t>
  </si>
  <si>
    <t>Digit 21</t>
  </si>
  <si>
    <t>Left Blank</t>
  </si>
  <si>
    <t>Left Blank on purpose to stop digit 20 from spilling over</t>
  </si>
  <si>
    <t xml:space="preserve">Model = </t>
  </si>
  <si>
    <t xml:space="preserve">Nominal Capacity = </t>
  </si>
  <si>
    <t xml:space="preserve">Unit Voltage = </t>
  </si>
  <si>
    <t xml:space="preserve">Unit Application = </t>
  </si>
  <si>
    <t xml:space="preserve">Refr. Style = </t>
  </si>
  <si>
    <t xml:space="preserve"># of Circs. = </t>
  </si>
  <si>
    <t xml:space="preserve">Efficieny/Capacit = </t>
  </si>
  <si>
    <t xml:space="preserve">Design Sequence = </t>
  </si>
  <si>
    <t xml:space="preserve">Array System = </t>
  </si>
  <si>
    <t xml:space="preserve">Evap HX Type = </t>
  </si>
  <si>
    <t xml:space="preserve">Evap Fluid Type = </t>
  </si>
  <si>
    <t xml:space="preserve">Evap Flow = </t>
  </si>
  <si>
    <t xml:space="preserve">Evap Temp Range = </t>
  </si>
  <si>
    <t xml:space="preserve">Evap Control Valves = </t>
  </si>
  <si>
    <t xml:space="preserve">Condenser HX Type = </t>
  </si>
  <si>
    <t>CICD Model String Selection</t>
  </si>
  <si>
    <t>SELECTED UNIT</t>
  </si>
  <si>
    <t xml:space="preserve">Unit </t>
  </si>
  <si>
    <t>Unit Size</t>
  </si>
  <si>
    <t>Comp #1</t>
  </si>
  <si>
    <t>Comp #2</t>
  </si>
  <si>
    <t>Comp #1 LRA</t>
  </si>
  <si>
    <t>Comp #2 LRA</t>
  </si>
  <si>
    <t>Comp #1 RLA</t>
  </si>
  <si>
    <t>Comp #2 RLA</t>
  </si>
  <si>
    <t>Unit MCA</t>
  </si>
  <si>
    <t>Unit Max Fuse</t>
  </si>
  <si>
    <t>Unit Rec. Fuse</t>
  </si>
  <si>
    <t>DSH120A3</t>
  </si>
  <si>
    <t>DSH120A4</t>
  </si>
  <si>
    <t>DSH120A7</t>
  </si>
  <si>
    <t>DSH184A3</t>
  </si>
  <si>
    <t>DSH184A4</t>
  </si>
  <si>
    <t>DSH184A7</t>
  </si>
  <si>
    <t>DSH240A3</t>
  </si>
  <si>
    <t>DSH240A4</t>
  </si>
  <si>
    <t>DSH240A7</t>
  </si>
  <si>
    <t>DSH295A3</t>
  </si>
  <si>
    <t>DSH295A4</t>
  </si>
  <si>
    <t>DSH295A7</t>
  </si>
  <si>
    <t>DSH381A3</t>
  </si>
  <si>
    <t>DSH381A4</t>
  </si>
  <si>
    <t>DSH381A7</t>
  </si>
  <si>
    <t>DSH485A3</t>
  </si>
  <si>
    <t>DSH485A4</t>
  </si>
  <si>
    <t>DSH485A7</t>
  </si>
  <si>
    <t>Format #2</t>
  </si>
  <si>
    <t>Format #3</t>
  </si>
  <si>
    <t>Voltage 
(Name Plate)</t>
  </si>
  <si>
    <t xml:space="preserve">POWER </t>
  </si>
  <si>
    <t>FEED</t>
  </si>
  <si>
    <t>5kA OR 100kA?</t>
  </si>
  <si>
    <t>Unit Weight</t>
  </si>
  <si>
    <t>Brazed Plate</t>
  </si>
  <si>
    <t>Shell and Tube</t>
  </si>
  <si>
    <t>Remote Condenser</t>
  </si>
  <si>
    <t>Look Up Values</t>
  </si>
  <si>
    <t># of Circiuits</t>
  </si>
  <si>
    <t>Format #1</t>
  </si>
  <si>
    <t>Refr. Circ. #2</t>
  </si>
  <si>
    <t>Refr. Circ
 #1</t>
  </si>
  <si>
    <t>Weights</t>
  </si>
  <si>
    <t>20 Tons</t>
  </si>
  <si>
    <t>30 Tons</t>
  </si>
  <si>
    <t>45 Tons</t>
  </si>
  <si>
    <t>55 Tons</t>
  </si>
  <si>
    <t>65 Tons</t>
  </si>
  <si>
    <t>75 Tons</t>
  </si>
  <si>
    <t>MAWP</t>
  </si>
  <si>
    <t>Cond HX =</t>
  </si>
  <si>
    <t>-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</si>
  <si>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</t>
    </r>
  </si>
  <si>
    <t>These are array formulas, you must press CTRL+Shift+Enter</t>
  </si>
  <si>
    <t>Chilled Water</t>
  </si>
  <si>
    <t>Cond Water</t>
  </si>
  <si>
    <t>Refr. Evap</t>
  </si>
  <si>
    <t>Refr. Cond</t>
  </si>
  <si>
    <t>9  - NA - Compressor Chiller</t>
  </si>
  <si>
    <t>Condenser Fluid Type</t>
  </si>
  <si>
    <t>Digit 22</t>
  </si>
  <si>
    <r>
      <rPr>
        <b/>
        <u/>
        <sz val="11"/>
        <color theme="1"/>
        <rFont val="Calibri"/>
        <family val="2"/>
        <scheme val="minor"/>
      </rPr>
      <t>H20</t>
    </r>
    <r>
      <rPr>
        <sz val="11"/>
        <color theme="1"/>
        <rFont val="Calibri"/>
        <family val="2"/>
        <scheme val="minor"/>
      </rPr>
      <t xml:space="preserve">
Evap</t>
    </r>
  </si>
  <si>
    <r>
      <rPr>
        <b/>
        <u/>
        <sz val="11"/>
        <color theme="1"/>
        <rFont val="Calibri"/>
        <family val="2"/>
        <scheme val="minor"/>
      </rPr>
      <t>H20</t>
    </r>
    <r>
      <rPr>
        <sz val="11"/>
        <color theme="1"/>
        <rFont val="Calibri"/>
        <family val="2"/>
        <scheme val="minor"/>
      </rPr>
      <t xml:space="preserve">
Cond</t>
    </r>
  </si>
  <si>
    <r>
      <rPr>
        <b/>
        <u/>
        <sz val="11"/>
        <color theme="1"/>
        <rFont val="Calibri"/>
        <family val="2"/>
        <scheme val="minor"/>
      </rPr>
      <t>REFR</t>
    </r>
    <r>
      <rPr>
        <sz val="11"/>
        <color theme="1"/>
        <rFont val="Calibri"/>
        <family val="2"/>
        <scheme val="minor"/>
      </rPr>
      <t>. EVAP</t>
    </r>
  </si>
  <si>
    <r>
      <rPr>
        <b/>
        <u/>
        <sz val="11"/>
        <color theme="1"/>
        <rFont val="Calibri"/>
        <family val="2"/>
        <scheme val="minor"/>
      </rPr>
      <t>REFR</t>
    </r>
    <r>
      <rPr>
        <sz val="11"/>
        <color theme="1"/>
        <rFont val="Calibri"/>
        <family val="2"/>
        <scheme val="minor"/>
      </rPr>
      <t>. COND</t>
    </r>
  </si>
  <si>
    <t>Water Pressure?</t>
  </si>
  <si>
    <t>Pressure</t>
  </si>
  <si>
    <t>Does the unit ship with a charge?</t>
  </si>
  <si>
    <t>Ship with a charge?</t>
  </si>
  <si>
    <t>Yes</t>
  </si>
  <si>
    <t>No</t>
  </si>
  <si>
    <t>Water Cooled Condenser?</t>
  </si>
  <si>
    <t>WCCU</t>
  </si>
  <si>
    <t>37 lbs per circuit</t>
  </si>
  <si>
    <t>Comp #3</t>
  </si>
  <si>
    <t>DSH90A3</t>
  </si>
  <si>
    <t>DSH90A4</t>
  </si>
  <si>
    <t>DSH90A7</t>
  </si>
  <si>
    <t>DSH140A3</t>
  </si>
  <si>
    <t>DSH140A4</t>
  </si>
  <si>
    <t>DSH140A7</t>
  </si>
  <si>
    <r>
      <rPr>
        <b/>
        <u/>
        <sz val="11"/>
        <color rgb="FFFF0000"/>
        <rFont val="Calibri"/>
        <family val="2"/>
        <scheme val="minor"/>
      </rPr>
      <t>Comp #3</t>
    </r>
    <r>
      <rPr>
        <sz val="11"/>
        <color theme="1"/>
        <rFont val="Calibri"/>
        <family val="2"/>
        <scheme val="minor"/>
      </rPr>
      <t xml:space="preserve"> LRA</t>
    </r>
  </si>
  <si>
    <r>
      <rPr>
        <b/>
        <u/>
        <sz val="11"/>
        <color rgb="FFFF0000"/>
        <rFont val="Calibri"/>
        <family val="2"/>
        <scheme val="minor"/>
      </rPr>
      <t>Comp #3</t>
    </r>
    <r>
      <rPr>
        <sz val="11"/>
        <color theme="1"/>
        <rFont val="Calibri"/>
        <family val="2"/>
        <scheme val="minor"/>
      </rPr>
      <t xml:space="preserve"> RLA</t>
    </r>
  </si>
  <si>
    <t>Note</t>
  </si>
  <si>
    <t>NWCR</t>
  </si>
  <si>
    <t>FWCD</t>
  </si>
  <si>
    <t>FWCD Model String Selection</t>
  </si>
  <si>
    <t>SELECTED CICD UNIT</t>
  </si>
  <si>
    <t>SELECTED FWCD UNIT</t>
  </si>
  <si>
    <t>CICD MAWP</t>
  </si>
  <si>
    <t>FWCD MAWP</t>
  </si>
  <si>
    <t>G - 575-3-60</t>
  </si>
  <si>
    <t>F - 460-3-60</t>
  </si>
  <si>
    <t>B - 230-3-60</t>
  </si>
  <si>
    <t>A - 208-3-60</t>
  </si>
  <si>
    <t>085</t>
  </si>
  <si>
    <t>Refr. Charge (Total)
BP/S&amp;T</t>
  </si>
  <si>
    <t>5076A03</t>
  </si>
  <si>
    <t>W</t>
  </si>
  <si>
    <t>C</t>
  </si>
  <si>
    <t>S</t>
  </si>
  <si>
    <t>B</t>
  </si>
  <si>
    <t>G</t>
  </si>
  <si>
    <t>Q</t>
  </si>
  <si>
    <t xml:space="preserve">DB Model </t>
  </si>
  <si>
    <t>5381A-01</t>
  </si>
  <si>
    <t>Unit Type</t>
  </si>
  <si>
    <t xml:space="preserve">Agency Listing = </t>
  </si>
  <si>
    <t xml:space="preserve">Condenser WRV = </t>
  </si>
  <si>
    <t xml:space="preserve">Evap Wye Strainer = </t>
  </si>
  <si>
    <t>Digit 9 to 10</t>
  </si>
  <si>
    <t xml:space="preserve">Power Connection = </t>
  </si>
  <si>
    <t xml:space="preserve">Short Circuit Rating = </t>
  </si>
  <si>
    <t xml:space="preserve">Sound Attenuation = </t>
  </si>
  <si>
    <t xml:space="preserve">Control Interfece = </t>
  </si>
  <si>
    <t xml:space="preserve">Remote BMS = </t>
  </si>
  <si>
    <t>Digit 23</t>
  </si>
  <si>
    <t>Digit 24</t>
  </si>
  <si>
    <t>Digit 25</t>
  </si>
  <si>
    <t xml:space="preserve">Power Monitor = </t>
  </si>
  <si>
    <t xml:space="preserve">Neoprene Isolators = </t>
  </si>
  <si>
    <t xml:space="preserve">Flow Switch = </t>
  </si>
  <si>
    <t xml:space="preserve">Cond Fluid Type = </t>
  </si>
  <si>
    <t xml:space="preserve">Special Options = </t>
  </si>
  <si>
    <t>Look Up Values Trane</t>
  </si>
  <si>
    <t>Look Up Values Jetson</t>
  </si>
  <si>
    <t>Look Up Values DB</t>
  </si>
  <si>
    <t>CGWR-CCAR Model String Selection Trane</t>
  </si>
  <si>
    <t>CGWR-CCAR Model String Selection Jetson</t>
  </si>
  <si>
    <t>CGWR-CCAR Model String Selection DB</t>
  </si>
  <si>
    <t>Unit Series</t>
  </si>
  <si>
    <t>Operating Weight</t>
  </si>
  <si>
    <t>AHC</t>
  </si>
  <si>
    <t>Removed the R Series Data Sheets</t>
  </si>
  <si>
    <t>Added Jetson and Dunham Push CGWR-CCAR Pages and theis controlls in the CGWR Lookup Tables</t>
  </si>
  <si>
    <t>Condenser Water psi</t>
  </si>
  <si>
    <t>Adding ACCA Look Up Table</t>
  </si>
  <si>
    <t xml:space="preserve"> 2000 lbs</t>
  </si>
  <si>
    <t>Rev 0</t>
  </si>
  <si>
    <t>ACC</t>
  </si>
  <si>
    <t>050</t>
  </si>
  <si>
    <t>5076A-01</t>
  </si>
  <si>
    <t xml:space="preserve">     Fan FLA Ea.</t>
  </si>
  <si>
    <t>010</t>
  </si>
  <si>
    <t>015</t>
  </si>
  <si>
    <t>025</t>
  </si>
  <si>
    <t>040</t>
  </si>
  <si>
    <t>060</t>
  </si>
  <si>
    <t>070</t>
  </si>
  <si>
    <t>080</t>
  </si>
  <si>
    <t>Refrigerant Type</t>
  </si>
  <si>
    <t>Unit Efficiency</t>
  </si>
  <si>
    <t>A - Air-Cooled Chiller</t>
  </si>
  <si>
    <t>B - Air-Cooled Chiller (Low Ambient)</t>
  </si>
  <si>
    <t>C - Air-Cooled Chiller (High Ambient)</t>
  </si>
  <si>
    <t>D - Heat Pump</t>
  </si>
  <si>
    <t>E - Heating Optimized Chiller</t>
  </si>
  <si>
    <t>A - Single Circuit - On/Off Compressor</t>
  </si>
  <si>
    <t>B - Single Circuit - Tandem Compressors</t>
  </si>
  <si>
    <t>C- Single Circuit - Variable Speed Compressor</t>
  </si>
  <si>
    <t>D - Circuit A - On/Off Compressor; Circuit B - On/Off Compressor</t>
  </si>
  <si>
    <t>E - Circuit A - Tandem Compressors; Circuit B - On/Off Compressor</t>
  </si>
  <si>
    <t>F - Circuit A - Tandem Compressors; Circuit B - Tandem Compressors</t>
  </si>
  <si>
    <t>G - Circuit A - Variable Speed; Circuit B - On/Off Compressor</t>
  </si>
  <si>
    <t>H - Circuit A - Variable Speed; Circuit B - Tandem Compressors</t>
  </si>
  <si>
    <t>J - Circuit A - Variable Speed; Circuit B - Variable Speed</t>
  </si>
  <si>
    <t>Digit 9 - Application</t>
  </si>
  <si>
    <t>Digit 10 - Steps of Capacity</t>
  </si>
  <si>
    <t>Digit 13 - Design Sequence</t>
  </si>
  <si>
    <t>Digit 14 - Evaporator Heat Exchanger Type</t>
  </si>
  <si>
    <t>Digit 15 — Evaporator Temp Range</t>
  </si>
  <si>
    <t>Digit 16 - Evaporator Valves</t>
  </si>
  <si>
    <t>Air-Cooled Condenser Heat Exchanger Type</t>
  </si>
  <si>
    <t>Fan Control</t>
  </si>
  <si>
    <t>Digit 18 - Condenser</t>
  </si>
  <si>
    <t>Heat Recovery</t>
  </si>
  <si>
    <t>Digit 19 - Condenser Water</t>
  </si>
  <si>
    <t>Condenser Control Valves</t>
  </si>
  <si>
    <t xml:space="preserve">Digit 20 — Heat Recovery </t>
  </si>
  <si>
    <t>Digit 21 — Power Connection</t>
  </si>
  <si>
    <t>Digit 22 - Power Feed</t>
  </si>
  <si>
    <t>Digit 23 - Service Options</t>
  </si>
  <si>
    <t>Digit 24 - Control Style</t>
  </si>
  <si>
    <t>Local Unit Controller Interface</t>
  </si>
  <si>
    <t>(Digital Comm)</t>
  </si>
  <si>
    <t>Digit 26 -Remote BMS Interface</t>
  </si>
  <si>
    <t>Digit 27 - Blank</t>
  </si>
  <si>
    <t>0 - R-410A</t>
  </si>
  <si>
    <t>0 - Standard Efficiency</t>
  </si>
  <si>
    <t>0 - Brazed Plate</t>
  </si>
  <si>
    <t>0 - Standard Cooling 40 to 65°F [4.4 to 18.3°C]</t>
  </si>
  <si>
    <t>0 - No Valve</t>
  </si>
  <si>
    <t>0 - Microchannel Heat Exchanger (MCHE)</t>
  </si>
  <si>
    <t>0 - Fixed Speed</t>
  </si>
  <si>
    <t>0 - No Heat Recovery</t>
  </si>
  <si>
    <t>0 - None</t>
  </si>
  <si>
    <t>0 - Terminal Block</t>
  </si>
  <si>
    <t>0 - 5 kA Rating</t>
  </si>
  <si>
    <t>0 - Non-Array, Single Unit Controller</t>
  </si>
  <si>
    <t>0 - Keypad with Dot Pixel Display</t>
  </si>
  <si>
    <t>0 - Blank</t>
  </si>
  <si>
    <t>2 - R-32, R-454B, R-452B, etc.</t>
  </si>
  <si>
    <t>1 - High Efficiency</t>
  </si>
  <si>
    <t>1 - Standard Cooling/Ice Making 15 to 65°F [-9.4 to 18.3°C]</t>
  </si>
  <si>
    <t>1 - Constant Flow Array - Manual Balancing/Isolating Valve</t>
  </si>
  <si>
    <t>A - Fin and Tube</t>
  </si>
  <si>
    <t>1 - Variable Speed</t>
  </si>
  <si>
    <t xml:space="preserve">1 - Full Heat Recovery </t>
  </si>
  <si>
    <t>1 - Manual balancing/isolating valves</t>
  </si>
  <si>
    <t>A - Non-Fused Disconnect Switch</t>
  </si>
  <si>
    <t>A - 5 kA Rating + Phase and Voltage Monitor</t>
  </si>
  <si>
    <t>A - LED Lighted Control Cabinet</t>
  </si>
  <si>
    <t>A - Master Controller w/ Single Controller per Array</t>
  </si>
  <si>
    <t>A - 10.1" Color Touchscreen</t>
  </si>
  <si>
    <t>2 - Lon Talk®</t>
  </si>
  <si>
    <t>2 - Premium Efficiency</t>
  </si>
  <si>
    <t>2 - High Capacity Brazed Plate</t>
  </si>
  <si>
    <t xml:space="preserve">2 - Variable Flow Array - Motorized Isolating valve </t>
  </si>
  <si>
    <t>B - Copper Tube, Copper Fin</t>
  </si>
  <si>
    <t>2 - Low Sound</t>
  </si>
  <si>
    <t xml:space="preserve">2 - Motorized Isolating valve </t>
  </si>
  <si>
    <t>B - Fused Disconnect Switch</t>
  </si>
  <si>
    <t>B - 100 kA Rating</t>
  </si>
  <si>
    <t>B  - Factory Wired 115V Outlet</t>
  </si>
  <si>
    <t>B - Supervisor Array Controller w/ Controller per Module</t>
  </si>
  <si>
    <t>B - 15.4" Color Touchscreen</t>
  </si>
  <si>
    <t>4 - BACnet® MS/TP</t>
  </si>
  <si>
    <t>3 - High Capacity Shell and Tube</t>
  </si>
  <si>
    <t>C - E-Coat Microchannel Heat Exchanger (MCHE)</t>
  </si>
  <si>
    <t>3 - Ultra Low Sound</t>
  </si>
  <si>
    <t>C - High SCCR Fuse Block</t>
  </si>
  <si>
    <t>C - 100 kA Rating + Phase and Voltage Monitor</t>
  </si>
  <si>
    <t>C  - Field Wired 115V Outlet</t>
  </si>
  <si>
    <t>C - Slave Expansion Board Module</t>
  </si>
  <si>
    <t>5 - BACnet IP</t>
  </si>
  <si>
    <t>4 - Coaxial</t>
  </si>
  <si>
    <t>E - E-Coat Fin and Tube</t>
  </si>
  <si>
    <t>D - Distribution Panel for Array</t>
  </si>
  <si>
    <t>D - LED Lighted Control Cabinet + Factory Wired 115V Outlet</t>
  </si>
  <si>
    <t>6 - MODBUS®</t>
  </si>
  <si>
    <t>5 -Flooded Barrel</t>
  </si>
  <si>
    <t>F - E-Coat Copper tube, Copper Fin</t>
  </si>
  <si>
    <t>E - Circuit Breaker with High Fault Rating</t>
  </si>
  <si>
    <t>E - LED Lighted Control Cabinet + Field Wired 115V Outlet</t>
  </si>
  <si>
    <t>8 - Johnson N2</t>
  </si>
  <si>
    <t>6 - Remote Brazed Plate</t>
  </si>
  <si>
    <t>7 - Remote Shell and Tube</t>
  </si>
  <si>
    <t>8 - Remote High Capacity Brazed Plate</t>
  </si>
  <si>
    <t>9 - Remote High Capacity Shell and Tube</t>
  </si>
  <si>
    <t>ACCA Model String Selection</t>
  </si>
  <si>
    <t xml:space="preserve">Steps of Capacity = </t>
  </si>
  <si>
    <t xml:space="preserve">Refrigerant Type = </t>
  </si>
  <si>
    <t xml:space="preserve">Unit Efficiencty = </t>
  </si>
  <si>
    <t xml:space="preserve">Evap Type = </t>
  </si>
  <si>
    <t xml:space="preserve">Evap Valves = </t>
  </si>
  <si>
    <t xml:space="preserve">Condenser Type = </t>
  </si>
  <si>
    <t xml:space="preserve">Condenser Fans = </t>
  </si>
  <si>
    <t xml:space="preserve"> Heat Recovery = </t>
  </si>
  <si>
    <t xml:space="preserve">HR Valves = </t>
  </si>
  <si>
    <t>Digit 4</t>
  </si>
  <si>
    <t xml:space="preserve">     Maximum Utilization Range</t>
  </si>
  <si>
    <t>S - Stand Alone</t>
  </si>
  <si>
    <t>M - Modular</t>
  </si>
  <si>
    <t>R - Remote Condenser</t>
  </si>
  <si>
    <t>U - Condensing Unit</t>
  </si>
  <si>
    <t>Single On/Off</t>
  </si>
  <si>
    <t>Single Tandem</t>
  </si>
  <si>
    <t>Single Variable</t>
  </si>
  <si>
    <t>Dual Single</t>
  </si>
  <si>
    <t>Dual Tandem</t>
  </si>
  <si>
    <t>Dual Variable</t>
  </si>
  <si>
    <t>Circuit 1</t>
  </si>
  <si>
    <t>Circuit 2</t>
  </si>
  <si>
    <t>Tandem/Single</t>
  </si>
  <si>
    <t>Variable/Single</t>
  </si>
  <si>
    <t>Variable/Tandem</t>
  </si>
  <si>
    <t>Capacity</t>
  </si>
  <si>
    <t>Compressor Tyle</t>
  </si>
  <si>
    <t>Compressor</t>
  </si>
  <si>
    <t>Single</t>
  </si>
  <si>
    <t>Tandem</t>
  </si>
  <si>
    <t>Variable</t>
  </si>
  <si>
    <t>HLH061T</t>
  </si>
  <si>
    <t>DSH120A</t>
  </si>
  <si>
    <t>DSH184A</t>
  </si>
  <si>
    <t>DSH090A</t>
  </si>
  <si>
    <t>DSH240A</t>
  </si>
  <si>
    <t>DSH381A</t>
  </si>
  <si>
    <t>DSH295A</t>
  </si>
  <si>
    <t>DSH140A</t>
  </si>
  <si>
    <t>DSH485A</t>
  </si>
  <si>
    <t>Single Single</t>
  </si>
  <si>
    <t>VZH065</t>
  </si>
  <si>
    <t>VZH117</t>
  </si>
  <si>
    <t>VZH088</t>
  </si>
  <si>
    <t>ZVH088</t>
  </si>
  <si>
    <t>VZH170</t>
  </si>
  <si>
    <t>0 - No Compressors - Condenser</t>
  </si>
  <si>
    <t>5152A-01</t>
  </si>
  <si>
    <t>5315A-01</t>
  </si>
  <si>
    <t>Compressor Model</t>
  </si>
  <si>
    <t>Compressor LRA</t>
  </si>
  <si>
    <t>Compressor RLA</t>
  </si>
  <si>
    <t>DSH090A3</t>
  </si>
  <si>
    <t>DSH090A4</t>
  </si>
  <si>
    <t>DSH090A7</t>
  </si>
  <si>
    <t>VZH088-J</t>
  </si>
  <si>
    <t>VZH088-G</t>
  </si>
  <si>
    <t>VZH088-H</t>
  </si>
  <si>
    <t>VZH117-J</t>
  </si>
  <si>
    <t>VZH117-G</t>
  </si>
  <si>
    <t>VZH117-H</t>
  </si>
  <si>
    <t>HLH061T2</t>
  </si>
  <si>
    <t>HLH061T4</t>
  </si>
  <si>
    <t>VZH170-J</t>
  </si>
  <si>
    <t>VZH170-G</t>
  </si>
  <si>
    <t>VZH170-H</t>
  </si>
  <si>
    <t>Max Fuse Calc</t>
  </si>
  <si>
    <t>Comp Model</t>
  </si>
  <si>
    <t>Comp Capacity</t>
  </si>
  <si>
    <t>Comp Name</t>
  </si>
  <si>
    <t>Circuit Type</t>
  </si>
  <si>
    <t>Industry Standard sizes for Fuses</t>
  </si>
  <si>
    <t>Rec Fuse Calc</t>
  </si>
  <si>
    <t>Unit</t>
  </si>
  <si>
    <t>010 SE</t>
  </si>
  <si>
    <t>015 SE</t>
  </si>
  <si>
    <t>020 SE</t>
  </si>
  <si>
    <t>025 SE</t>
  </si>
  <si>
    <t>030 SE</t>
  </si>
  <si>
    <t>030 HE</t>
  </si>
  <si>
    <t>040 SE</t>
  </si>
  <si>
    <t>050 SE</t>
  </si>
  <si>
    <t>050 HE</t>
  </si>
  <si>
    <t>060 SE</t>
  </si>
  <si>
    <t>060 HE</t>
  </si>
  <si>
    <t>070 SE</t>
  </si>
  <si>
    <t>080 SE</t>
  </si>
  <si>
    <t>Fan Count</t>
  </si>
  <si>
    <t>025 HE</t>
  </si>
  <si>
    <t>Unit Fans</t>
  </si>
  <si>
    <t>Fan FLA</t>
  </si>
  <si>
    <t>Added Fuse Calculations to ACCA Nameplate</t>
  </si>
  <si>
    <t>-J</t>
  </si>
  <si>
    <t>-G</t>
  </si>
  <si>
    <t>-H</t>
  </si>
  <si>
    <t>5320A-01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</si>
</sst>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/dd/yy;@"/>
    <numFmt numFmtId="165" formatCode="#,##0.0_);\(#,##0.0\)"/>
    <numFmt numFmtId="166" formatCode="m/d/yy;@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0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50"/>
      <name val="Calibri"/>
      <family val="2"/>
      <scheme val="minor"/>
    </font>
    <font>
      <sz val="11"/>
      <color rgb="FF000050"/>
      <name val="Calibri"/>
      <family val="2"/>
      <scheme val="minor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gray0625">
        <bgColor rgb="FFCCFFCC"/>
      </patternFill>
    </fill>
    <fill>
      <patternFill patternType="solid">
        <fgColor rgb="FFCCFFFF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69">
    <xf numFmtId="0" fontId="0" fillId="0" borderId="0" xfId="0"/>
    <xf numFmtId="0" fontId="0" fillId="0" borderId="0" xfId="0" applyAlignment="1">
      <alignment horizontal="right"/>
    </xf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0" fillId="0" borderId="0" xfId="0" applyAlignment="1"/>
    <xf numFmtId="0" fontId="1" fillId="0" borderId="2" xfId="0" applyFont="1" applyBorder="1" applyAlignment="1" applyProtection="1">
      <alignment horizontal="left"/>
      <protection locked="0"/>
    </xf>
    <xf numFmtId="0" fontId="0" fillId="0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1" xfId="0" applyFill="1" applyBorder="1"/>
    <xf numFmtId="0" fontId="0" fillId="0" borderId="12" xfId="0" applyFill="1" applyBorder="1"/>
    <xf numFmtId="0" fontId="0" fillId="0" borderId="12" xfId="0" applyFill="1" applyBorder="1" applyAlignment="1">
      <alignment horizontal="left"/>
    </xf>
    <xf numFmtId="0" fontId="0" fillId="0" borderId="13" xfId="0" applyBorder="1"/>
    <xf numFmtId="0" fontId="2" fillId="0" borderId="0" xfId="0" applyFont="1" applyAlignment="1">
      <alignment horizontal="right" vertic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7" xfId="0" applyBorder="1"/>
    <xf numFmtId="0" fontId="0" fillId="0" borderId="14" xfId="0" applyFill="1" applyBorder="1" applyAlignment="1">
      <alignment horizontal="center" wrapText="1"/>
    </xf>
    <xf numFmtId="0" fontId="0" fillId="0" borderId="17" xfId="0" applyBorder="1" applyAlignment="1">
      <alignment vertical="center"/>
    </xf>
    <xf numFmtId="14" fontId="0" fillId="0" borderId="15" xfId="0" applyNumberFormat="1" applyBorder="1" applyAlignment="1">
      <alignment vertical="center"/>
    </xf>
    <xf numFmtId="14" fontId="0" fillId="0" borderId="16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7" xfId="0" applyFill="1" applyBorder="1"/>
    <xf numFmtId="0" fontId="0" fillId="0" borderId="6" xfId="0" applyFill="1" applyBorder="1"/>
    <xf numFmtId="0" fontId="0" fillId="0" borderId="10" xfId="0" applyFill="1" applyBorder="1"/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Border="1"/>
    <xf numFmtId="0" fontId="3" fillId="0" borderId="0" xfId="0" applyFont="1"/>
    <xf numFmtId="0" fontId="1" fillId="0" borderId="0" xfId="0" applyFont="1" applyBorder="1" applyAlignment="1" applyProtection="1">
      <protection locked="0"/>
    </xf>
    <xf numFmtId="0" fontId="1" fillId="0" borderId="0" xfId="0" applyFont="1" applyAlignment="1">
      <alignment horizontal="center"/>
    </xf>
    <xf numFmtId="164" fontId="1" fillId="0" borderId="0" xfId="0" applyNumberFormat="1" applyFont="1" applyBorder="1" applyAlignment="1" applyProtection="1">
      <protection locked="0"/>
    </xf>
    <xf numFmtId="0" fontId="0" fillId="0" borderId="0" xfId="0" applyBorder="1" applyAlignment="1"/>
    <xf numFmtId="0" fontId="1" fillId="0" borderId="0" xfId="0" applyFont="1" applyBorder="1" applyAlignment="1"/>
    <xf numFmtId="0" fontId="0" fillId="0" borderId="0" xfId="0" applyNumberFormat="1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1" fillId="0" borderId="0" xfId="0" applyFont="1" applyBorder="1" applyAlignment="1" applyProtection="1">
      <alignment horizontal="right"/>
      <protection locked="0"/>
    </xf>
    <xf numFmtId="0" fontId="0" fillId="0" borderId="0" xfId="0" applyAlignment="1">
      <alignment horizontal="center"/>
    </xf>
    <xf numFmtId="0" fontId="1" fillId="0" borderId="1" xfId="0" applyFont="1" applyBorder="1" applyAlignment="1" applyProtection="1">
      <alignment horizontal="right"/>
      <protection locked="0"/>
    </xf>
    <xf numFmtId="0" fontId="0" fillId="0" borderId="10" xfId="0" applyFill="1" applyBorder="1" applyAlignment="1"/>
    <xf numFmtId="0" fontId="0" fillId="0" borderId="11" xfId="0" applyFill="1" applyBorder="1" applyAlignment="1"/>
    <xf numFmtId="0" fontId="0" fillId="0" borderId="10" xfId="0" applyFill="1" applyBorder="1" applyAlignment="1">
      <alignment horizontal="left"/>
    </xf>
    <xf numFmtId="14" fontId="0" fillId="0" borderId="22" xfId="0" applyNumberFormat="1" applyBorder="1" applyAlignment="1">
      <alignment vertical="center"/>
    </xf>
    <xf numFmtId="0" fontId="0" fillId="0" borderId="23" xfId="0" applyBorder="1" applyAlignment="1">
      <alignment horizontal="center" vertical="center"/>
    </xf>
    <xf numFmtId="0" fontId="0" fillId="0" borderId="23" xfId="0" applyBorder="1"/>
    <xf numFmtId="0" fontId="0" fillId="0" borderId="24" xfId="0" applyBorder="1" applyAlignment="1">
      <alignment vertical="center"/>
    </xf>
    <xf numFmtId="14" fontId="0" fillId="0" borderId="25" xfId="0" applyNumberFormat="1" applyBorder="1" applyAlignment="1">
      <alignment vertical="center"/>
    </xf>
    <xf numFmtId="0" fontId="0" fillId="0" borderId="13" xfId="0" applyBorder="1" applyAlignment="1">
      <alignment wrapText="1"/>
    </xf>
    <xf numFmtId="0" fontId="0" fillId="0" borderId="26" xfId="0" applyBorder="1" applyAlignment="1">
      <alignment vertical="center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 applyProtection="1">
      <alignment horizontal="left"/>
    </xf>
    <xf numFmtId="0" fontId="1" fillId="0" borderId="9" xfId="0" applyFont="1" applyBorder="1"/>
    <xf numFmtId="164" fontId="0" fillId="0" borderId="0" xfId="0" applyNumberFormat="1" applyBorder="1" applyAlignment="1"/>
    <xf numFmtId="164" fontId="0" fillId="0" borderId="0" xfId="0" applyNumberFormat="1"/>
    <xf numFmtId="164" fontId="1" fillId="0" borderId="3" xfId="0" applyNumberFormat="1" applyFont="1" applyBorder="1" applyAlignment="1" applyProtection="1">
      <alignment horizontal="left"/>
      <protection locked="0"/>
    </xf>
    <xf numFmtId="164" fontId="1" fillId="0" borderId="0" xfId="0" applyNumberFormat="1" applyFont="1"/>
    <xf numFmtId="164" fontId="1" fillId="0" borderId="0" xfId="0" applyNumberFormat="1" applyFont="1" applyBorder="1" applyAlignment="1" applyProtection="1">
      <alignment horizontal="center"/>
      <protection locked="0"/>
    </xf>
    <xf numFmtId="0" fontId="1" fillId="0" borderId="2" xfId="0" quotePrefix="1" applyFont="1" applyBorder="1" applyAlignment="1" applyProtection="1">
      <alignment horizontal="left"/>
      <protection locked="0"/>
    </xf>
    <xf numFmtId="0" fontId="0" fillId="0" borderId="13" xfId="0" applyBorder="1" applyAlignment="1">
      <alignment horizontal="center" vertical="center"/>
    </xf>
    <xf numFmtId="0" fontId="1" fillId="0" borderId="2" xfId="0" applyFont="1" applyBorder="1" applyAlignment="1" applyProtection="1">
      <protection locked="0"/>
    </xf>
    <xf numFmtId="0" fontId="1" fillId="0" borderId="3" xfId="0" applyFont="1" applyBorder="1" applyAlignment="1" applyProtection="1">
      <protection locked="0"/>
    </xf>
    <xf numFmtId="0" fontId="1" fillId="0" borderId="2" xfId="0" applyFont="1" applyBorder="1"/>
    <xf numFmtId="0" fontId="0" fillId="0" borderId="13" xfId="0" applyBorder="1" applyAlignment="1">
      <alignment horizontal="center" vertical="center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49" fontId="1" fillId="0" borderId="2" xfId="0" applyNumberFormat="1" applyFont="1" applyBorder="1" applyAlignment="1" applyProtection="1">
      <protection locked="0"/>
    </xf>
    <xf numFmtId="0" fontId="1" fillId="0" borderId="0" xfId="0" applyFont="1" applyAlignment="1"/>
    <xf numFmtId="49" fontId="0" fillId="0" borderId="0" xfId="0" applyNumberFormat="1" applyBorder="1"/>
    <xf numFmtId="0" fontId="0" fillId="0" borderId="1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vertic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7" fillId="0" borderId="12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1" fontId="0" fillId="5" borderId="10" xfId="0" applyNumberFormat="1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1" fontId="0" fillId="5" borderId="12" xfId="0" applyNumberForma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1" fontId="0" fillId="5" borderId="11" xfId="0" applyNumberForma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37" fontId="0" fillId="5" borderId="10" xfId="0" applyNumberFormat="1" applyFill="1" applyBorder="1" applyAlignment="1">
      <alignment horizontal="center" vertical="center"/>
    </xf>
    <xf numFmtId="37" fontId="0" fillId="5" borderId="12" xfId="0" applyNumberForma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37" fontId="0" fillId="5" borderId="17" xfId="0" applyNumberFormat="1" applyFill="1" applyBorder="1" applyAlignment="1">
      <alignment horizontal="center" vertical="center"/>
    </xf>
    <xf numFmtId="1" fontId="0" fillId="5" borderId="17" xfId="0" applyNumberFormat="1" applyFill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49" fontId="0" fillId="3" borderId="32" xfId="0" applyNumberFormat="1" applyFill="1" applyBorder="1" applyAlignment="1">
      <alignment horizontal="center" vertical="center"/>
    </xf>
    <xf numFmtId="49" fontId="0" fillId="3" borderId="15" xfId="0" applyNumberFormat="1" applyFill="1" applyBorder="1" applyAlignment="1">
      <alignment horizontal="center" vertical="center"/>
    </xf>
    <xf numFmtId="49" fontId="0" fillId="3" borderId="33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1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49" fontId="0" fillId="3" borderId="28" xfId="0" applyNumberFormat="1" applyFill="1" applyBorder="1" applyAlignment="1">
      <alignment horizontal="center" vertical="center"/>
    </xf>
    <xf numFmtId="49" fontId="0" fillId="3" borderId="7" xfId="0" applyNumberFormat="1" applyFill="1" applyBorder="1" applyAlignment="1">
      <alignment horizontal="center" vertical="center"/>
    </xf>
    <xf numFmtId="49" fontId="0" fillId="3" borderId="27" xfId="0" applyNumberFormat="1" applyFill="1" applyBorder="1" applyAlignment="1">
      <alignment horizontal="center" vertical="center"/>
    </xf>
    <xf numFmtId="49" fontId="0" fillId="3" borderId="34" xfId="0" applyNumberFormat="1" applyFill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2" fontId="0" fillId="5" borderId="36" xfId="0" applyNumberFormat="1" applyFill="1" applyBorder="1" applyAlignment="1">
      <alignment horizontal="center" vertical="center"/>
    </xf>
    <xf numFmtId="1" fontId="0" fillId="5" borderId="36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/>
    </xf>
    <xf numFmtId="0" fontId="0" fillId="0" borderId="10" xfId="0" applyBorder="1" applyAlignment="1">
      <alignment horizontal="center"/>
    </xf>
    <xf numFmtId="1" fontId="0" fillId="5" borderId="30" xfId="0" applyNumberFormat="1" applyFill="1" applyBorder="1" applyAlignment="1">
      <alignment horizontal="center" vertical="center"/>
    </xf>
    <xf numFmtId="0" fontId="0" fillId="0" borderId="45" xfId="0" applyBorder="1" applyAlignment="1">
      <alignment horizontal="center" vertical="center" wrapText="1"/>
    </xf>
    <xf numFmtId="1" fontId="0" fillId="5" borderId="46" xfId="0" applyNumberFormat="1" applyFill="1" applyBorder="1" applyAlignment="1">
      <alignment horizontal="center" vertical="center"/>
    </xf>
    <xf numFmtId="1" fontId="0" fillId="5" borderId="35" xfId="0" applyNumberFormat="1" applyFill="1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165" fontId="0" fillId="4" borderId="0" xfId="0" applyNumberFormat="1" applyFill="1" applyBorder="1" applyAlignment="1">
      <alignment horizontal="center" vertical="center"/>
    </xf>
    <xf numFmtId="165" fontId="0" fillId="4" borderId="7" xfId="0" applyNumberFormat="1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37" fontId="0" fillId="7" borderId="0" xfId="0" applyNumberFormat="1" applyFill="1" applyBorder="1" applyAlignment="1">
      <alignment horizontal="center" vertical="center"/>
    </xf>
    <xf numFmtId="37" fontId="0" fillId="7" borderId="7" xfId="0" applyNumberFormat="1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37" fontId="0" fillId="7" borderId="9" xfId="0" applyNumberFormat="1" applyFill="1" applyBorder="1" applyAlignment="1">
      <alignment horizontal="center" vertical="center"/>
    </xf>
    <xf numFmtId="37" fontId="0" fillId="7" borderId="27" xfId="0" applyNumberFormat="1" applyFill="1" applyBorder="1" applyAlignment="1">
      <alignment horizontal="center" vertical="center"/>
    </xf>
    <xf numFmtId="1" fontId="0" fillId="0" borderId="13" xfId="0" applyNumberFormat="1" applyBorder="1" applyAlignment="1">
      <alignment horizontal="center"/>
    </xf>
    <xf numFmtId="0" fontId="5" fillId="0" borderId="8" xfId="0" applyFont="1" applyBorder="1" applyAlignment="1">
      <alignment horizontal="center" vertical="center"/>
    </xf>
    <xf numFmtId="165" fontId="0" fillId="0" borderId="9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165" fontId="0" fillId="0" borderId="0" xfId="0" applyNumberFormat="1" applyFont="1" applyBorder="1" applyAlignment="1">
      <alignment horizontal="center" vertical="center" wrapText="1"/>
    </xf>
    <xf numFmtId="165" fontId="0" fillId="0" borderId="27" xfId="0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/>
    <xf numFmtId="0" fontId="0" fillId="0" borderId="47" xfId="0" applyBorder="1" applyAlignment="1">
      <alignment horizontal="right"/>
    </xf>
    <xf numFmtId="0" fontId="0" fillId="0" borderId="48" xfId="0" applyBorder="1" applyAlignment="1"/>
    <xf numFmtId="0" fontId="0" fillId="0" borderId="49" xfId="0" applyBorder="1" applyAlignment="1">
      <alignment horizontal="right"/>
    </xf>
    <xf numFmtId="49" fontId="0" fillId="0" borderId="50" xfId="0" applyNumberFormat="1" applyBorder="1"/>
    <xf numFmtId="0" fontId="0" fillId="0" borderId="50" xfId="0" applyBorder="1"/>
    <xf numFmtId="0" fontId="0" fillId="0" borderId="51" xfId="0" applyBorder="1"/>
    <xf numFmtId="0" fontId="0" fillId="0" borderId="13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54" xfId="0" applyBorder="1"/>
    <xf numFmtId="0" fontId="0" fillId="0" borderId="53" xfId="0" applyBorder="1" applyAlignment="1">
      <alignment horizontal="right"/>
    </xf>
    <xf numFmtId="0" fontId="0" fillId="0" borderId="54" xfId="0" applyBorder="1" applyAlignment="1">
      <alignment horizontal="right"/>
    </xf>
    <xf numFmtId="1" fontId="0" fillId="5" borderId="26" xfId="0" applyNumberFormat="1" applyFill="1" applyBorder="1" applyAlignment="1">
      <alignment horizontal="center" vertical="center"/>
    </xf>
    <xf numFmtId="1" fontId="0" fillId="5" borderId="55" xfId="0" applyNumberFormat="1" applyFill="1" applyBorder="1" applyAlignment="1">
      <alignment horizontal="center" vertical="center"/>
    </xf>
    <xf numFmtId="0" fontId="0" fillId="0" borderId="8" xfId="0" quotePrefix="1" applyBorder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14" fillId="0" borderId="52" xfId="0" applyFont="1" applyBorder="1" applyAlignment="1">
      <alignment horizontal="right"/>
    </xf>
    <xf numFmtId="0" fontId="14" fillId="0" borderId="53" xfId="0" applyFont="1" applyBorder="1" applyAlignment="1">
      <alignment horizontal="right"/>
    </xf>
    <xf numFmtId="37" fontId="14" fillId="7" borderId="0" xfId="0" applyNumberFormat="1" applyFont="1" applyFill="1" applyBorder="1" applyAlignment="1">
      <alignment horizontal="center" vertical="center"/>
    </xf>
    <xf numFmtId="37" fontId="14" fillId="7" borderId="9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horizontal="right" vertical="top" wrapText="1"/>
    </xf>
    <xf numFmtId="0" fontId="0" fillId="0" borderId="13" xfId="0" applyBorder="1" applyAlignment="1">
      <alignment horizontal="center" vertical="center"/>
    </xf>
    <xf numFmtId="0" fontId="0" fillId="0" borderId="0" xfId="0"/>
    <xf numFmtId="49" fontId="0" fillId="0" borderId="10" xfId="0" applyNumberFormat="1" applyBorder="1" applyAlignment="1">
      <alignment horizontal="center"/>
    </xf>
    <xf numFmtId="49" fontId="0" fillId="0" borderId="12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right"/>
    </xf>
    <xf numFmtId="0" fontId="0" fillId="0" borderId="57" xfId="0" applyBorder="1" applyAlignment="1">
      <alignment horizontal="center"/>
    </xf>
    <xf numFmtId="0" fontId="0" fillId="0" borderId="0" xfId="0"/>
    <xf numFmtId="0" fontId="0" fillId="3" borderId="2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1" fontId="0" fillId="4" borderId="10" xfId="0" applyNumberFormat="1" applyFill="1" applyBorder="1" applyAlignment="1">
      <alignment horizontal="center" vertical="center"/>
    </xf>
    <xf numFmtId="1" fontId="0" fillId="4" borderId="12" xfId="0" applyNumberFormat="1" applyFill="1" applyBorder="1" applyAlignment="1">
      <alignment horizontal="center" vertical="center"/>
    </xf>
    <xf numFmtId="1" fontId="0" fillId="4" borderId="11" xfId="0" applyNumberFormat="1" applyFill="1" applyBorder="1" applyAlignment="1">
      <alignment horizontal="center" vertical="center"/>
    </xf>
    <xf numFmtId="0" fontId="0" fillId="3" borderId="32" xfId="0" applyNumberFormat="1" applyFill="1" applyBorder="1" applyAlignment="1">
      <alignment horizontal="center" vertical="center"/>
    </xf>
    <xf numFmtId="0" fontId="0" fillId="3" borderId="15" xfId="0" applyNumberFormat="1" applyFill="1" applyBorder="1" applyAlignment="1">
      <alignment horizontal="center" vertical="center"/>
    </xf>
    <xf numFmtId="0" fontId="0" fillId="3" borderId="33" xfId="0" applyNumberFormat="1" applyFill="1" applyBorder="1" applyAlignment="1">
      <alignment horizontal="center" vertical="center"/>
    </xf>
    <xf numFmtId="1" fontId="0" fillId="2" borderId="10" xfId="0" applyNumberFormat="1" applyFill="1" applyBorder="1" applyAlignment="1">
      <alignment horizontal="center" vertical="center"/>
    </xf>
    <xf numFmtId="1" fontId="0" fillId="2" borderId="12" xfId="0" applyNumberFormat="1" applyFill="1" applyBorder="1" applyAlignment="1">
      <alignment horizontal="center" vertical="center"/>
    </xf>
    <xf numFmtId="1" fontId="0" fillId="2" borderId="11" xfId="0" applyNumberFormat="1" applyFill="1" applyBorder="1" applyAlignment="1">
      <alignment horizontal="center" vertical="center"/>
    </xf>
    <xf numFmtId="1" fontId="0" fillId="2" borderId="17" xfId="0" applyNumberFormat="1" applyFill="1" applyBorder="1" applyAlignment="1">
      <alignment horizontal="center" vertical="center"/>
    </xf>
    <xf numFmtId="1" fontId="0" fillId="0" borderId="0" xfId="0" applyNumberFormat="1"/>
    <xf numFmtId="0" fontId="5" fillId="0" borderId="4" xfId="0" applyFont="1" applyBorder="1" applyAlignment="1">
      <alignment horizontal="right" vertical="top" wrapText="1"/>
    </xf>
    <xf numFmtId="0" fontId="0" fillId="0" borderId="0" xfId="0" applyBorder="1" applyAlignment="1">
      <alignment vertical="top" wrapText="1"/>
    </xf>
    <xf numFmtId="0" fontId="0" fillId="0" borderId="24" xfId="0" applyBorder="1" applyAlignment="1">
      <alignment horizontal="center" vertical="center" wrapText="1"/>
    </xf>
    <xf numFmtId="0" fontId="1" fillId="0" borderId="0" xfId="0" applyFont="1" applyProtection="1"/>
    <xf numFmtId="0" fontId="1" fillId="0" borderId="0" xfId="0" applyFont="1" applyBorder="1" applyAlignment="1" applyProtection="1">
      <alignment horizontal="center"/>
      <protection locked="0"/>
    </xf>
    <xf numFmtId="0" fontId="0" fillId="0" borderId="0" xfId="0"/>
    <xf numFmtId="0" fontId="1" fillId="0" borderId="0" xfId="0" applyFont="1" applyAlignment="1">
      <alignment horizontal="right"/>
    </xf>
    <xf numFmtId="0" fontId="1" fillId="0" borderId="2" xfId="0" applyNumberFormat="1" applyFont="1" applyBorder="1" applyAlignment="1" applyProtection="1">
      <protection locked="0"/>
    </xf>
    <xf numFmtId="0" fontId="0" fillId="0" borderId="37" xfId="0" applyBorder="1" applyAlignment="1">
      <alignment horizontal="center"/>
    </xf>
    <xf numFmtId="0" fontId="0" fillId="0" borderId="58" xfId="0" applyBorder="1"/>
    <xf numFmtId="1" fontId="0" fillId="5" borderId="40" xfId="0" applyNumberFormat="1" applyFill="1" applyBorder="1" applyAlignment="1">
      <alignment horizontal="center" vertical="center"/>
    </xf>
    <xf numFmtId="1" fontId="0" fillId="5" borderId="41" xfId="0" applyNumberFormat="1" applyFill="1" applyBorder="1" applyAlignment="1">
      <alignment horizontal="center" vertical="center"/>
    </xf>
    <xf numFmtId="2" fontId="0" fillId="5" borderId="59" xfId="0" applyNumberFormat="1" applyFill="1" applyBorder="1" applyAlignment="1">
      <alignment horizontal="center" vertical="center"/>
    </xf>
    <xf numFmtId="1" fontId="0" fillId="5" borderId="59" xfId="0" applyNumberFormat="1" applyFill="1" applyBorder="1" applyAlignment="1">
      <alignment horizontal="center" vertical="center"/>
    </xf>
    <xf numFmtId="1" fontId="0" fillId="5" borderId="60" xfId="0" applyNumberFormat="1" applyFill="1" applyBorder="1" applyAlignment="1">
      <alignment horizontal="center" vertical="center"/>
    </xf>
    <xf numFmtId="1" fontId="0" fillId="5" borderId="42" xfId="0" applyNumberFormat="1" applyFill="1" applyBorder="1" applyAlignment="1">
      <alignment horizontal="center" vertical="center"/>
    </xf>
    <xf numFmtId="0" fontId="0" fillId="0" borderId="0" xfId="0"/>
    <xf numFmtId="1" fontId="0" fillId="5" borderId="6" xfId="0" applyNumberFormat="1" applyFill="1" applyBorder="1" applyAlignment="1">
      <alignment horizontal="center" vertical="center"/>
    </xf>
    <xf numFmtId="49" fontId="0" fillId="3" borderId="10" xfId="0" applyNumberFormat="1" applyFill="1" applyBorder="1" applyAlignment="1">
      <alignment horizontal="center" vertical="center"/>
    </xf>
    <xf numFmtId="49" fontId="0" fillId="3" borderId="16" xfId="0" applyNumberFormat="1" applyFill="1" applyBorder="1" applyAlignment="1">
      <alignment horizontal="center" vertical="center"/>
    </xf>
    <xf numFmtId="1" fontId="0" fillId="5" borderId="61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5" borderId="62" xfId="0" applyNumberFormat="1" applyFill="1" applyBorder="1" applyAlignment="1">
      <alignment horizontal="center" vertical="center"/>
    </xf>
    <xf numFmtId="1" fontId="0" fillId="5" borderId="21" xfId="0" applyNumberFormat="1" applyFill="1" applyBorder="1" applyAlignment="1">
      <alignment horizontal="center" vertical="center"/>
    </xf>
    <xf numFmtId="1" fontId="0" fillId="5" borderId="63" xfId="0" applyNumberFormat="1" applyFill="1" applyBorder="1" applyAlignment="1">
      <alignment horizontal="center" vertical="center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0" fillId="0" borderId="0" xfId="0"/>
    <xf numFmtId="0" fontId="1" fillId="0" borderId="3" xfId="0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left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0" xfId="0"/>
    <xf numFmtId="0" fontId="0" fillId="0" borderId="0" xfId="0" applyBorder="1" applyAlignment="1">
      <alignment horizontal="left" vertical="center"/>
    </xf>
    <xf numFmtId="0" fontId="0" fillId="0" borderId="64" xfId="0" applyBorder="1"/>
    <xf numFmtId="0" fontId="0" fillId="0" borderId="65" xfId="0" applyBorder="1" applyAlignment="1">
      <alignment horizontal="right"/>
    </xf>
    <xf numFmtId="0" fontId="0" fillId="0" borderId="19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1" fontId="0" fillId="5" borderId="66" xfId="0" applyNumberForma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Fill="1" applyBorder="1" applyAlignment="1">
      <alignment horizontal="center" vertical="center"/>
    </xf>
    <xf numFmtId="0" fontId="0" fillId="0" borderId="67" xfId="0" applyBorder="1"/>
    <xf numFmtId="0" fontId="0" fillId="0" borderId="67" xfId="0" applyBorder="1" applyAlignment="1">
      <alignment horizontal="center" vertical="center"/>
    </xf>
    <xf numFmtId="0" fontId="0" fillId="0" borderId="67" xfId="0" applyFill="1" applyBorder="1"/>
    <xf numFmtId="0" fontId="0" fillId="0" borderId="68" xfId="0" applyFill="1" applyBorder="1"/>
    <xf numFmtId="0" fontId="0" fillId="0" borderId="68" xfId="0" applyBorder="1"/>
    <xf numFmtId="0" fontId="0" fillId="0" borderId="69" xfId="0" applyBorder="1"/>
    <xf numFmtId="0" fontId="0" fillId="0" borderId="69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 wrapText="1"/>
    </xf>
    <xf numFmtId="0" fontId="0" fillId="0" borderId="68" xfId="0" applyBorder="1" applyAlignment="1">
      <alignment horizontal="center" vertical="center"/>
    </xf>
    <xf numFmtId="0" fontId="0" fillId="0" borderId="0" xfId="0"/>
    <xf numFmtId="0" fontId="0" fillId="0" borderId="0" xfId="0" applyBorder="1" applyAlignment="1">
      <alignment horizontal="center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0" xfId="0" applyFont="1" applyBorder="1" applyAlignment="1" applyProtection="1">
      <alignment horizontal="center"/>
      <protection locked="0"/>
    </xf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/>
    <xf numFmtId="0" fontId="1" fillId="0" borderId="1" xfId="0" applyFont="1" applyBorder="1" applyAlignment="1" applyProtection="1">
      <protection locked="0"/>
    </xf>
    <xf numFmtId="0" fontId="1" fillId="0" borderId="2" xfId="0" quotePrefix="1" applyFont="1" applyBorder="1" applyAlignment="1" applyProtection="1">
      <protection locked="0"/>
    </xf>
    <xf numFmtId="0" fontId="1" fillId="0" borderId="0" xfId="0" applyFont="1" applyFill="1" applyBorder="1" applyAlignment="1" applyProtection="1">
      <protection locked="0"/>
    </xf>
    <xf numFmtId="49" fontId="0" fillId="0" borderId="10" xfId="0" applyNumberFormat="1" applyBorder="1"/>
    <xf numFmtId="49" fontId="0" fillId="0" borderId="12" xfId="0" applyNumberFormat="1" applyBorder="1"/>
    <xf numFmtId="0" fontId="0" fillId="0" borderId="10" xfId="0" applyBorder="1" applyAlignment="1">
      <alignment wrapText="1"/>
    </xf>
    <xf numFmtId="0" fontId="0" fillId="0" borderId="12" xfId="0" applyFill="1" applyBorder="1" applyAlignment="1">
      <alignment wrapText="1"/>
    </xf>
    <xf numFmtId="0" fontId="0" fillId="0" borderId="10" xfId="0" applyFill="1" applyBorder="1" applyAlignment="1">
      <alignment wrapText="1"/>
    </xf>
    <xf numFmtId="0" fontId="0" fillId="0" borderId="0" xfId="0"/>
    <xf numFmtId="0" fontId="7" fillId="0" borderId="0" xfId="0" applyFont="1" applyBorder="1" applyAlignment="1">
      <alignment vertical="top" wrapText="1"/>
    </xf>
    <xf numFmtId="0" fontId="5" fillId="0" borderId="13" xfId="0" applyFont="1" applyBorder="1" applyAlignment="1">
      <alignment horizontal="center" vertical="top" wrapText="1"/>
    </xf>
    <xf numFmtId="0" fontId="0" fillId="0" borderId="0" xfId="0" applyAlignment="1">
      <alignment horizontal="left"/>
    </xf>
    <xf numFmtId="0" fontId="0" fillId="0" borderId="39" xfId="0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14" fontId="0" fillId="0" borderId="25" xfId="0" applyNumberFormat="1" applyBorder="1" applyAlignment="1">
      <alignment horizontal="center" vertical="center"/>
    </xf>
    <xf numFmtId="166" fontId="1" fillId="0" borderId="1" xfId="0" applyNumberFormat="1" applyFont="1" applyBorder="1" applyAlignment="1" applyProtection="1">
      <alignment horizontal="center"/>
    </xf>
    <xf numFmtId="166" fontId="1" fillId="0" borderId="2" xfId="0" applyNumberFormat="1" applyFont="1" applyBorder="1" applyAlignment="1" applyProtection="1">
      <alignment horizontal="center"/>
    </xf>
    <xf numFmtId="166" fontId="1" fillId="0" borderId="3" xfId="0" applyNumberFormat="1" applyFont="1" applyBorder="1" applyAlignment="1" applyProtection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right" vertical="center" textRotation="90"/>
    </xf>
    <xf numFmtId="0" fontId="1" fillId="0" borderId="7" xfId="0" applyFont="1" applyBorder="1" applyAlignment="1">
      <alignment horizontal="right" vertical="center" textRotation="90"/>
    </xf>
    <xf numFmtId="0" fontId="1" fillId="0" borderId="1" xfId="0" applyFont="1" applyBorder="1" applyAlignment="1" applyProtection="1">
      <alignment horizontal="center"/>
    </xf>
    <xf numFmtId="0" fontId="1" fillId="0" borderId="2" xfId="0" applyFont="1" applyBorder="1" applyAlignment="1" applyProtection="1">
      <alignment horizontal="center"/>
    </xf>
    <xf numFmtId="0" fontId="1" fillId="0" borderId="3" xfId="0" applyFont="1" applyBorder="1" applyAlignment="1" applyProtection="1">
      <alignment horizontal="center"/>
    </xf>
    <xf numFmtId="0" fontId="1" fillId="0" borderId="0" xfId="0" applyFont="1" applyBorder="1" applyAlignment="1" applyProtection="1">
      <alignment horizontal="center"/>
      <protection locked="0"/>
    </xf>
    <xf numFmtId="1" fontId="1" fillId="0" borderId="1" xfId="0" applyNumberFormat="1" applyFont="1" applyBorder="1" applyAlignment="1" applyProtection="1">
      <alignment horizontal="center"/>
    </xf>
    <xf numFmtId="2" fontId="1" fillId="0" borderId="1" xfId="0" applyNumberFormat="1" applyFont="1" applyBorder="1" applyAlignment="1" applyProtection="1">
      <alignment horizontal="center"/>
    </xf>
    <xf numFmtId="0" fontId="1" fillId="0" borderId="1" xfId="0" applyFont="1" applyBorder="1" applyAlignment="1" applyProtection="1">
      <alignment horizontal="center"/>
      <protection locked="0"/>
    </xf>
    <xf numFmtId="0" fontId="1" fillId="0" borderId="2" xfId="0" applyFont="1" applyBorder="1" applyAlignment="1" applyProtection="1">
      <alignment horizontal="center"/>
      <protection locked="0"/>
    </xf>
    <xf numFmtId="0" fontId="1" fillId="0" borderId="3" xfId="0" applyFont="1" applyBorder="1" applyAlignment="1" applyProtection="1">
      <alignment horizontal="center"/>
      <protection locked="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7" xfId="0" applyFont="1" applyBorder="1" applyAlignment="1">
      <alignment horizontal="right"/>
    </xf>
    <xf numFmtId="1" fontId="1" fillId="0" borderId="1" xfId="0" applyNumberFormat="1" applyFont="1" applyFill="1" applyBorder="1" applyAlignment="1" applyProtection="1">
      <alignment horizontal="center"/>
    </xf>
    <xf numFmtId="0" fontId="1" fillId="0" borderId="2" xfId="0" applyFont="1" applyFill="1" applyBorder="1" applyAlignment="1" applyProtection="1">
      <alignment horizontal="center"/>
    </xf>
    <xf numFmtId="0" fontId="1" fillId="0" borderId="3" xfId="0" applyFont="1" applyFill="1" applyBorder="1" applyAlignment="1" applyProtection="1">
      <alignment horizontal="center"/>
    </xf>
    <xf numFmtId="0" fontId="1" fillId="0" borderId="1" xfId="0" applyFont="1" applyFill="1" applyBorder="1" applyAlignment="1" applyProtection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2" xfId="0" applyNumberFormat="1" applyFont="1" applyBorder="1" applyAlignment="1" applyProtection="1">
      <alignment horizontal="center"/>
    </xf>
    <xf numFmtId="1" fontId="1" fillId="0" borderId="3" xfId="0" applyNumberFormat="1" applyFont="1" applyBorder="1" applyAlignment="1" applyProtection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5" borderId="40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49" fontId="0" fillId="0" borderId="40" xfId="0" applyNumberFormat="1" applyFill="1" applyBorder="1" applyAlignment="1">
      <alignment horizontal="center" vertical="center"/>
    </xf>
    <xf numFmtId="49" fontId="0" fillId="0" borderId="41" xfId="0" applyNumberFormat="1" applyFill="1" applyBorder="1" applyAlignment="1">
      <alignment horizontal="center" vertical="center"/>
    </xf>
    <xf numFmtId="49" fontId="0" fillId="0" borderId="42" xfId="0" applyNumberFormat="1" applyFill="1" applyBorder="1" applyAlignment="1">
      <alignment horizontal="center" vertical="center"/>
    </xf>
    <xf numFmtId="0" fontId="0" fillId="0" borderId="0" xfId="0"/>
    <xf numFmtId="14" fontId="1" fillId="0" borderId="1" xfId="0" applyNumberFormat="1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0" fontId="8" fillId="0" borderId="29" xfId="0" applyFont="1" applyBorder="1" applyAlignment="1">
      <alignment horizontal="center"/>
    </xf>
    <xf numFmtId="0" fontId="7" fillId="0" borderId="5" xfId="0" applyFont="1" applyBorder="1" applyAlignment="1">
      <alignment horizontal="left" vertical="top" wrapText="1"/>
    </xf>
    <xf numFmtId="0" fontId="7" fillId="0" borderId="28" xfId="0" applyFont="1" applyBorder="1" applyAlignment="1">
      <alignment horizontal="left" vertical="top" wrapText="1"/>
    </xf>
    <xf numFmtId="0" fontId="7" fillId="0" borderId="0" xfId="0" applyFont="1" applyBorder="1" applyAlignment="1">
      <alignment horizontal="left" vertical="top" wrapText="1"/>
    </xf>
    <xf numFmtId="0" fontId="7" fillId="0" borderId="7" xfId="0" applyFont="1" applyBorder="1" applyAlignment="1">
      <alignment horizontal="left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27" xfId="0" applyFont="1" applyBorder="1" applyAlignment="1">
      <alignment horizontal="left" vertical="top" wrapText="1"/>
    </xf>
    <xf numFmtId="49" fontId="12" fillId="3" borderId="37" xfId="0" applyNumberFormat="1" applyFont="1" applyFill="1" applyBorder="1" applyAlignment="1">
      <alignment horizontal="center" vertical="center"/>
    </xf>
    <xf numFmtId="49" fontId="12" fillId="3" borderId="54" xfId="0" applyNumberFormat="1" applyFont="1" applyFill="1" applyBorder="1" applyAlignment="1">
      <alignment horizontal="center" vertical="center"/>
    </xf>
    <xf numFmtId="0" fontId="5" fillId="0" borderId="29" xfId="0" applyFont="1" applyBorder="1" applyAlignment="1">
      <alignment horizontal="center"/>
    </xf>
    <xf numFmtId="0" fontId="0" fillId="0" borderId="0" xfId="0" applyBorder="1" applyAlignment="1">
      <alignment horizontal="center"/>
    </xf>
    <xf numFmtId="49" fontId="12" fillId="3" borderId="37" xfId="0" applyNumberFormat="1" applyFont="1" applyFill="1" applyBorder="1" applyAlignment="1">
      <alignment horizontal="center" vertical="center" wrapText="1"/>
    </xf>
    <xf numFmtId="49" fontId="12" fillId="3" borderId="38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44" xfId="0" applyBorder="1" applyAlignment="1">
      <alignment horizontal="center" vertical="center" wrapText="1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 vertical="center" wrapText="1"/>
    </xf>
    <xf numFmtId="0" fontId="11" fillId="6" borderId="56" xfId="0" applyFont="1" applyFill="1" applyBorder="1" applyAlignment="1">
      <alignment horizontal="center" vertical="center"/>
    </xf>
    <xf numFmtId="0" fontId="11" fillId="6" borderId="20" xfId="0" applyFont="1" applyFill="1" applyBorder="1" applyAlignment="1">
      <alignment horizontal="center" vertical="center"/>
    </xf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0" xfId="0" applyFont="1" applyAlignment="1">
      <alignment horizontal="center" vertical="center" textRotation="90"/>
    </xf>
    <xf numFmtId="1" fontId="1" fillId="0" borderId="1" xfId="0" applyNumberFormat="1" applyFont="1" applyBorder="1" applyAlignment="1" applyProtection="1">
      <alignment horizontal="center"/>
      <protection locked="0"/>
    </xf>
    <xf numFmtId="1" fontId="1" fillId="0" borderId="2" xfId="0" applyNumberFormat="1" applyFont="1" applyBorder="1" applyAlignment="1" applyProtection="1">
      <alignment horizontal="center"/>
      <protection locked="0"/>
    </xf>
    <xf numFmtId="1" fontId="1" fillId="0" borderId="3" xfId="0" applyNumberFormat="1" applyFont="1" applyBorder="1" applyAlignment="1" applyProtection="1">
      <alignment horizontal="center"/>
      <protection locked="0"/>
    </xf>
    <xf numFmtId="0" fontId="0" fillId="0" borderId="10" xfId="0" applyFont="1" applyBorder="1" applyAlignment="1">
      <alignment horizontal="center" vertical="top" wrapText="1"/>
    </xf>
    <xf numFmtId="0" fontId="0" fillId="0" borderId="12" xfId="0" applyFont="1" applyBorder="1" applyAlignment="1">
      <alignment horizontal="center" vertical="top" wrapText="1"/>
    </xf>
    <xf numFmtId="0" fontId="0" fillId="0" borderId="1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/>
    </xf>
    <xf numFmtId="1" fontId="0" fillId="0" borderId="20" xfId="0" applyNumberFormat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5" xfId="0" applyFill="1" applyBorder="1" applyAlignment="1">
      <alignment horizontal="center"/>
    </xf>
    <xf numFmtId="1" fontId="0" fillId="0" borderId="20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1" fontId="0" fillId="0" borderId="21" xfId="0" applyNumberFormat="1" applyFill="1" applyBorder="1" applyAlignment="1">
      <alignment horizontal="center"/>
    </xf>
    <xf numFmtId="0" fontId="0" fillId="0" borderId="66" xfId="0" applyBorder="1" applyAlignment="1">
      <alignment horizontal="center" vertical="center" wrapText="1"/>
    </xf>
    <xf numFmtId="0" fontId="0" fillId="0" borderId="59" xfId="0" applyBorder="1" applyAlignment="1">
      <alignment horizontal="center" vertical="center" wrapText="1"/>
    </xf>
    <xf numFmtId="0" fontId="0" fillId="0" borderId="70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" fontId="0" fillId="5" borderId="70" xfId="0" applyNumberForma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" fontId="1" fillId="0" borderId="1" xfId="0" applyNumberFormat="1" applyFont="1" applyFill="1" applyBorder="1" applyAlignment="1" applyProtection="1">
      <alignment horizontal="center"/>
      <protection locked="0"/>
    </xf>
    <xf numFmtId="0" fontId="0" fillId="3" borderId="61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0" fillId="0" borderId="0" xfId="0" quotePrefix="1"/>
    <xf numFmtId="0" fontId="0" fillId="0" borderId="0" xfId="0" quotePrefix="1" applyFill="1" applyBorder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8.jp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4" Type="http://schemas.openxmlformats.org/officeDocument/2006/relationships/image" Target="../media/image12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5" Type="http://schemas.openxmlformats.org/officeDocument/2006/relationships/image" Target="../media/image17.emf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20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9.png"/><Relationship Id="rId4" Type="http://schemas.openxmlformats.org/officeDocument/2006/relationships/image" Target="../media/image24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876675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2</xdr:row>
      <xdr:rowOff>9525</xdr:rowOff>
    </xdr:from>
    <xdr:to>
      <xdr:col>12</xdr:col>
      <xdr:colOff>93073</xdr:colOff>
      <xdr:row>5</xdr:row>
      <xdr:rowOff>15240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24" t="31944" r="13855" b="32029"/>
        <a:stretch/>
      </xdr:blipFill>
      <xdr:spPr>
        <a:xfrm>
          <a:off x="571500" y="390525"/>
          <a:ext cx="1617073" cy="57721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50</xdr:row>
      <xdr:rowOff>66295</xdr:rowOff>
    </xdr:from>
    <xdr:to>
      <xdr:col>25</xdr:col>
      <xdr:colOff>130117</xdr:colOff>
      <xdr:row>52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" y="6448045"/>
          <a:ext cx="1485900" cy="356616"/>
        </a:xfrm>
        <a:prstGeom prst="rect">
          <a:avLst/>
        </a:prstGeom>
      </xdr:spPr>
    </xdr:pic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33736" y="136732"/>
          <a:ext cx="3544207" cy="747078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7869</xdr:colOff>
          <xdr:row>2</xdr:row>
          <xdr:rowOff>24848</xdr:rowOff>
        </xdr:from>
        <xdr:to>
          <xdr:col>50</xdr:col>
          <xdr:colOff>0</xdr:colOff>
          <xdr:row>35</xdr:row>
          <xdr:rowOff>51352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'CGWR Look Up Tables'!$C$1:$D$20" spid="_x0000_s11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507521" y="405848"/>
              <a:ext cx="3686175" cy="4076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752850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19050</xdr:colOff>
      <xdr:row>50</xdr:row>
      <xdr:rowOff>66295</xdr:rowOff>
    </xdr:from>
    <xdr:to>
      <xdr:col>25</xdr:col>
      <xdr:colOff>130117</xdr:colOff>
      <xdr:row>52</xdr:row>
      <xdr:rowOff>167641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2675" y="6448045"/>
          <a:ext cx="1473142" cy="368046"/>
        </a:xfrm>
        <a:prstGeom prst="rect">
          <a:avLst/>
        </a:prstGeom>
      </xdr:spPr>
    </xdr:pic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14711" y="136732"/>
          <a:ext cx="3545295" cy="755677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49</xdr:col>
          <xdr:colOff>377273</xdr:colOff>
          <xdr:row>35</xdr:row>
          <xdr:rowOff>26504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'CGWR Look Up Tables'!$C$22:$D$41" spid="_x0000_s25722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5499652" y="381000"/>
              <a:ext cx="3400425" cy="4076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2</xdr:col>
      <xdr:colOff>66396</xdr:colOff>
      <xdr:row>1</xdr:row>
      <xdr:rowOff>165651</xdr:rowOff>
    </xdr:from>
    <xdr:to>
      <xdr:col>13</xdr:col>
      <xdr:colOff>94421</xdr:colOff>
      <xdr:row>5</xdr:row>
      <xdr:rowOff>55584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983" y="356151"/>
          <a:ext cx="1899895" cy="651933"/>
        </a:xfrm>
        <a:prstGeom prst="rect">
          <a:avLst/>
        </a:prstGeom>
      </xdr:spPr>
    </xdr:pic>
    <xdr:clientData/>
  </xdr:twoCellAnchor>
  <xdr:twoCellAnchor editAs="oneCell">
    <xdr:from>
      <xdr:col>30</xdr:col>
      <xdr:colOff>66263</xdr:colOff>
      <xdr:row>38</xdr:row>
      <xdr:rowOff>91109</xdr:rowOff>
    </xdr:from>
    <xdr:to>
      <xdr:col>45</xdr:col>
      <xdr:colOff>190500</xdr:colOff>
      <xdr:row>45</xdr:row>
      <xdr:rowOff>31005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15" y="4928152"/>
          <a:ext cx="1880150" cy="809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</xdr:row>
      <xdr:rowOff>38100</xdr:rowOff>
    </xdr:from>
    <xdr:to>
      <xdr:col>26</xdr:col>
      <xdr:colOff>142875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276225" y="228600"/>
          <a:ext cx="3752850" cy="6657975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53</xdr:col>
      <xdr:colOff>179986</xdr:colOff>
      <xdr:row>0</xdr:row>
      <xdr:rowOff>136732</xdr:rowOff>
    </xdr:from>
    <xdr:to>
      <xdr:col>56</xdr:col>
      <xdr:colOff>972556</xdr:colOff>
      <xdr:row>57</xdr:row>
      <xdr:rowOff>92560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14711" y="136732"/>
          <a:ext cx="3545295" cy="7556778"/>
        </a:xfrm>
        <a:prstGeom prst="rect">
          <a:avLst/>
        </a:prstGeom>
      </xdr:spPr>
    </xdr:pic>
    <xdr:clientData/>
  </xdr:twoCellAnchor>
  <xdr:twoCellAnchor editAs="oneCell">
    <xdr:from>
      <xdr:col>3</xdr:col>
      <xdr:colOff>51289</xdr:colOff>
      <xdr:row>1</xdr:row>
      <xdr:rowOff>164667</xdr:rowOff>
    </xdr:from>
    <xdr:to>
      <xdr:col>10</xdr:col>
      <xdr:colOff>175846</xdr:colOff>
      <xdr:row>6</xdr:row>
      <xdr:rowOff>41577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389" y="355167"/>
          <a:ext cx="1458057" cy="696060"/>
        </a:xfrm>
        <a:prstGeom prst="rect">
          <a:avLst/>
        </a:prstGeom>
      </xdr:spPr>
    </xdr:pic>
    <xdr:clientData/>
  </xdr:twoCellAnchor>
  <xdr:twoCellAnchor>
    <xdr:from>
      <xdr:col>28</xdr:col>
      <xdr:colOff>139212</xdr:colOff>
      <xdr:row>41</xdr:row>
      <xdr:rowOff>115765</xdr:rowOff>
    </xdr:from>
    <xdr:to>
      <xdr:col>51</xdr:col>
      <xdr:colOff>301137</xdr:colOff>
      <xdr:row>58</xdr:row>
      <xdr:rowOff>35901</xdr:rowOff>
    </xdr:to>
    <xdr:pic>
      <xdr:nvPicPr>
        <xdr:cNvPr id="7" name="x_Picture 1" descr="image00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808" y="5266592"/>
          <a:ext cx="5268791" cy="25138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0</xdr:colOff>
          <xdr:row>2</xdr:row>
          <xdr:rowOff>0</xdr:rowOff>
        </xdr:from>
        <xdr:to>
          <xdr:col>49</xdr:col>
          <xdr:colOff>377273</xdr:colOff>
          <xdr:row>33</xdr:row>
          <xdr:rowOff>152814</xdr:rowOff>
        </xdr:to>
        <xdr:pic>
          <xdr:nvPicPr>
            <xdr:cNvPr id="8" name="Picture 7"/>
            <xdr:cNvPicPr>
              <a:picLocks noChangeAspect="1" noChangeArrowheads="1"/>
              <a:extLst>
                <a:ext uri="{84589F7E-364E-4C9E-8A38-B11213B215E9}">
                  <a14:cameraTool cellRange="'CGWR Look Up Tables'!$C$43:$D$62" spid="_x0000_s21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499652" y="513522"/>
              <a:ext cx="3400425" cy="3838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47624</xdr:rowOff>
    </xdr:from>
    <xdr:to>
      <xdr:col>21</xdr:col>
      <xdr:colOff>129886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>
        <a:xfrm>
          <a:off x="276225" y="238124"/>
          <a:ext cx="3777961" cy="664845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10989</xdr:colOff>
      <xdr:row>1</xdr:row>
      <xdr:rowOff>171450</xdr:rowOff>
    </xdr:from>
    <xdr:to>
      <xdr:col>7</xdr:col>
      <xdr:colOff>94033</xdr:colOff>
      <xdr:row>5</xdr:row>
      <xdr:rowOff>15747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77" t="33125" r="12125" b="27942"/>
        <a:stretch/>
      </xdr:blipFill>
      <xdr:spPr>
        <a:xfrm>
          <a:off x="372939" y="361950"/>
          <a:ext cx="1617052" cy="628960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50</xdr:row>
      <xdr:rowOff>152020</xdr:rowOff>
    </xdr:from>
    <xdr:to>
      <xdr:col>20</xdr:col>
      <xdr:colOff>418357</xdr:colOff>
      <xdr:row>53</xdr:row>
      <xdr:rowOff>1906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6476620"/>
          <a:ext cx="1482436" cy="356616"/>
        </a:xfrm>
        <a:prstGeom prst="rect">
          <a:avLst/>
        </a:prstGeom>
      </xdr:spPr>
    </xdr:pic>
    <xdr:clientData/>
  </xdr:twoCellAnchor>
  <xdr:twoCellAnchor editAs="oneCell">
    <xdr:from>
      <xdr:col>22</xdr:col>
      <xdr:colOff>43295</xdr:colOff>
      <xdr:row>35</xdr:row>
      <xdr:rowOff>155863</xdr:rowOff>
    </xdr:from>
    <xdr:to>
      <xdr:col>46</xdr:col>
      <xdr:colOff>59738</xdr:colOff>
      <xdr:row>76</xdr:row>
      <xdr:rowOff>59593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9818" y="4615295"/>
          <a:ext cx="5609524" cy="6771428"/>
        </a:xfrm>
        <a:prstGeom prst="rect">
          <a:avLst/>
        </a:prstGeom>
      </xdr:spPr>
    </xdr:pic>
    <xdr:clientData/>
  </xdr:twoCellAnchor>
  <xdr:twoCellAnchor editAs="oneCell">
    <xdr:from>
      <xdr:col>46</xdr:col>
      <xdr:colOff>173183</xdr:colOff>
      <xdr:row>37</xdr:row>
      <xdr:rowOff>0</xdr:rowOff>
    </xdr:from>
    <xdr:to>
      <xdr:col>48</xdr:col>
      <xdr:colOff>815435</xdr:colOff>
      <xdr:row>76</xdr:row>
      <xdr:rowOff>91810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93483" y="4610100"/>
          <a:ext cx="2023378" cy="670216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9525</xdr:colOff>
          <xdr:row>1</xdr:row>
          <xdr:rowOff>28575</xdr:rowOff>
        </xdr:from>
        <xdr:to>
          <xdr:col>45</xdr:col>
          <xdr:colOff>283845</xdr:colOff>
          <xdr:row>28</xdr:row>
          <xdr:rowOff>0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00000000-0008-0000-0800-000009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ICD Look Up Tables'!$C$22:$D$38" spid="_x0000_s11749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6572250" y="228600"/>
              <a:ext cx="3438525" cy="34575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47624</xdr:rowOff>
    </xdr:from>
    <xdr:to>
      <xdr:col>21</xdr:col>
      <xdr:colOff>129886</xdr:colOff>
      <xdr:row>53</xdr:row>
      <xdr:rowOff>47625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xmlns="" id="{AB66C707-607F-4077-8A0D-0E49741FD9EF}"/>
            </a:ext>
          </a:extLst>
        </xdr:cNvPr>
        <xdr:cNvSpPr/>
      </xdr:nvSpPr>
      <xdr:spPr>
        <a:xfrm>
          <a:off x="276225" y="247649"/>
          <a:ext cx="3806536" cy="668655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22</xdr:col>
      <xdr:colOff>43295</xdr:colOff>
      <xdr:row>35</xdr:row>
      <xdr:rowOff>155863</xdr:rowOff>
    </xdr:from>
    <xdr:to>
      <xdr:col>46</xdr:col>
      <xdr:colOff>52118</xdr:colOff>
      <xdr:row>76</xdr:row>
      <xdr:rowOff>51973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550B826-D1ED-4691-BFF1-BBE7A50E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9120" y="4584988"/>
          <a:ext cx="5609523" cy="6735060"/>
        </a:xfrm>
        <a:prstGeom prst="rect">
          <a:avLst/>
        </a:prstGeom>
      </xdr:spPr>
    </xdr:pic>
    <xdr:clientData/>
  </xdr:twoCellAnchor>
  <xdr:twoCellAnchor editAs="oneCell">
    <xdr:from>
      <xdr:col>46</xdr:col>
      <xdr:colOff>173183</xdr:colOff>
      <xdr:row>37</xdr:row>
      <xdr:rowOff>0</xdr:rowOff>
    </xdr:from>
    <xdr:to>
      <xdr:col>48</xdr:col>
      <xdr:colOff>815435</xdr:colOff>
      <xdr:row>76</xdr:row>
      <xdr:rowOff>91810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3CDB28FB-DDA2-48DD-BDC7-22B3D0C7F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9708" y="4657725"/>
          <a:ext cx="2023377" cy="6702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28575</xdr:rowOff>
    </xdr:from>
    <xdr:to>
      <xdr:col>8</xdr:col>
      <xdr:colOff>114523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D8514469-E251-41F8-9DE0-95E6A5A7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428625"/>
          <a:ext cx="1771873" cy="62865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34</xdr:col>
          <xdr:colOff>38101</xdr:colOff>
          <xdr:row>1</xdr:row>
          <xdr:rowOff>45139</xdr:rowOff>
        </xdr:from>
        <xdr:to>
          <xdr:col>45</xdr:col>
          <xdr:colOff>447676</xdr:colOff>
          <xdr:row>28</xdr:row>
          <xdr:rowOff>26089</xdr:rowOff>
        </xdr:to>
        <xdr:pic>
          <xdr:nvPicPr>
            <xdr:cNvPr id="9" name="Picture 8">
              <a:extLst>
                <a:ext uri="{FF2B5EF4-FFF2-40B4-BE49-F238E27FC236}">
                  <a16:creationId xmlns:a16="http://schemas.microsoft.com/office/drawing/2014/main" xmlns="" id="{DEA74776-E48B-4703-85F7-D6F921BFEE4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'CICD Look Up Tables'!$C$3:$D$19" spid="_x0000_s198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6978927" y="243922"/>
              <a:ext cx="3233945" cy="3501058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2</xdr:row>
      <xdr:rowOff>38100</xdr:rowOff>
    </xdr:from>
    <xdr:to>
      <xdr:col>10</xdr:col>
      <xdr:colOff>119728</xdr:colOff>
      <xdr:row>6</xdr:row>
      <xdr:rowOff>7632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D8514469-E251-41F8-9DE0-95E6A5A7B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328" y="419100"/>
          <a:ext cx="1779327" cy="625751"/>
        </a:xfrm>
        <a:prstGeom prst="rect">
          <a:avLst/>
        </a:prstGeom>
        <a:noFill/>
      </xdr:spPr>
    </xdr:pic>
    <xdr:clientData/>
  </xdr:twoCellAnchor>
  <xdr:twoCellAnchor>
    <xdr:from>
      <xdr:col>0</xdr:col>
      <xdr:colOff>240196</xdr:colOff>
      <xdr:row>1</xdr:row>
      <xdr:rowOff>33130</xdr:rowOff>
    </xdr:from>
    <xdr:to>
      <xdr:col>25</xdr:col>
      <xdr:colOff>123437</xdr:colOff>
      <xdr:row>52</xdr:row>
      <xdr:rowOff>41414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xmlns="" id="{AB66C707-607F-4077-8A0D-0E49741FD9EF}"/>
            </a:ext>
          </a:extLst>
        </xdr:cNvPr>
        <xdr:cNvSpPr/>
      </xdr:nvSpPr>
      <xdr:spPr>
        <a:xfrm>
          <a:off x="240196" y="223630"/>
          <a:ext cx="3834045" cy="6858001"/>
        </a:xfrm>
        <a:prstGeom prst="roundRect">
          <a:avLst>
            <a:gd name="adj" fmla="val 9208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50</xdr:col>
      <xdr:colOff>389282</xdr:colOff>
      <xdr:row>1</xdr:row>
      <xdr:rowOff>16564</xdr:rowOff>
    </xdr:from>
    <xdr:to>
      <xdr:col>54</xdr:col>
      <xdr:colOff>788138</xdr:colOff>
      <xdr:row>59</xdr:row>
      <xdr:rowOff>152598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45956" y="207064"/>
          <a:ext cx="6238095" cy="8352381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60</xdr:row>
      <xdr:rowOff>0</xdr:rowOff>
    </xdr:from>
    <xdr:to>
      <xdr:col>54</xdr:col>
      <xdr:colOff>417904</xdr:colOff>
      <xdr:row>69</xdr:row>
      <xdr:rowOff>190262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6674" y="8564217"/>
          <a:ext cx="6257143" cy="190476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24848</xdr:colOff>
          <xdr:row>7</xdr:row>
          <xdr:rowOff>19050</xdr:rowOff>
        </xdr:from>
        <xdr:to>
          <xdr:col>49</xdr:col>
          <xdr:colOff>144946</xdr:colOff>
          <xdr:row>31</xdr:row>
          <xdr:rowOff>149086</xdr:rowOff>
        </xdr:to>
        <xdr:pic>
          <xdr:nvPicPr>
            <xdr:cNvPr id="8" name="Picture 7"/>
            <xdr:cNvPicPr>
              <a:picLocks noChangeAspect="1" noChangeArrowheads="1"/>
              <a:extLst>
                <a:ext uri="{84589F7E-364E-4C9E-8A38-B11213B215E9}">
                  <a14:cameraTool cellRange="'ACCA Look Up Tables'!$B$3:$C$17" spid="_x0000_s318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499652" y="1203463"/>
              <a:ext cx="5454098" cy="291299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28575">
              <a:solidFill>
                <a:srgbClr val="FF0000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_A%20NTC%20GENERAL%20FILES\_JOB%20FILES\_COMPLETED%20AND%20SHIPPED%20JOBS\Job%204849A-01%20Steve%20Wertz%20ACCS050%20460%20Gorilla%20Glue\Nameplate\Creating%20Name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eale\Engineering%20Calculations\Electrical%20Calculations\Product%20Electrical%20Data%202102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s"/>
      <sheetName val="Auto Populate CGWR-CCAR"/>
      <sheetName val="CGWR Look Up Tables"/>
      <sheetName val="Fill in Yourself (CGWR-CCAR)"/>
      <sheetName val="DPP CGWR-CCAR "/>
      <sheetName val="R Series Data Sheet1"/>
      <sheetName val="R Series Data Sheet2"/>
      <sheetName val="CICD Lookup Tables"/>
      <sheetName val="Auto Populate (FWCD)"/>
      <sheetName val="Auto Populate (CICD)"/>
      <sheetName val="Fill in Yourself (CICD)"/>
      <sheetName val="Fill in Yourself Jetson (ACCA)"/>
      <sheetName val="Fill in Yourself (CICB)"/>
      <sheetName val="Fill in Yourself (CICA)"/>
      <sheetName val="Auto Populate CGWQ-CCAQ"/>
      <sheetName val="Fill in Yourself (CxxQ))"/>
      <sheetName val="Manual Fill in CxxQ Dual Pt Pwr"/>
      <sheetName val="Sheet2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U5">
            <v>20</v>
          </cell>
        </row>
        <row r="6">
          <cell r="U6">
            <v>20</v>
          </cell>
        </row>
        <row r="7">
          <cell r="U7">
            <v>20</v>
          </cell>
        </row>
        <row r="8">
          <cell r="U8">
            <v>26</v>
          </cell>
        </row>
        <row r="9">
          <cell r="U9">
            <v>26</v>
          </cell>
        </row>
        <row r="10">
          <cell r="U10">
            <v>26</v>
          </cell>
        </row>
        <row r="11">
          <cell r="U11">
            <v>34</v>
          </cell>
        </row>
        <row r="12">
          <cell r="U12">
            <v>34</v>
          </cell>
        </row>
        <row r="13">
          <cell r="U13">
            <v>34</v>
          </cell>
        </row>
        <row r="14">
          <cell r="U14">
            <v>42</v>
          </cell>
        </row>
        <row r="15">
          <cell r="U15">
            <v>42</v>
          </cell>
        </row>
        <row r="16">
          <cell r="U16">
            <v>42</v>
          </cell>
        </row>
        <row r="17">
          <cell r="U17">
            <v>45</v>
          </cell>
        </row>
        <row r="18">
          <cell r="U18">
            <v>45</v>
          </cell>
        </row>
        <row r="19">
          <cell r="U19">
            <v>45</v>
          </cell>
        </row>
        <row r="20">
          <cell r="U20">
            <v>48</v>
          </cell>
        </row>
        <row r="21">
          <cell r="U21">
            <v>48</v>
          </cell>
        </row>
        <row r="22">
          <cell r="U22">
            <v>48</v>
          </cell>
        </row>
      </sheetData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 Tables"/>
      <sheetName val="ACCX"/>
      <sheetName val="CICD-FWCD"/>
      <sheetName val="CGWR &amp; CCAR Products"/>
      <sheetName val="SWU &amp; SCU Products"/>
      <sheetName val="NWC &amp; NCC Products"/>
      <sheetName val="MXC Products"/>
      <sheetName val="MXC 208-230"/>
      <sheetName val="MXC 380"/>
      <sheetName val="MXC 460"/>
      <sheetName val="MXC 575"/>
      <sheetName val="MXC Bus Cost Analysis"/>
      <sheetName val="Ind. Danfoss Compressor Data"/>
      <sheetName val="NWC &amp; NCC 1 Circui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8"/>
  <sheetViews>
    <sheetView workbookViewId="0"/>
  </sheetViews>
  <sheetFormatPr defaultRowHeight="15" x14ac:dyDescent="0.25"/>
  <cols>
    <col min="1" max="1" width="10.7109375" bestFit="1" customWidth="1"/>
    <col min="2" max="2" width="5.7109375" bestFit="1" customWidth="1"/>
    <col min="3" max="3" width="110" customWidth="1"/>
    <col min="4" max="4" width="8.42578125" customWidth="1"/>
  </cols>
  <sheetData>
    <row r="1" spans="1:4" ht="15.75" thickBot="1" x14ac:dyDescent="0.3"/>
    <row r="2" spans="1:4" ht="30.75" thickBot="1" x14ac:dyDescent="0.3">
      <c r="A2" s="20" t="s">
        <v>43</v>
      </c>
      <c r="B2" s="21" t="s">
        <v>44</v>
      </c>
      <c r="C2" s="21" t="s">
        <v>45</v>
      </c>
      <c r="D2" s="23" t="s">
        <v>51</v>
      </c>
    </row>
    <row r="3" spans="1:4" x14ac:dyDescent="0.25">
      <c r="A3" s="52">
        <v>41451</v>
      </c>
      <c r="B3" s="53">
        <v>0</v>
      </c>
      <c r="C3" s="54" t="s">
        <v>52</v>
      </c>
      <c r="D3" s="55" t="s">
        <v>49</v>
      </c>
    </row>
    <row r="4" spans="1:4" x14ac:dyDescent="0.25">
      <c r="A4" s="56">
        <v>42331</v>
      </c>
      <c r="B4" s="70">
        <v>1</v>
      </c>
      <c r="C4" s="57" t="s">
        <v>104</v>
      </c>
      <c r="D4" s="58" t="s">
        <v>49</v>
      </c>
    </row>
    <row r="5" spans="1:4" x14ac:dyDescent="0.25">
      <c r="A5" s="275">
        <v>43601</v>
      </c>
      <c r="B5" s="274">
        <v>2</v>
      </c>
      <c r="C5" s="57" t="s">
        <v>142</v>
      </c>
      <c r="D5" s="58" t="s">
        <v>49</v>
      </c>
    </row>
    <row r="6" spans="1:4" x14ac:dyDescent="0.25">
      <c r="A6" s="275"/>
      <c r="B6" s="274"/>
      <c r="C6" s="18" t="s">
        <v>143</v>
      </c>
      <c r="D6" s="58" t="s">
        <v>49</v>
      </c>
    </row>
    <row r="7" spans="1:4" x14ac:dyDescent="0.25">
      <c r="A7" s="25">
        <v>44476</v>
      </c>
      <c r="B7" s="231">
        <v>7</v>
      </c>
      <c r="C7" s="18" t="s">
        <v>363</v>
      </c>
      <c r="D7" s="58" t="s">
        <v>361</v>
      </c>
    </row>
    <row r="8" spans="1:4" x14ac:dyDescent="0.25">
      <c r="A8" s="25">
        <v>44476</v>
      </c>
      <c r="B8" s="231">
        <v>8</v>
      </c>
      <c r="C8" s="14" t="s">
        <v>362</v>
      </c>
      <c r="D8" s="27" t="s">
        <v>361</v>
      </c>
    </row>
    <row r="9" spans="1:4" x14ac:dyDescent="0.25">
      <c r="A9" s="56">
        <v>44482</v>
      </c>
      <c r="B9" s="231">
        <v>9</v>
      </c>
      <c r="C9" s="57" t="s">
        <v>365</v>
      </c>
      <c r="D9" s="58" t="s">
        <v>361</v>
      </c>
    </row>
    <row r="10" spans="1:4" x14ac:dyDescent="0.25">
      <c r="A10" s="56">
        <v>44529</v>
      </c>
      <c r="B10" s="231">
        <v>10</v>
      </c>
      <c r="C10" s="57" t="s">
        <v>571</v>
      </c>
      <c r="D10" s="58" t="s">
        <v>361</v>
      </c>
    </row>
    <row r="11" spans="1:4" x14ac:dyDescent="0.25">
      <c r="A11" s="56"/>
      <c r="B11" s="231"/>
      <c r="C11" s="57"/>
      <c r="D11" s="58"/>
    </row>
    <row r="12" spans="1:4" x14ac:dyDescent="0.25">
      <c r="A12" s="56"/>
      <c r="B12" s="231"/>
      <c r="C12" s="57"/>
      <c r="D12" s="58"/>
    </row>
    <row r="13" spans="1:4" x14ac:dyDescent="0.25">
      <c r="A13" s="56"/>
      <c r="B13" s="231"/>
      <c r="C13" s="57"/>
      <c r="D13" s="58"/>
    </row>
    <row r="14" spans="1:4" x14ac:dyDescent="0.25">
      <c r="A14" s="56"/>
      <c r="B14" s="231"/>
      <c r="C14" s="57"/>
      <c r="D14" s="58"/>
    </row>
    <row r="15" spans="1:4" x14ac:dyDescent="0.25">
      <c r="A15" s="56"/>
      <c r="B15" s="231"/>
      <c r="C15" s="57"/>
      <c r="D15" s="58"/>
    </row>
    <row r="16" spans="1:4" x14ac:dyDescent="0.25">
      <c r="A16" s="56"/>
      <c r="B16" s="231"/>
      <c r="C16" s="57"/>
      <c r="D16" s="58"/>
    </row>
    <row r="17" spans="1:4" x14ac:dyDescent="0.25">
      <c r="A17" s="56"/>
      <c r="B17" s="231"/>
      <c r="C17" s="57"/>
      <c r="D17" s="58"/>
    </row>
    <row r="18" spans="1:4" ht="15.75" thickBot="1" x14ac:dyDescent="0.3">
      <c r="A18" s="26"/>
      <c r="B18" s="24"/>
      <c r="C18" s="22"/>
      <c r="D18" s="28"/>
    </row>
  </sheetData>
  <mergeCells count="2">
    <mergeCell ref="B5:B6"/>
    <mergeCell ref="A5:A6"/>
  </mergeCells>
  <pageMargins left="0.25" right="0.25" top="0.75" bottom="0.75" header="0.3" footer="0.3"/>
  <pageSetup fitToHeight="0" orientation="landscape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4:AI58"/>
  <sheetViews>
    <sheetView tabSelected="1" topLeftCell="B1" zoomScale="115" zoomScaleNormal="115" workbookViewId="0">
      <selection activeCell="B1" sqref="B1"/>
    </sheetView>
  </sheetViews>
  <sheetFormatPr defaultRowHeight="15" x14ac:dyDescent="0.25"/>
  <cols>
    <col min="1" max="1" width="2.42578125" hidden="1" customWidth="1"/>
    <col min="2" max="2" width="5.140625" customWidth="1"/>
    <col min="3" max="3" width="1.140625" customWidth="1"/>
    <col min="4" max="4" width="1.42578125" customWidth="1"/>
    <col min="5" max="5" width="0.85546875" customWidth="1"/>
    <col min="6" max="6" width="6" customWidth="1"/>
    <col min="7" max="7" width="5.7109375" customWidth="1"/>
    <col min="8" max="8" width="1.5703125" customWidth="1"/>
    <col min="9" max="9" width="2.7109375" customWidth="1"/>
    <col min="10" max="10" width="1.7109375" customWidth="1"/>
    <col min="11" max="11" width="3.140625" customWidth="1"/>
    <col min="12" max="25" width="1.85546875" customWidth="1"/>
    <col min="26" max="26" width="2.85546875" style="65" customWidth="1"/>
    <col min="27" max="27" width="5.85546875" customWidth="1"/>
    <col min="28" max="28" width="5.42578125" customWidth="1"/>
    <col min="29" max="29" width="6.7109375" customWidth="1"/>
    <col min="30" max="30" width="6.140625" bestFit="1" customWidth="1"/>
    <col min="31" max="31" width="3.28515625" customWidth="1"/>
    <col min="32" max="32" width="1.42578125" customWidth="1"/>
    <col min="33" max="34" width="1.5703125" customWidth="1"/>
    <col min="35" max="36" width="1.28515625" customWidth="1"/>
    <col min="37" max="37" width="1.5703125" customWidth="1"/>
    <col min="38" max="38" width="1.85546875" customWidth="1"/>
    <col min="39" max="39" width="1.5703125" customWidth="1"/>
    <col min="40" max="40" width="2" customWidth="1"/>
    <col min="41" max="42" width="1.5703125" customWidth="1"/>
    <col min="43" max="43" width="1.7109375" customWidth="1"/>
    <col min="44" max="44" width="0.85546875" customWidth="1"/>
    <col min="45" max="45" width="3" bestFit="1" customWidth="1"/>
    <col min="46" max="46" width="3.7109375" customWidth="1"/>
    <col min="47" max="47" width="4.140625" customWidth="1"/>
    <col min="48" max="48" width="3.85546875" customWidth="1"/>
    <col min="49" max="49" width="7.28515625" customWidth="1"/>
    <col min="50" max="50" width="10" bestFit="1" customWidth="1"/>
    <col min="51" max="51" width="8.7109375" customWidth="1"/>
    <col min="52" max="52" width="10.42578125" customWidth="1"/>
    <col min="53" max="53" width="10.28515625" customWidth="1"/>
    <col min="54" max="54" width="13.140625" bestFit="1" customWidth="1"/>
    <col min="55" max="55" width="10" bestFit="1" customWidth="1"/>
    <col min="56" max="56" width="18.140625" bestFit="1" customWidth="1"/>
    <col min="57" max="57" width="16.140625" bestFit="1" customWidth="1"/>
    <col min="58" max="58" width="26.28515625" bestFit="1" customWidth="1"/>
    <col min="59" max="59" width="27" bestFit="1" customWidth="1"/>
    <col min="60" max="60" width="34" bestFit="1" customWidth="1"/>
  </cols>
  <sheetData>
    <row r="4" spans="6:33" x14ac:dyDescent="0.25">
      <c r="N4" s="223"/>
      <c r="O4" s="223"/>
      <c r="P4" s="223"/>
      <c r="Q4" s="223"/>
      <c r="R4" s="223"/>
      <c r="S4" s="223"/>
      <c r="T4" s="223"/>
      <c r="U4" s="223"/>
      <c r="V4" s="223"/>
      <c r="W4" s="40"/>
      <c r="X4" s="40"/>
      <c r="Y4" s="40"/>
      <c r="Z4" s="64"/>
    </row>
    <row r="5" spans="6:33" x14ac:dyDescent="0.25">
      <c r="N5" s="223"/>
      <c r="O5" s="223"/>
      <c r="P5" s="223"/>
      <c r="Q5" s="33"/>
      <c r="R5" s="223"/>
      <c r="S5" s="223"/>
      <c r="T5" s="223"/>
      <c r="U5" s="223"/>
      <c r="V5" s="202" t="s">
        <v>17</v>
      </c>
      <c r="W5" s="276">
        <f ca="1">TODAY()</f>
        <v>44529</v>
      </c>
      <c r="X5" s="277"/>
      <c r="Y5" s="277"/>
      <c r="Z5" s="278"/>
    </row>
    <row r="6" spans="6:33" ht="4.5" customHeight="1" x14ac:dyDescent="0.25">
      <c r="Q6" s="33"/>
    </row>
    <row r="7" spans="6:33" ht="13.5" customHeight="1" x14ac:dyDescent="0.25">
      <c r="K7" s="223"/>
      <c r="L7" s="223"/>
      <c r="M7" s="223"/>
      <c r="V7" s="60" t="s">
        <v>0</v>
      </c>
      <c r="W7" s="290" t="s">
        <v>575</v>
      </c>
      <c r="X7" s="291"/>
      <c r="Y7" s="291"/>
      <c r="Z7" s="292"/>
    </row>
    <row r="8" spans="6:33" ht="4.5" customHeight="1" x14ac:dyDescent="0.25"/>
    <row r="9" spans="6:33" ht="13.5" customHeight="1" x14ac:dyDescent="0.25">
      <c r="F9" s="34" t="s">
        <v>1</v>
      </c>
      <c r="G9" s="48" t="s">
        <v>107</v>
      </c>
      <c r="H9" s="69" t="s">
        <v>138</v>
      </c>
      <c r="I9" s="10">
        <v>40</v>
      </c>
      <c r="J9" s="10" t="s">
        <v>322</v>
      </c>
      <c r="K9" s="59" t="s">
        <v>89</v>
      </c>
      <c r="L9" s="10" t="s">
        <v>62</v>
      </c>
      <c r="M9" s="10" t="s">
        <v>55</v>
      </c>
      <c r="N9" s="10" t="s">
        <v>112</v>
      </c>
      <c r="O9" s="10" t="s">
        <v>63</v>
      </c>
      <c r="P9" s="10" t="s">
        <v>88</v>
      </c>
      <c r="Q9" s="10" t="s">
        <v>118</v>
      </c>
      <c r="R9" s="10" t="s">
        <v>64</v>
      </c>
      <c r="S9" s="10" t="s">
        <v>122</v>
      </c>
      <c r="T9" s="10" t="s">
        <v>68</v>
      </c>
      <c r="U9" s="10" t="s">
        <v>72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139</v>
      </c>
      <c r="AA9" s="32" t="s">
        <v>103</v>
      </c>
      <c r="AB9" s="32"/>
      <c r="AC9" s="32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290" t="s">
        <v>32</v>
      </c>
      <c r="I11" s="291"/>
      <c r="J11" s="291"/>
      <c r="K11" s="292"/>
      <c r="L11" s="33"/>
      <c r="M11" s="33"/>
      <c r="N11" s="33"/>
      <c r="O11" s="33"/>
      <c r="R11" s="60" t="s">
        <v>16</v>
      </c>
      <c r="S11" s="288" t="str">
        <f>'CGWR Look Up Tables'!V29</f>
        <v>24 lbs per circuit</v>
      </c>
      <c r="T11" s="285"/>
      <c r="U11" s="285"/>
      <c r="V11" s="285"/>
      <c r="W11" s="285"/>
      <c r="X11" s="285"/>
      <c r="Y11" s="285"/>
      <c r="Z11" s="286"/>
    </row>
    <row r="12" spans="6:33" ht="4.5" customHeight="1" x14ac:dyDescent="0.25">
      <c r="F12" s="33"/>
      <c r="G12" s="33"/>
      <c r="H12" s="32"/>
      <c r="I12" s="32"/>
      <c r="J12" s="32"/>
      <c r="K12" s="32"/>
      <c r="L12" s="33"/>
      <c r="M12" s="33"/>
      <c r="N12" s="33"/>
      <c r="O12" s="33"/>
      <c r="P12" s="60"/>
      <c r="Q12" s="32"/>
      <c r="R12" s="32"/>
      <c r="S12" s="32"/>
      <c r="T12" s="32"/>
      <c r="U12" s="32"/>
      <c r="V12" s="32"/>
      <c r="W12" s="32"/>
      <c r="X12" s="32"/>
      <c r="Y12" s="32"/>
      <c r="Z12" s="68"/>
    </row>
    <row r="13" spans="6:33" ht="13.5" customHeight="1" x14ac:dyDescent="0.25">
      <c r="F13" s="33" t="s">
        <v>93</v>
      </c>
      <c r="G13" s="33"/>
      <c r="H13" s="290" t="s">
        <v>94</v>
      </c>
      <c r="I13" s="291"/>
      <c r="J13" s="291"/>
      <c r="K13" s="292"/>
      <c r="L13" s="33"/>
      <c r="M13" s="33"/>
      <c r="N13" s="33"/>
      <c r="O13" s="33"/>
      <c r="P13" s="60"/>
      <c r="Q13" s="32"/>
      <c r="R13" s="46" t="s">
        <v>100</v>
      </c>
      <c r="S13" s="288">
        <f>'CGWR Look Up Tables'!W29</f>
        <v>1577</v>
      </c>
      <c r="T13" s="285"/>
      <c r="U13" s="285"/>
      <c r="V13" s="285"/>
      <c r="W13" s="285"/>
      <c r="X13" s="285"/>
      <c r="Y13" s="285"/>
      <c r="Z13" s="28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288">
        <f>'CGWR Look Up Tables'!X29</f>
        <v>230</v>
      </c>
      <c r="K17" s="285"/>
      <c r="L17" s="285"/>
      <c r="M17" s="286"/>
      <c r="N17" s="34" t="s">
        <v>5</v>
      </c>
      <c r="O17" s="33"/>
      <c r="P17" s="33"/>
      <c r="Q17" s="33"/>
      <c r="R17" s="35"/>
      <c r="S17" s="35"/>
      <c r="T17" s="37"/>
      <c r="U17" s="284" t="str">
        <f>IF(I9&lt;31,"522","464")</f>
        <v>464</v>
      </c>
      <c r="V17" s="285"/>
      <c r="W17" s="28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284">
        <f>IF(NOT(G9="CCAR"),650,"N/A")</f>
        <v>650</v>
      </c>
      <c r="K19" s="285"/>
      <c r="L19" s="285"/>
      <c r="M19" s="286"/>
      <c r="N19" s="33" t="s">
        <v>5</v>
      </c>
      <c r="O19" s="33"/>
      <c r="P19" s="33"/>
      <c r="Q19" s="33"/>
      <c r="R19" s="33"/>
      <c r="S19" s="33"/>
      <c r="T19" s="37"/>
      <c r="U19" s="290">
        <v>653</v>
      </c>
      <c r="V19" s="291"/>
      <c r="W19" s="29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79">
        <f>'CGWR Look Up Tables'!F11</f>
        <v>230</v>
      </c>
      <c r="H23" s="280"/>
      <c r="I23" s="281"/>
      <c r="J23" s="33" t="s">
        <v>9</v>
      </c>
      <c r="K23" s="33"/>
      <c r="L23" s="33"/>
      <c r="M23" s="33"/>
      <c r="N23" s="290">
        <v>3</v>
      </c>
      <c r="O23" s="291"/>
      <c r="P23" s="292"/>
      <c r="Q23" s="33" t="s">
        <v>10</v>
      </c>
      <c r="R23" s="33"/>
      <c r="S23" s="33"/>
      <c r="T23" s="290">
        <v>60</v>
      </c>
      <c r="U23" s="291"/>
      <c r="V23" s="291"/>
      <c r="W23" s="29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282" t="s">
        <v>101</v>
      </c>
      <c r="D26" s="283"/>
      <c r="F26" s="34" t="s">
        <v>13</v>
      </c>
      <c r="G26" s="60"/>
      <c r="H26" s="289" t="str">
        <f>'CGWR Look Up Tables'!J29</f>
        <v>DSH120A3</v>
      </c>
      <c r="I26" s="285"/>
      <c r="J26" s="285"/>
      <c r="K26" s="285"/>
      <c r="L26" s="286"/>
      <c r="M26" s="33"/>
      <c r="N26" s="288">
        <f>'CGWR Look Up Tables'!P29</f>
        <v>39.102564102564102</v>
      </c>
      <c r="O26" s="285"/>
      <c r="P26" s="286"/>
      <c r="Q26" s="33" t="s">
        <v>14</v>
      </c>
      <c r="R26" s="33"/>
      <c r="S26" s="33"/>
      <c r="T26" s="288">
        <f>'CGWR Look Up Tables'!M29</f>
        <v>267</v>
      </c>
      <c r="U26" s="285"/>
      <c r="V26" s="285"/>
      <c r="W26" s="286"/>
      <c r="X26" s="33" t="s">
        <v>12</v>
      </c>
      <c r="Y26" s="33"/>
      <c r="Z26" s="67"/>
    </row>
    <row r="27" spans="3:35" ht="4.5" customHeight="1" x14ac:dyDescent="0.25">
      <c r="C27" s="282"/>
      <c r="D27" s="28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282"/>
      <c r="D28" s="283"/>
      <c r="F28" s="34" t="str">
        <f>IF(I9&lt;39, "Comp. #2 ", "Comp. #3")</f>
        <v>Comp. #3</v>
      </c>
      <c r="G28" s="60"/>
      <c r="H28" s="289" t="str">
        <f>H26</f>
        <v>DSH120A3</v>
      </c>
      <c r="I28" s="285"/>
      <c r="J28" s="285"/>
      <c r="K28" s="285"/>
      <c r="L28" s="286"/>
      <c r="M28" s="33"/>
      <c r="N28" s="288">
        <f>N26</f>
        <v>39.102564102564102</v>
      </c>
      <c r="O28" s="285"/>
      <c r="P28" s="286"/>
      <c r="Q28" s="33" t="s">
        <v>14</v>
      </c>
      <c r="R28" s="33"/>
      <c r="S28" s="33"/>
      <c r="T28" s="288">
        <f>T26</f>
        <v>267</v>
      </c>
      <c r="U28" s="285"/>
      <c r="V28" s="285"/>
      <c r="W28" s="28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282" t="s">
        <v>102</v>
      </c>
      <c r="D30" s="283"/>
      <c r="F30" s="34" t="str">
        <f>IF(I9&lt;39, "  ", "Comp. #2")</f>
        <v>Comp. #2</v>
      </c>
      <c r="G30" s="60"/>
      <c r="H30" s="284" t="str">
        <f>IF(I9&lt;31," ",'CGWR Look Up Tables'!L29)</f>
        <v>DSH240A3</v>
      </c>
      <c r="I30" s="285"/>
      <c r="J30" s="285"/>
      <c r="K30" s="285"/>
      <c r="L30" s="286"/>
      <c r="M30" s="33"/>
      <c r="N30" s="284">
        <f>IF(I9&lt;31," ",'CGWR Look Up Tables'!R29)</f>
        <v>67</v>
      </c>
      <c r="O30" s="285"/>
      <c r="P30" s="286"/>
      <c r="Q30" s="33" t="s">
        <v>14</v>
      </c>
      <c r="R30" s="33"/>
      <c r="S30" s="33"/>
      <c r="T30" s="284">
        <f>IF(I9&lt;31," ",'CGWR Look Up Tables'!O29)</f>
        <v>485</v>
      </c>
      <c r="U30" s="285"/>
      <c r="V30" s="285"/>
      <c r="W30" s="286"/>
      <c r="X30" s="33" t="s">
        <v>12</v>
      </c>
      <c r="Y30" s="33"/>
      <c r="Z30" s="67"/>
    </row>
    <row r="31" spans="3:35" ht="4.5" customHeight="1" x14ac:dyDescent="0.25">
      <c r="C31" s="282"/>
      <c r="D31" s="28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282"/>
      <c r="D32" s="283"/>
      <c r="F32" s="34"/>
      <c r="G32" s="60"/>
      <c r="H32" s="287"/>
      <c r="I32" s="287"/>
      <c r="J32" s="287"/>
      <c r="K32" s="287"/>
      <c r="L32" s="287"/>
      <c r="M32" s="35"/>
      <c r="N32" s="287"/>
      <c r="O32" s="287"/>
      <c r="P32" s="287"/>
      <c r="Q32" s="35"/>
      <c r="R32" s="33"/>
      <c r="S32" s="33"/>
      <c r="T32" s="287"/>
      <c r="U32" s="287"/>
      <c r="V32" s="287"/>
      <c r="W32" s="28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288">
        <f>'CGWR Look Up Tables'!S29</f>
        <v>162.33974358974359</v>
      </c>
      <c r="V34" s="285"/>
      <c r="W34" s="28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288">
        <f>'CGWR Look Up Tables'!T29</f>
        <v>225</v>
      </c>
      <c r="V36" s="285"/>
      <c r="W36" s="28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288">
        <f>'CGWR Look Up Tables'!U29</f>
        <v>175</v>
      </c>
      <c r="V38" s="285"/>
      <c r="W38" s="28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79">
        <f>IF(Q9="0 - Std 5 kA",5,100)</f>
        <v>5</v>
      </c>
      <c r="V41" s="280"/>
      <c r="W41" s="28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79">
        <f>G23*1.1</f>
        <v>253.00000000000003</v>
      </c>
      <c r="V44" s="280"/>
      <c r="W44" s="28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 t="s">
        <v>95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 t="s">
        <v>97</v>
      </c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 t="s">
        <v>96</v>
      </c>
      <c r="H49" s="33"/>
      <c r="I49" s="33"/>
      <c r="J49" s="33"/>
      <c r="K49" s="33"/>
      <c r="M49" s="41"/>
      <c r="N49" s="41"/>
      <c r="O49" s="41"/>
      <c r="P49" s="33" t="s">
        <v>98</v>
      </c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79" t="s">
        <v>127</v>
      </c>
      <c r="H50" s="280"/>
      <c r="I50" s="280"/>
      <c r="J50" s="280"/>
      <c r="K50" s="280"/>
      <c r="L50" s="280"/>
      <c r="M50" s="281"/>
      <c r="N50" s="41"/>
      <c r="O50" s="41"/>
      <c r="P50" s="279" t="s">
        <v>128</v>
      </c>
      <c r="Q50" s="280"/>
      <c r="R50" s="280"/>
      <c r="S50" s="280"/>
      <c r="T50" s="280"/>
      <c r="U50" s="280"/>
      <c r="V50" s="280"/>
      <c r="W50" s="280"/>
      <c r="X50" s="281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4">
    <mergeCell ref="J17:M17"/>
    <mergeCell ref="U17:W17"/>
    <mergeCell ref="H11:K11"/>
    <mergeCell ref="H13:K13"/>
    <mergeCell ref="W7:Z7"/>
    <mergeCell ref="S11:Z11"/>
    <mergeCell ref="S13:Z13"/>
    <mergeCell ref="J19:M19"/>
    <mergeCell ref="U19:W19"/>
    <mergeCell ref="G23:I23"/>
    <mergeCell ref="N23:P23"/>
    <mergeCell ref="T23:W23"/>
    <mergeCell ref="H26:L26"/>
    <mergeCell ref="N26:P26"/>
    <mergeCell ref="T26:W26"/>
    <mergeCell ref="H28:L28"/>
    <mergeCell ref="N28:P28"/>
    <mergeCell ref="T28:W28"/>
    <mergeCell ref="W5:Z5"/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  <mergeCell ref="C26:D28"/>
  </mergeCells>
  <conditionalFormatting sqref="S11:Z11 S13:Z13">
    <cfRule type="cellIs" dxfId="2" priority="1" operator="equal">
      <formula>0</formula>
    </cfRule>
  </conditionalFormatting>
  <pageMargins left="0" right="0" top="0.25" bottom="0.25" header="0.3" footer="0.3"/>
  <pageSetup orientation="landscape" horizontalDpi="4294967292" r:id="rId1"/>
  <ignoredErrors>
    <ignoredError sqref="H9" numberStoredAsText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4:AI58"/>
  <sheetViews>
    <sheetView topLeftCell="B1" zoomScale="115" zoomScaleNormal="115" workbookViewId="0">
      <selection activeCell="B1" sqref="B1"/>
    </sheetView>
  </sheetViews>
  <sheetFormatPr defaultRowHeight="15" x14ac:dyDescent="0.25"/>
  <cols>
    <col min="1" max="1" width="2.42578125" style="229" hidden="1" customWidth="1"/>
    <col min="2" max="2" width="5.140625" style="229" customWidth="1"/>
    <col min="3" max="3" width="1.140625" style="229" customWidth="1"/>
    <col min="4" max="4" width="1.42578125" style="229" customWidth="1"/>
    <col min="5" max="5" width="0.85546875" style="229" customWidth="1"/>
    <col min="6" max="6" width="6" style="229" customWidth="1"/>
    <col min="7" max="7" width="5.7109375" style="229" customWidth="1"/>
    <col min="8" max="8" width="1.5703125" style="229" customWidth="1"/>
    <col min="9" max="9" width="2.7109375" style="229" customWidth="1"/>
    <col min="10" max="10" width="1.7109375" style="229" customWidth="1"/>
    <col min="11" max="11" width="3.140625" style="229" customWidth="1"/>
    <col min="12" max="25" width="1.85546875" style="229" customWidth="1"/>
    <col min="26" max="26" width="2.85546875" style="65" customWidth="1"/>
    <col min="27" max="27" width="5.85546875" style="229" customWidth="1"/>
    <col min="28" max="28" width="5.42578125" style="229" customWidth="1"/>
    <col min="29" max="29" width="6.7109375" style="229" customWidth="1"/>
    <col min="30" max="30" width="6.140625" style="229" bestFit="1" customWidth="1"/>
    <col min="31" max="31" width="3.28515625" style="229" customWidth="1"/>
    <col min="32" max="32" width="1.42578125" style="229" customWidth="1"/>
    <col min="33" max="34" width="1.5703125" style="229" customWidth="1"/>
    <col min="35" max="36" width="1.28515625" style="229" customWidth="1"/>
    <col min="37" max="37" width="1.5703125" style="229" customWidth="1"/>
    <col min="38" max="38" width="1.85546875" style="229" customWidth="1"/>
    <col min="39" max="39" width="1.5703125" style="229" customWidth="1"/>
    <col min="40" max="40" width="2" style="229" customWidth="1"/>
    <col min="41" max="42" width="1.5703125" style="229" customWidth="1"/>
    <col min="43" max="43" width="1.7109375" style="229" customWidth="1"/>
    <col min="44" max="44" width="0.85546875" style="229" customWidth="1"/>
    <col min="45" max="45" width="3" style="229" bestFit="1" customWidth="1"/>
    <col min="46" max="46" width="3.7109375" style="229" customWidth="1"/>
    <col min="47" max="47" width="4.140625" style="229" customWidth="1"/>
    <col min="48" max="48" width="3.85546875" style="229" customWidth="1"/>
    <col min="49" max="49" width="7.28515625" style="229" customWidth="1"/>
    <col min="50" max="50" width="10" style="229" bestFit="1" customWidth="1"/>
    <col min="51" max="51" width="8.7109375" style="229" customWidth="1"/>
    <col min="52" max="52" width="10.42578125" style="229" customWidth="1"/>
    <col min="53" max="53" width="10.28515625" style="229" customWidth="1"/>
    <col min="54" max="54" width="13.140625" style="229" bestFit="1" customWidth="1"/>
    <col min="55" max="55" width="10" style="229" bestFit="1" customWidth="1"/>
    <col min="56" max="56" width="18.140625" style="229" bestFit="1" customWidth="1"/>
    <col min="57" max="57" width="16.140625" style="229" bestFit="1" customWidth="1"/>
    <col min="58" max="58" width="26.28515625" style="229" bestFit="1" customWidth="1"/>
    <col min="59" max="59" width="27" style="229" bestFit="1" customWidth="1"/>
    <col min="60" max="60" width="34" style="229" bestFit="1" customWidth="1"/>
    <col min="61" max="16384" width="9.140625" style="229"/>
  </cols>
  <sheetData>
    <row r="4" spans="6:33" x14ac:dyDescent="0.25">
      <c r="W4" s="40"/>
      <c r="X4" s="40"/>
      <c r="Y4" s="40"/>
      <c r="Z4" s="64"/>
    </row>
    <row r="5" spans="6:33" x14ac:dyDescent="0.25">
      <c r="Q5" s="33"/>
      <c r="V5" s="228" t="s">
        <v>17</v>
      </c>
      <c r="W5" s="276">
        <f ca="1">TODAY()</f>
        <v>44529</v>
      </c>
      <c r="X5" s="277"/>
      <c r="Y5" s="277"/>
      <c r="Z5" s="278"/>
    </row>
    <row r="6" spans="6:33" ht="4.5" customHeight="1" x14ac:dyDescent="0.25">
      <c r="Q6" s="33"/>
    </row>
    <row r="7" spans="6:33" ht="13.5" customHeight="1" x14ac:dyDescent="0.25">
      <c r="V7" s="228" t="s">
        <v>0</v>
      </c>
      <c r="W7" s="290" t="s">
        <v>334</v>
      </c>
      <c r="X7" s="291"/>
      <c r="Y7" s="291"/>
      <c r="Z7" s="292"/>
    </row>
    <row r="8" spans="6:33" ht="4.5" customHeight="1" x14ac:dyDescent="0.25"/>
    <row r="9" spans="6:33" ht="13.5" customHeight="1" x14ac:dyDescent="0.25">
      <c r="F9" s="34" t="s">
        <v>1</v>
      </c>
      <c r="G9" s="48" t="s">
        <v>107</v>
      </c>
      <c r="H9" s="69" t="s">
        <v>138</v>
      </c>
      <c r="I9" s="10">
        <v>40</v>
      </c>
      <c r="J9" s="10" t="s">
        <v>321</v>
      </c>
      <c r="K9" s="226" t="s">
        <v>89</v>
      </c>
      <c r="L9" s="10" t="s">
        <v>62</v>
      </c>
      <c r="M9" s="10" t="s">
        <v>55</v>
      </c>
      <c r="N9" s="10" t="s">
        <v>112</v>
      </c>
      <c r="O9" s="10" t="s">
        <v>63</v>
      </c>
      <c r="P9" s="10" t="s">
        <v>92</v>
      </c>
      <c r="Q9" s="10" t="s">
        <v>118</v>
      </c>
      <c r="R9" s="10" t="s">
        <v>87</v>
      </c>
      <c r="S9" s="10" t="s">
        <v>121</v>
      </c>
      <c r="T9" s="10" t="s">
        <v>26</v>
      </c>
      <c r="U9" s="10" t="s">
        <v>72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139</v>
      </c>
      <c r="AA9" s="227" t="s">
        <v>103</v>
      </c>
      <c r="AB9" s="227"/>
      <c r="AC9" s="227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290" t="s">
        <v>32</v>
      </c>
      <c r="I11" s="291"/>
      <c r="J11" s="291"/>
      <c r="K11" s="292"/>
      <c r="L11" s="33"/>
      <c r="M11" s="33"/>
      <c r="N11" s="33"/>
      <c r="O11" s="33"/>
      <c r="R11" s="228" t="s">
        <v>16</v>
      </c>
      <c r="S11" s="288" t="str">
        <f>'CGWR Look Up Tables'!V30</f>
        <v>24 lbs per circuit</v>
      </c>
      <c r="T11" s="285"/>
      <c r="U11" s="285"/>
      <c r="V11" s="285"/>
      <c r="W11" s="285"/>
      <c r="X11" s="285"/>
      <c r="Y11" s="285"/>
      <c r="Z11" s="286"/>
    </row>
    <row r="12" spans="6:33" ht="4.5" customHeight="1" x14ac:dyDescent="0.25">
      <c r="F12" s="33"/>
      <c r="G12" s="33"/>
      <c r="H12" s="227"/>
      <c r="I12" s="227"/>
      <c r="J12" s="227"/>
      <c r="K12" s="227"/>
      <c r="L12" s="33"/>
      <c r="M12" s="33"/>
      <c r="N12" s="33"/>
      <c r="O12" s="33"/>
      <c r="P12" s="228"/>
      <c r="Q12" s="227"/>
      <c r="R12" s="227"/>
      <c r="S12" s="227"/>
      <c r="T12" s="227"/>
      <c r="U12" s="227"/>
      <c r="V12" s="227"/>
      <c r="W12" s="227"/>
      <c r="X12" s="227"/>
      <c r="Y12" s="227"/>
      <c r="Z12" s="68"/>
    </row>
    <row r="13" spans="6:33" ht="13.5" customHeight="1" x14ac:dyDescent="0.25">
      <c r="F13" s="33" t="s">
        <v>93</v>
      </c>
      <c r="G13" s="33"/>
      <c r="H13" s="290" t="s">
        <v>94</v>
      </c>
      <c r="I13" s="291"/>
      <c r="J13" s="291"/>
      <c r="K13" s="292"/>
      <c r="L13" s="33"/>
      <c r="M13" s="33"/>
      <c r="N13" s="33"/>
      <c r="O13" s="33"/>
      <c r="P13" s="228"/>
      <c r="Q13" s="227"/>
      <c r="R13" s="46" t="s">
        <v>100</v>
      </c>
      <c r="S13" s="288">
        <f>'CGWR Look Up Tables'!W30</f>
        <v>1577</v>
      </c>
      <c r="T13" s="285"/>
      <c r="U13" s="285"/>
      <c r="V13" s="285"/>
      <c r="W13" s="285"/>
      <c r="X13" s="285"/>
      <c r="Y13" s="285"/>
      <c r="Z13" s="28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288">
        <f>'CGWR Look Up Tables'!X30</f>
        <v>230</v>
      </c>
      <c r="K17" s="285"/>
      <c r="L17" s="285"/>
      <c r="M17" s="286"/>
      <c r="N17" s="34" t="s">
        <v>5</v>
      </c>
      <c r="O17" s="33"/>
      <c r="P17" s="33"/>
      <c r="Q17" s="33"/>
      <c r="R17" s="35"/>
      <c r="S17" s="35"/>
      <c r="T17" s="37"/>
      <c r="U17" s="284" t="str">
        <f>IF(I9&lt;31,"522","464")</f>
        <v>464</v>
      </c>
      <c r="V17" s="285"/>
      <c r="W17" s="28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284">
        <f>IF(NOT(G9="CCAR"),650,"N/A")</f>
        <v>650</v>
      </c>
      <c r="K19" s="285"/>
      <c r="L19" s="285"/>
      <c r="M19" s="286"/>
      <c r="N19" s="33" t="s">
        <v>5</v>
      </c>
      <c r="O19" s="33"/>
      <c r="P19" s="33"/>
      <c r="Q19" s="33"/>
      <c r="R19" s="33"/>
      <c r="S19" s="33"/>
      <c r="T19" s="37"/>
      <c r="U19" s="290">
        <v>653</v>
      </c>
      <c r="V19" s="291"/>
      <c r="W19" s="29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79">
        <f>'CGWR Look Up Tables'!F17</f>
        <v>460</v>
      </c>
      <c r="H23" s="280"/>
      <c r="I23" s="281"/>
      <c r="J23" s="33" t="s">
        <v>9</v>
      </c>
      <c r="K23" s="33"/>
      <c r="L23" s="33"/>
      <c r="M23" s="33"/>
      <c r="N23" s="290">
        <v>3</v>
      </c>
      <c r="O23" s="291"/>
      <c r="P23" s="292"/>
      <c r="Q23" s="33" t="s">
        <v>10</v>
      </c>
      <c r="R23" s="33"/>
      <c r="S23" s="33"/>
      <c r="T23" s="290">
        <v>60</v>
      </c>
      <c r="U23" s="291"/>
      <c r="V23" s="291"/>
      <c r="W23" s="29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282" t="s">
        <v>101</v>
      </c>
      <c r="D26" s="283"/>
      <c r="F26" s="34" t="s">
        <v>13</v>
      </c>
      <c r="G26" s="228"/>
      <c r="H26" s="289" t="str">
        <f>'CGWR Look Up Tables'!J30</f>
        <v>DSH120A4</v>
      </c>
      <c r="I26" s="285"/>
      <c r="J26" s="285"/>
      <c r="K26" s="285"/>
      <c r="L26" s="286"/>
      <c r="M26" s="33"/>
      <c r="N26" s="288">
        <f>'CGWR Look Up Tables'!P30</f>
        <v>18.589743589743588</v>
      </c>
      <c r="O26" s="285"/>
      <c r="P26" s="286"/>
      <c r="Q26" s="33" t="s">
        <v>14</v>
      </c>
      <c r="R26" s="33"/>
      <c r="S26" s="33"/>
      <c r="T26" s="288">
        <f>'CGWR Look Up Tables'!M30</f>
        <v>142</v>
      </c>
      <c r="U26" s="285"/>
      <c r="V26" s="285"/>
      <c r="W26" s="286"/>
      <c r="X26" s="33" t="s">
        <v>12</v>
      </c>
      <c r="Y26" s="33"/>
      <c r="Z26" s="67"/>
    </row>
    <row r="27" spans="3:35" ht="4.5" customHeight="1" x14ac:dyDescent="0.25">
      <c r="C27" s="282"/>
      <c r="D27" s="28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282"/>
      <c r="D28" s="283"/>
      <c r="F28" s="34" t="str">
        <f>IF(I9&lt;39, "Comp. #2 ", "Comp. #3")</f>
        <v>Comp. #3</v>
      </c>
      <c r="G28" s="228"/>
      <c r="H28" s="289" t="str">
        <f>H26</f>
        <v>DSH120A4</v>
      </c>
      <c r="I28" s="285"/>
      <c r="J28" s="285"/>
      <c r="K28" s="285"/>
      <c r="L28" s="286"/>
      <c r="M28" s="33"/>
      <c r="N28" s="288">
        <f>N26</f>
        <v>18.589743589743588</v>
      </c>
      <c r="O28" s="285"/>
      <c r="P28" s="286"/>
      <c r="Q28" s="33" t="s">
        <v>14</v>
      </c>
      <c r="R28" s="33"/>
      <c r="S28" s="33"/>
      <c r="T28" s="288">
        <f>T26</f>
        <v>142</v>
      </c>
      <c r="U28" s="285"/>
      <c r="V28" s="285"/>
      <c r="W28" s="28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282" t="s">
        <v>102</v>
      </c>
      <c r="D30" s="283"/>
      <c r="F30" s="34" t="str">
        <f>IF(I9&lt;39, "  ", "Comp. #2")</f>
        <v>Comp. #2</v>
      </c>
      <c r="G30" s="228"/>
      <c r="H30" s="284" t="str">
        <f>IF(I9&lt;31," ",'CGWR Look Up Tables'!L30)</f>
        <v>DSH240A4</v>
      </c>
      <c r="I30" s="285"/>
      <c r="J30" s="285"/>
      <c r="K30" s="285"/>
      <c r="L30" s="286"/>
      <c r="M30" s="33"/>
      <c r="N30" s="284">
        <f>IF(I9&lt;31," ",'CGWR Look Up Tables'!R30)</f>
        <v>33</v>
      </c>
      <c r="O30" s="285"/>
      <c r="P30" s="286"/>
      <c r="Q30" s="33" t="s">
        <v>14</v>
      </c>
      <c r="R30" s="33"/>
      <c r="S30" s="33"/>
      <c r="T30" s="284">
        <f>IF(I9&lt;31," ",'CGWR Look Up Tables'!O30)</f>
        <v>215</v>
      </c>
      <c r="U30" s="285"/>
      <c r="V30" s="285"/>
      <c r="W30" s="286"/>
      <c r="X30" s="33" t="s">
        <v>12</v>
      </c>
      <c r="Y30" s="33"/>
      <c r="Z30" s="67"/>
    </row>
    <row r="31" spans="3:35" ht="4.5" customHeight="1" x14ac:dyDescent="0.25">
      <c r="C31" s="282"/>
      <c r="D31" s="28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282"/>
      <c r="D32" s="283"/>
      <c r="F32" s="34"/>
      <c r="G32" s="228"/>
      <c r="H32" s="287"/>
      <c r="I32" s="287"/>
      <c r="J32" s="287"/>
      <c r="K32" s="287"/>
      <c r="L32" s="287"/>
      <c r="M32" s="35"/>
      <c r="N32" s="287"/>
      <c r="O32" s="287"/>
      <c r="P32" s="287"/>
      <c r="Q32" s="35"/>
      <c r="R32" s="33"/>
      <c r="S32" s="33"/>
      <c r="T32" s="287"/>
      <c r="U32" s="287"/>
      <c r="V32" s="287"/>
      <c r="W32" s="28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288">
        <f>'CGWR Look Up Tables'!S30</f>
        <v>78.044871794871781</v>
      </c>
      <c r="V34" s="285"/>
      <c r="W34" s="28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288">
        <f>'CGWR Look Up Tables'!T30</f>
        <v>110</v>
      </c>
      <c r="V36" s="285"/>
      <c r="W36" s="28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288">
        <f>'CGWR Look Up Tables'!U30</f>
        <v>90</v>
      </c>
      <c r="V38" s="285"/>
      <c r="W38" s="28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79">
        <f>IF(Q9="0 - Std 5 kA",5,100)</f>
        <v>5</v>
      </c>
      <c r="V41" s="280"/>
      <c r="W41" s="28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79">
        <f>G23*1.1</f>
        <v>506.00000000000006</v>
      </c>
      <c r="V44" s="280"/>
      <c r="W44" s="28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 t="s">
        <v>95</v>
      </c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 t="s">
        <v>97</v>
      </c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 t="s">
        <v>96</v>
      </c>
      <c r="H49" s="33"/>
      <c r="I49" s="33"/>
      <c r="J49" s="33"/>
      <c r="K49" s="33"/>
      <c r="M49" s="41"/>
      <c r="N49" s="41"/>
      <c r="O49" s="41"/>
      <c r="P49" s="33" t="s">
        <v>98</v>
      </c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79" t="s">
        <v>127</v>
      </c>
      <c r="H50" s="280"/>
      <c r="I50" s="280"/>
      <c r="J50" s="280"/>
      <c r="K50" s="280"/>
      <c r="L50" s="280"/>
      <c r="M50" s="281"/>
      <c r="N50" s="41"/>
      <c r="O50" s="41"/>
      <c r="P50" s="279" t="s">
        <v>128</v>
      </c>
      <c r="Q50" s="280"/>
      <c r="R50" s="280"/>
      <c r="S50" s="280"/>
      <c r="T50" s="280"/>
      <c r="U50" s="280"/>
      <c r="V50" s="280"/>
      <c r="W50" s="280"/>
      <c r="X50" s="281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4"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  <mergeCell ref="C26:D28"/>
    <mergeCell ref="H26:L26"/>
    <mergeCell ref="N26:P26"/>
    <mergeCell ref="T26:W26"/>
    <mergeCell ref="H28:L28"/>
    <mergeCell ref="N28:P28"/>
    <mergeCell ref="T28:W28"/>
    <mergeCell ref="J17:M17"/>
    <mergeCell ref="U17:W17"/>
    <mergeCell ref="J19:M19"/>
    <mergeCell ref="U19:W19"/>
    <mergeCell ref="G23:I23"/>
    <mergeCell ref="N23:P23"/>
    <mergeCell ref="T23:W23"/>
    <mergeCell ref="W5:Z5"/>
    <mergeCell ref="W7:Z7"/>
    <mergeCell ref="H11:K11"/>
    <mergeCell ref="S11:Z11"/>
    <mergeCell ref="H13:K13"/>
    <mergeCell ref="S13:Z13"/>
  </mergeCells>
  <conditionalFormatting sqref="S11:Z11 S13:Z13">
    <cfRule type="cellIs" dxfId="1" priority="1" operator="equal">
      <formula>0</formula>
    </cfRule>
  </conditionalFormatting>
  <pageMargins left="0" right="0" top="0.25" bottom="0.25" header="0.3" footer="0.3"/>
  <pageSetup orientation="landscape" horizontalDpi="4294967292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I58"/>
  <sheetViews>
    <sheetView topLeftCell="B1" zoomScale="115" zoomScaleNormal="115" workbookViewId="0">
      <selection activeCell="B1" sqref="B1"/>
    </sheetView>
  </sheetViews>
  <sheetFormatPr defaultRowHeight="15" x14ac:dyDescent="0.25"/>
  <cols>
    <col min="1" max="1" width="2.42578125" style="223" hidden="1" customWidth="1"/>
    <col min="2" max="2" width="5.140625" style="223" customWidth="1"/>
    <col min="3" max="3" width="1.140625" style="223" customWidth="1"/>
    <col min="4" max="4" width="1.42578125" style="223" customWidth="1"/>
    <col min="5" max="5" width="0.85546875" style="223" customWidth="1"/>
    <col min="6" max="6" width="6" style="223" customWidth="1"/>
    <col min="7" max="7" width="5.7109375" style="223" customWidth="1"/>
    <col min="8" max="8" width="1.5703125" style="223" customWidth="1"/>
    <col min="9" max="9" width="2.7109375" style="223" customWidth="1"/>
    <col min="10" max="10" width="1.7109375" style="223" customWidth="1"/>
    <col min="11" max="11" width="3.140625" style="223" customWidth="1"/>
    <col min="12" max="25" width="1.85546875" style="223" customWidth="1"/>
    <col min="26" max="26" width="2.85546875" style="65" customWidth="1"/>
    <col min="27" max="27" width="5.85546875" style="223" customWidth="1"/>
    <col min="28" max="28" width="5.42578125" style="223" customWidth="1"/>
    <col min="29" max="29" width="6.7109375" style="223" customWidth="1"/>
    <col min="30" max="30" width="6.140625" style="223" bestFit="1" customWidth="1"/>
    <col min="31" max="31" width="3.28515625" style="223" customWidth="1"/>
    <col min="32" max="32" width="1.42578125" style="223" customWidth="1"/>
    <col min="33" max="34" width="1.5703125" style="223" customWidth="1"/>
    <col min="35" max="36" width="1.28515625" style="223" customWidth="1"/>
    <col min="37" max="37" width="1.5703125" style="223" customWidth="1"/>
    <col min="38" max="38" width="1.85546875" style="223" customWidth="1"/>
    <col min="39" max="39" width="1.5703125" style="223" customWidth="1"/>
    <col min="40" max="40" width="2" style="223" customWidth="1"/>
    <col min="41" max="42" width="1.5703125" style="223" customWidth="1"/>
    <col min="43" max="43" width="1.7109375" style="223" customWidth="1"/>
    <col min="44" max="44" width="0.85546875" style="223" customWidth="1"/>
    <col min="45" max="45" width="3" style="223" bestFit="1" customWidth="1"/>
    <col min="46" max="46" width="3.7109375" style="223" customWidth="1"/>
    <col min="47" max="47" width="4.140625" style="223" customWidth="1"/>
    <col min="48" max="48" width="3.85546875" style="223" customWidth="1"/>
    <col min="49" max="49" width="7.28515625" style="223" customWidth="1"/>
    <col min="50" max="50" width="10" style="223" bestFit="1" customWidth="1"/>
    <col min="51" max="51" width="8.7109375" style="223" customWidth="1"/>
    <col min="52" max="52" width="10.42578125" style="223" customWidth="1"/>
    <col min="53" max="53" width="10.28515625" style="223" customWidth="1"/>
    <col min="54" max="54" width="13.140625" style="223" bestFit="1" customWidth="1"/>
    <col min="55" max="55" width="10" style="223" bestFit="1" customWidth="1"/>
    <col min="56" max="56" width="18.140625" style="223" bestFit="1" customWidth="1"/>
    <col min="57" max="57" width="16.140625" style="223" bestFit="1" customWidth="1"/>
    <col min="58" max="58" width="26.28515625" style="223" bestFit="1" customWidth="1"/>
    <col min="59" max="59" width="27" style="223" bestFit="1" customWidth="1"/>
    <col min="60" max="60" width="34" style="223" bestFit="1" customWidth="1"/>
    <col min="61" max="16384" width="9.140625" style="223"/>
  </cols>
  <sheetData>
    <row r="2" spans="6:33" ht="25.5" customHeight="1" x14ac:dyDescent="0.25"/>
    <row r="3" spans="6:33" x14ac:dyDescent="0.25">
      <c r="Q3" s="33"/>
      <c r="V3" s="202" t="s">
        <v>17</v>
      </c>
      <c r="W3" s="276">
        <f ca="1">TODAY()</f>
        <v>44529</v>
      </c>
      <c r="X3" s="277"/>
      <c r="Y3" s="277"/>
      <c r="Z3" s="278"/>
    </row>
    <row r="4" spans="6:33" ht="4.5" customHeight="1" x14ac:dyDescent="0.25">
      <c r="Q4" s="33"/>
    </row>
    <row r="5" spans="6:33" x14ac:dyDescent="0.25">
      <c r="V5" s="202" t="s">
        <v>0</v>
      </c>
      <c r="W5" s="290" t="s">
        <v>527</v>
      </c>
      <c r="X5" s="291"/>
      <c r="Y5" s="291"/>
      <c r="Z5" s="292"/>
    </row>
    <row r="6" spans="6:33" ht="4.5" customHeight="1" x14ac:dyDescent="0.25"/>
    <row r="7" spans="6:33" ht="13.5" customHeight="1" x14ac:dyDescent="0.25">
      <c r="K7" s="294" t="s">
        <v>333</v>
      </c>
      <c r="L7" s="294"/>
      <c r="M7" s="294"/>
      <c r="N7" s="294"/>
      <c r="O7" s="295"/>
      <c r="P7" s="225" t="s">
        <v>327</v>
      </c>
      <c r="Q7" s="10" t="s">
        <v>328</v>
      </c>
      <c r="R7" s="10" t="s">
        <v>329</v>
      </c>
      <c r="S7" s="10">
        <v>0</v>
      </c>
      <c r="T7" s="10" t="str">
        <f>LEFT(I9,1)</f>
        <v>5</v>
      </c>
      <c r="U7" s="10" t="str">
        <f>MID(I9,2,1)</f>
        <v>0</v>
      </c>
      <c r="V7" s="291" t="str">
        <f>IF(G23=460,"A  R",IF(G23=208,"C  D",IF(G23=230,"A  N","A  S")))</f>
        <v>A  R</v>
      </c>
      <c r="W7" s="291"/>
      <c r="X7" s="10" t="s">
        <v>330</v>
      </c>
      <c r="Y7" s="10" t="s">
        <v>331</v>
      </c>
      <c r="Z7" s="224" t="s">
        <v>332</v>
      </c>
    </row>
    <row r="8" spans="6:33" ht="4.5" customHeight="1" x14ac:dyDescent="0.25"/>
    <row r="9" spans="6:33" ht="13.5" customHeight="1" x14ac:dyDescent="0.25">
      <c r="F9" s="34" t="s">
        <v>1</v>
      </c>
      <c r="G9" s="48" t="s">
        <v>301</v>
      </c>
      <c r="H9" s="69" t="s">
        <v>138</v>
      </c>
      <c r="I9" s="10">
        <v>50</v>
      </c>
      <c r="J9" s="10" t="s">
        <v>321</v>
      </c>
      <c r="K9" s="222" t="s">
        <v>89</v>
      </c>
      <c r="L9" s="10" t="s">
        <v>91</v>
      </c>
      <c r="M9" s="10" t="s">
        <v>55</v>
      </c>
      <c r="N9" s="10" t="s">
        <v>111</v>
      </c>
      <c r="O9" s="10" t="s">
        <v>63</v>
      </c>
      <c r="P9" s="10" t="s">
        <v>88</v>
      </c>
      <c r="Q9" s="10" t="s">
        <v>118</v>
      </c>
      <c r="R9" s="10" t="s">
        <v>87</v>
      </c>
      <c r="S9" s="10" t="s">
        <v>121</v>
      </c>
      <c r="T9" s="10" t="s">
        <v>67</v>
      </c>
      <c r="U9" s="10" t="s">
        <v>73</v>
      </c>
      <c r="V9" s="10" t="s">
        <v>76</v>
      </c>
      <c r="W9" s="10" t="s">
        <v>81</v>
      </c>
      <c r="X9" s="61" t="s">
        <v>130</v>
      </c>
      <c r="Y9" s="62" t="s">
        <v>133</v>
      </c>
      <c r="Z9" s="66" t="s">
        <v>140</v>
      </c>
      <c r="AA9" s="221" t="s">
        <v>103</v>
      </c>
      <c r="AB9" s="221"/>
      <c r="AC9" s="221"/>
    </row>
    <row r="10" spans="6:33" ht="4.5" customHeight="1" x14ac:dyDescent="0.25"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67"/>
    </row>
    <row r="11" spans="6:33" ht="13.5" customHeight="1" x14ac:dyDescent="0.25">
      <c r="F11" s="33" t="s">
        <v>2</v>
      </c>
      <c r="G11" s="33"/>
      <c r="H11" s="290" t="s">
        <v>32</v>
      </c>
      <c r="I11" s="291"/>
      <c r="J11" s="291"/>
      <c r="K11" s="292"/>
      <c r="L11" s="33"/>
      <c r="M11" s="33"/>
      <c r="N11" s="33"/>
      <c r="O11" s="33"/>
      <c r="R11" s="202" t="s">
        <v>16</v>
      </c>
      <c r="S11" s="288" t="str">
        <f>'CGWR Look Up Tables'!V31</f>
        <v>N/A</v>
      </c>
      <c r="T11" s="285"/>
      <c r="U11" s="285"/>
      <c r="V11" s="285"/>
      <c r="W11" s="285"/>
      <c r="X11" s="285"/>
      <c r="Y11" s="285"/>
      <c r="Z11" s="286"/>
    </row>
    <row r="12" spans="6:33" ht="4.5" customHeight="1" x14ac:dyDescent="0.25">
      <c r="F12" s="33"/>
      <c r="G12" s="33"/>
      <c r="H12" s="221"/>
      <c r="I12" s="221"/>
      <c r="J12" s="221"/>
      <c r="K12" s="221"/>
      <c r="L12" s="33"/>
      <c r="M12" s="33"/>
      <c r="N12" s="33"/>
      <c r="O12" s="33"/>
      <c r="P12" s="202"/>
      <c r="Q12" s="221"/>
      <c r="R12" s="221"/>
      <c r="S12" s="221"/>
      <c r="T12" s="221"/>
      <c r="U12" s="221"/>
      <c r="V12" s="221"/>
      <c r="W12" s="221"/>
      <c r="X12" s="221"/>
      <c r="Y12" s="221"/>
      <c r="Z12" s="68"/>
    </row>
    <row r="13" spans="6:33" ht="13.5" customHeight="1" x14ac:dyDescent="0.25">
      <c r="F13" s="33" t="s">
        <v>93</v>
      </c>
      <c r="G13" s="33"/>
      <c r="H13" s="290" t="s">
        <v>94</v>
      </c>
      <c r="I13" s="291"/>
      <c r="J13" s="291"/>
      <c r="K13" s="292"/>
      <c r="L13" s="33"/>
      <c r="M13" s="33"/>
      <c r="N13" s="33"/>
      <c r="O13" s="33"/>
      <c r="P13" s="202"/>
      <c r="Q13" s="221"/>
      <c r="R13" s="46" t="s">
        <v>100</v>
      </c>
      <c r="S13" s="288">
        <f>'CGWR Look Up Tables'!W31</f>
        <v>0</v>
      </c>
      <c r="T13" s="285"/>
      <c r="U13" s="285"/>
      <c r="V13" s="285"/>
      <c r="W13" s="285"/>
      <c r="X13" s="285"/>
      <c r="Y13" s="285"/>
      <c r="Z13" s="286"/>
    </row>
    <row r="14" spans="6:33" ht="4.5" customHeight="1" x14ac:dyDescent="0.25"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67"/>
    </row>
    <row r="15" spans="6:33" ht="13.5" customHeight="1" x14ac:dyDescent="0.25">
      <c r="F15" s="36" t="s">
        <v>3</v>
      </c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67"/>
      <c r="AD15" s="2"/>
      <c r="AE15" s="2"/>
      <c r="AF15" s="2"/>
      <c r="AG15" s="2"/>
    </row>
    <row r="16" spans="6:33" ht="4.5" customHeight="1" x14ac:dyDescent="0.25"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67"/>
      <c r="AD16" s="2"/>
      <c r="AE16" s="2"/>
      <c r="AF16" s="2"/>
      <c r="AG16" s="2"/>
    </row>
    <row r="17" spans="3:35" ht="13.5" customHeight="1" x14ac:dyDescent="0.25">
      <c r="F17" s="33" t="s">
        <v>4</v>
      </c>
      <c r="G17" s="33"/>
      <c r="H17" s="35"/>
      <c r="I17" s="35"/>
      <c r="J17" s="288">
        <f>'CGWR Look Up Tables'!X31</f>
        <v>230</v>
      </c>
      <c r="K17" s="285"/>
      <c r="L17" s="285"/>
      <c r="M17" s="286"/>
      <c r="N17" s="34" t="s">
        <v>5</v>
      </c>
      <c r="O17" s="33"/>
      <c r="P17" s="33"/>
      <c r="Q17" s="33"/>
      <c r="R17" s="35"/>
      <c r="S17" s="35"/>
      <c r="T17" s="37"/>
      <c r="U17" s="284" t="str">
        <f>IF(I9&lt;31,"522","464")</f>
        <v>464</v>
      </c>
      <c r="V17" s="285"/>
      <c r="W17" s="286"/>
      <c r="X17" s="34" t="s">
        <v>6</v>
      </c>
      <c r="Y17" s="33"/>
      <c r="Z17" s="67"/>
      <c r="AD17" s="37"/>
      <c r="AE17" s="37"/>
      <c r="AF17" s="37"/>
      <c r="AG17" s="2"/>
    </row>
    <row r="18" spans="3:35" ht="4.5" customHeight="1" x14ac:dyDescent="0.25">
      <c r="F18" s="33"/>
      <c r="G18" s="33"/>
      <c r="H18" s="33"/>
      <c r="I18" s="33"/>
      <c r="J18" s="199"/>
      <c r="K18" s="199"/>
      <c r="L18" s="199"/>
      <c r="M18" s="199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67"/>
      <c r="AD18" s="2"/>
      <c r="AE18" s="2"/>
      <c r="AF18" s="2"/>
      <c r="AG18" s="2"/>
    </row>
    <row r="19" spans="3:35" ht="13.5" customHeight="1" x14ac:dyDescent="0.25">
      <c r="F19" s="33" t="s">
        <v>7</v>
      </c>
      <c r="G19" s="33"/>
      <c r="H19" s="33"/>
      <c r="I19" s="33"/>
      <c r="J19" s="284">
        <f>IF(NOT(G9="CCAR"),650,"N/A")</f>
        <v>650</v>
      </c>
      <c r="K19" s="285"/>
      <c r="L19" s="285"/>
      <c r="M19" s="286"/>
      <c r="N19" s="33" t="s">
        <v>5</v>
      </c>
      <c r="O19" s="33"/>
      <c r="P19" s="33"/>
      <c r="Q19" s="33"/>
      <c r="R19" s="33"/>
      <c r="S19" s="33"/>
      <c r="T19" s="37"/>
      <c r="U19" s="290">
        <v>653</v>
      </c>
      <c r="V19" s="291"/>
      <c r="W19" s="292"/>
      <c r="X19" s="33" t="s">
        <v>6</v>
      </c>
      <c r="Y19" s="33"/>
      <c r="Z19" s="67"/>
      <c r="AD19" s="2"/>
      <c r="AE19" s="2"/>
      <c r="AF19" s="2"/>
      <c r="AG19" s="2"/>
    </row>
    <row r="20" spans="3:35" ht="4.5" customHeight="1" x14ac:dyDescent="0.25"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67"/>
      <c r="AI20" s="1"/>
    </row>
    <row r="21" spans="3:35" ht="13.5" customHeight="1" x14ac:dyDescent="0.25">
      <c r="F21" s="36" t="s">
        <v>8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67"/>
    </row>
    <row r="22" spans="3:35" ht="4.5" customHeight="1" x14ac:dyDescent="0.25"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67"/>
    </row>
    <row r="23" spans="3:35" ht="13.5" customHeight="1" x14ac:dyDescent="0.25">
      <c r="F23" s="38" t="s">
        <v>35</v>
      </c>
      <c r="G23" s="279">
        <f>'CGWR Look Up Tables'!F23</f>
        <v>460</v>
      </c>
      <c r="H23" s="280"/>
      <c r="I23" s="281"/>
      <c r="J23" s="33" t="s">
        <v>9</v>
      </c>
      <c r="K23" s="33"/>
      <c r="L23" s="33"/>
      <c r="M23" s="33"/>
      <c r="N23" s="290">
        <v>3</v>
      </c>
      <c r="O23" s="291"/>
      <c r="P23" s="292"/>
      <c r="Q23" s="33" t="s">
        <v>10</v>
      </c>
      <c r="R23" s="33"/>
      <c r="S23" s="33"/>
      <c r="T23" s="290">
        <v>60</v>
      </c>
      <c r="U23" s="291"/>
      <c r="V23" s="291"/>
      <c r="W23" s="292"/>
      <c r="X23" s="33" t="s">
        <v>11</v>
      </c>
      <c r="Y23" s="33"/>
      <c r="Z23" s="67"/>
    </row>
    <row r="24" spans="3:35" ht="4.5" customHeight="1" x14ac:dyDescent="0.25"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67"/>
    </row>
    <row r="25" spans="3:35" ht="13.5" customHeight="1" x14ac:dyDescent="0.25">
      <c r="F25" s="33"/>
      <c r="G25" s="33"/>
      <c r="H25" s="33" t="s">
        <v>1</v>
      </c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67"/>
    </row>
    <row r="26" spans="3:35" ht="13.5" customHeight="1" x14ac:dyDescent="0.25">
      <c r="C26" s="282" t="s">
        <v>101</v>
      </c>
      <c r="D26" s="283"/>
      <c r="F26" s="34" t="s">
        <v>13</v>
      </c>
      <c r="G26" s="202"/>
      <c r="H26" s="289" t="str">
        <f>'CGWR Look Up Tables'!J31</f>
        <v>DSH140A4</v>
      </c>
      <c r="I26" s="285"/>
      <c r="J26" s="285"/>
      <c r="K26" s="285"/>
      <c r="L26" s="286"/>
      <c r="M26" s="33"/>
      <c r="N26" s="288">
        <f>'CGWR Look Up Tables'!P31</f>
        <v>19.23076923076923</v>
      </c>
      <c r="O26" s="285"/>
      <c r="P26" s="286"/>
      <c r="Q26" s="33" t="s">
        <v>14</v>
      </c>
      <c r="R26" s="33"/>
      <c r="S26" s="33"/>
      <c r="T26" s="288">
        <f>'CGWR Look Up Tables'!M31</f>
        <v>147</v>
      </c>
      <c r="U26" s="285"/>
      <c r="V26" s="285"/>
      <c r="W26" s="286"/>
      <c r="X26" s="33" t="s">
        <v>12</v>
      </c>
      <c r="Y26" s="33"/>
      <c r="Z26" s="67"/>
    </row>
    <row r="27" spans="3:35" ht="4.5" customHeight="1" x14ac:dyDescent="0.25">
      <c r="C27" s="282"/>
      <c r="D27" s="283"/>
      <c r="F27" s="34"/>
      <c r="G27" s="33"/>
      <c r="H27" s="199"/>
      <c r="I27" s="199"/>
      <c r="J27" s="199"/>
      <c r="K27" s="199"/>
      <c r="L27" s="199"/>
      <c r="M27" s="33"/>
      <c r="N27" s="199"/>
      <c r="O27" s="199"/>
      <c r="P27" s="199"/>
      <c r="Q27" s="33"/>
      <c r="R27" s="33"/>
      <c r="S27" s="33"/>
      <c r="T27" s="199"/>
      <c r="U27" s="199"/>
      <c r="V27" s="199"/>
      <c r="W27" s="199"/>
      <c r="X27" s="33"/>
      <c r="Y27" s="33"/>
      <c r="Z27" s="67"/>
      <c r="AD27" s="1"/>
    </row>
    <row r="28" spans="3:35" ht="13.5" customHeight="1" x14ac:dyDescent="0.25">
      <c r="C28" s="282"/>
      <c r="D28" s="283"/>
      <c r="F28" s="34" t="str">
        <f>IF(I9&lt;39, "Comp. #2 ", "Comp. #3")</f>
        <v>Comp. #3</v>
      </c>
      <c r="G28" s="202"/>
      <c r="H28" s="289" t="str">
        <f>H26</f>
        <v>DSH140A4</v>
      </c>
      <c r="I28" s="285"/>
      <c r="J28" s="285"/>
      <c r="K28" s="285"/>
      <c r="L28" s="286"/>
      <c r="M28" s="33"/>
      <c r="N28" s="288">
        <f>N26</f>
        <v>19.23076923076923</v>
      </c>
      <c r="O28" s="285"/>
      <c r="P28" s="286"/>
      <c r="Q28" s="33" t="s">
        <v>14</v>
      </c>
      <c r="R28" s="33"/>
      <c r="S28" s="33"/>
      <c r="T28" s="288">
        <f>T26</f>
        <v>147</v>
      </c>
      <c r="U28" s="285"/>
      <c r="V28" s="285"/>
      <c r="W28" s="286"/>
      <c r="X28" s="33" t="s">
        <v>12</v>
      </c>
      <c r="Y28" s="33"/>
      <c r="Z28" s="67"/>
    </row>
    <row r="29" spans="3:35" ht="4.5" customHeight="1" x14ac:dyDescent="0.25">
      <c r="F29" s="34"/>
      <c r="G29" s="33"/>
      <c r="H29" s="199"/>
      <c r="I29" s="199"/>
      <c r="J29" s="199"/>
      <c r="K29" s="199"/>
      <c r="L29" s="199"/>
      <c r="M29" s="33"/>
      <c r="N29" s="199"/>
      <c r="O29" s="199"/>
      <c r="P29" s="199"/>
      <c r="Q29" s="33"/>
      <c r="R29" s="33"/>
      <c r="S29" s="33"/>
      <c r="T29" s="199"/>
      <c r="U29" s="199"/>
      <c r="V29" s="199"/>
      <c r="W29" s="199"/>
      <c r="X29" s="33"/>
      <c r="Y29" s="33"/>
      <c r="Z29" s="67"/>
    </row>
    <row r="30" spans="3:35" ht="13.5" customHeight="1" x14ac:dyDescent="0.25">
      <c r="C30" s="282" t="s">
        <v>102</v>
      </c>
      <c r="D30" s="283"/>
      <c r="F30" s="34" t="str">
        <f>IF(I9&lt;39, "  ", "Comp. #2")</f>
        <v>Comp. #2</v>
      </c>
      <c r="G30" s="202"/>
      <c r="H30" s="284" t="str">
        <f>IF(I9&lt;31," ",'CGWR Look Up Tables'!L31)</f>
        <v>DSH295A4</v>
      </c>
      <c r="I30" s="285"/>
      <c r="J30" s="285"/>
      <c r="K30" s="285"/>
      <c r="L30" s="286"/>
      <c r="M30" s="33"/>
      <c r="N30" s="284">
        <f>IF(I9&lt;31," ",'CGWR Look Up Tables'!R31)</f>
        <v>40</v>
      </c>
      <c r="O30" s="285"/>
      <c r="P30" s="286"/>
      <c r="Q30" s="33" t="s">
        <v>14</v>
      </c>
      <c r="R30" s="33"/>
      <c r="S30" s="33"/>
      <c r="T30" s="284">
        <f>IF(I9&lt;31," ",'CGWR Look Up Tables'!O31)</f>
        <v>260</v>
      </c>
      <c r="U30" s="285"/>
      <c r="V30" s="285"/>
      <c r="W30" s="286"/>
      <c r="X30" s="33" t="s">
        <v>12</v>
      </c>
      <c r="Y30" s="33"/>
      <c r="Z30" s="67"/>
    </row>
    <row r="31" spans="3:35" ht="4.5" customHeight="1" x14ac:dyDescent="0.25">
      <c r="C31" s="282"/>
      <c r="D31" s="283"/>
      <c r="F31" s="34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67"/>
    </row>
    <row r="32" spans="3:35" ht="13.5" customHeight="1" x14ac:dyDescent="0.25">
      <c r="C32" s="282"/>
      <c r="D32" s="283"/>
      <c r="F32" s="34"/>
      <c r="G32" s="202"/>
      <c r="H32" s="287"/>
      <c r="I32" s="287"/>
      <c r="J32" s="287"/>
      <c r="K32" s="287"/>
      <c r="L32" s="287"/>
      <c r="M32" s="35"/>
      <c r="N32" s="287"/>
      <c r="O32" s="287"/>
      <c r="P32" s="287"/>
      <c r="Q32" s="35"/>
      <c r="R32" s="33"/>
      <c r="S32" s="33"/>
      <c r="T32" s="287"/>
      <c r="U32" s="287"/>
      <c r="V32" s="287"/>
      <c r="W32" s="287"/>
      <c r="X32" s="35"/>
      <c r="Y32" s="33"/>
      <c r="Z32" s="67"/>
    </row>
    <row r="33" spans="6:26" ht="4.5" customHeight="1" x14ac:dyDescent="0.25">
      <c r="F33" s="33"/>
      <c r="G33" s="33"/>
      <c r="H33" s="33"/>
      <c r="I33" s="33"/>
      <c r="J33" s="33"/>
      <c r="K33" s="35"/>
      <c r="L33" s="33"/>
      <c r="M33" s="33"/>
      <c r="N33" s="35"/>
      <c r="O33" s="35"/>
      <c r="P33" s="33"/>
      <c r="Q33" s="33"/>
      <c r="R33" s="33"/>
      <c r="S33" s="33"/>
      <c r="T33" s="35"/>
      <c r="U33" s="63"/>
      <c r="V33" s="33"/>
      <c r="W33" s="33"/>
      <c r="X33" s="33"/>
      <c r="Y33" s="33"/>
      <c r="Z33" s="67"/>
    </row>
    <row r="34" spans="6:26" ht="13.5" customHeight="1" x14ac:dyDescent="0.25">
      <c r="F34" s="34" t="s">
        <v>39</v>
      </c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7"/>
      <c r="U34" s="288">
        <f>'CGWR Look Up Tables'!S31</f>
        <v>88.141025641025635</v>
      </c>
      <c r="V34" s="285"/>
      <c r="W34" s="286"/>
      <c r="X34" s="33" t="s">
        <v>15</v>
      </c>
      <c r="Y34" s="33"/>
      <c r="Z34" s="67"/>
    </row>
    <row r="35" spans="6:26" ht="4.5" customHeight="1" x14ac:dyDescent="0.25"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67"/>
    </row>
    <row r="36" spans="6:26" ht="13.5" customHeight="1" x14ac:dyDescent="0.25">
      <c r="F36" s="34" t="s">
        <v>40</v>
      </c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7"/>
      <c r="U36" s="288">
        <f>'CGWR Look Up Tables'!T31</f>
        <v>125</v>
      </c>
      <c r="V36" s="285"/>
      <c r="W36" s="286"/>
      <c r="X36" s="33" t="s">
        <v>15</v>
      </c>
      <c r="Y36" s="33"/>
      <c r="Z36" s="67"/>
    </row>
    <row r="37" spans="6:26" ht="4.5" customHeight="1" x14ac:dyDescent="0.25"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67"/>
    </row>
    <row r="38" spans="6:26" ht="13.5" customHeight="1" x14ac:dyDescent="0.25">
      <c r="F38" s="33" t="s">
        <v>41</v>
      </c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7"/>
      <c r="U38" s="288">
        <f>'CGWR Look Up Tables'!U31</f>
        <v>100</v>
      </c>
      <c r="V38" s="285"/>
      <c r="W38" s="286"/>
      <c r="X38" s="33" t="s">
        <v>15</v>
      </c>
      <c r="Y38" s="33"/>
      <c r="Z38" s="67"/>
    </row>
    <row r="39" spans="6:26" ht="13.5" customHeight="1" x14ac:dyDescent="0.25">
      <c r="F39" s="33" t="s">
        <v>42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5"/>
      <c r="U39" s="35"/>
      <c r="V39" s="35"/>
      <c r="W39" s="35"/>
      <c r="X39" s="33"/>
      <c r="Y39" s="33"/>
      <c r="Z39" s="67"/>
    </row>
    <row r="40" spans="6:26" ht="4.5" customHeight="1" x14ac:dyDescent="0.25"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5"/>
      <c r="U40" s="35"/>
      <c r="V40" s="35"/>
      <c r="W40" s="35"/>
      <c r="X40" s="33"/>
      <c r="Y40" s="33"/>
      <c r="Z40" s="67"/>
    </row>
    <row r="41" spans="6:26" ht="13.5" customHeight="1" x14ac:dyDescent="0.25">
      <c r="F41" s="33" t="s">
        <v>47</v>
      </c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5"/>
      <c r="U41" s="279">
        <f>IF(Q9="0 - Std 5 kA",5,100)</f>
        <v>5</v>
      </c>
      <c r="V41" s="280"/>
      <c r="W41" s="281"/>
      <c r="X41" s="33" t="s">
        <v>46</v>
      </c>
      <c r="Y41" s="33"/>
      <c r="Z41" s="67"/>
    </row>
    <row r="42" spans="6:26" ht="13.5" customHeight="1" x14ac:dyDescent="0.25">
      <c r="F42" s="33" t="s">
        <v>48</v>
      </c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5"/>
      <c r="U42" s="35"/>
      <c r="V42" s="35"/>
      <c r="W42" s="35"/>
      <c r="X42" s="33"/>
      <c r="Y42" s="33"/>
      <c r="Z42" s="67"/>
    </row>
    <row r="43" spans="6:26" ht="4.5" customHeight="1" x14ac:dyDescent="0.25"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5"/>
      <c r="U43" s="35"/>
      <c r="V43" s="35"/>
      <c r="W43" s="35"/>
      <c r="X43" s="33"/>
      <c r="Y43" s="33"/>
      <c r="Z43" s="67"/>
    </row>
    <row r="44" spans="6:26" ht="13.5" customHeight="1" x14ac:dyDescent="0.25">
      <c r="F44" s="33" t="s">
        <v>50</v>
      </c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5"/>
      <c r="U44" s="279">
        <f>G23*1.1</f>
        <v>506.00000000000006</v>
      </c>
      <c r="V44" s="280"/>
      <c r="W44" s="281"/>
      <c r="X44" s="33" t="s">
        <v>9</v>
      </c>
      <c r="Y44" s="33"/>
      <c r="Z44" s="67"/>
    </row>
    <row r="45" spans="6:26" ht="4.5" customHeight="1" x14ac:dyDescent="0.25"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5"/>
      <c r="U45" s="35"/>
      <c r="V45" s="35"/>
      <c r="W45" s="35"/>
      <c r="X45" s="33"/>
      <c r="Y45" s="33"/>
      <c r="Z45" s="67"/>
    </row>
    <row r="46" spans="6:26" ht="13.5" customHeight="1" x14ac:dyDescent="0.25">
      <c r="F46" s="36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5"/>
      <c r="U46" s="35"/>
      <c r="V46" s="35"/>
      <c r="W46" s="35"/>
      <c r="X46" s="33"/>
      <c r="Y46" s="33"/>
      <c r="Z46" s="67"/>
    </row>
    <row r="47" spans="6:26" ht="4.5" customHeight="1" x14ac:dyDescent="0.25"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5"/>
      <c r="U47" s="35"/>
      <c r="V47" s="35"/>
      <c r="W47" s="35"/>
      <c r="X47" s="33"/>
      <c r="Y47" s="33"/>
      <c r="Z47" s="67"/>
    </row>
    <row r="48" spans="6:26" ht="13.5" customHeight="1" x14ac:dyDescent="0.25">
      <c r="G48" s="33"/>
      <c r="H48" s="33"/>
      <c r="I48" s="33"/>
      <c r="J48" s="33"/>
      <c r="K48" s="33"/>
      <c r="M48" s="33"/>
      <c r="N48" s="33"/>
      <c r="O48" s="33"/>
      <c r="P48" s="33"/>
      <c r="Q48" s="33"/>
      <c r="R48" s="33"/>
      <c r="S48" s="33"/>
      <c r="T48" s="35"/>
      <c r="U48" s="35"/>
      <c r="V48" s="35"/>
      <c r="W48" s="35"/>
      <c r="X48" s="33"/>
      <c r="Y48" s="33"/>
      <c r="Z48" s="67"/>
    </row>
    <row r="49" spans="6:26" ht="13.5" customHeight="1" x14ac:dyDescent="0.25">
      <c r="G49" s="33"/>
      <c r="H49" s="33"/>
      <c r="I49" s="33"/>
      <c r="J49" s="33"/>
      <c r="K49" s="33"/>
      <c r="M49" s="41"/>
      <c r="N49" s="41"/>
      <c r="O49" s="41"/>
      <c r="P49" s="33"/>
      <c r="Q49" s="41"/>
      <c r="R49" s="41"/>
      <c r="S49" s="41"/>
      <c r="T49" s="35"/>
      <c r="U49" s="35"/>
      <c r="V49" s="35"/>
      <c r="W49" s="35"/>
      <c r="X49" s="33"/>
      <c r="Y49" s="33"/>
      <c r="Z49" s="67"/>
    </row>
    <row r="50" spans="6:26" ht="13.5" customHeight="1" x14ac:dyDescent="0.25">
      <c r="G50" s="293"/>
      <c r="H50" s="293"/>
      <c r="I50" s="293"/>
      <c r="J50" s="293"/>
      <c r="K50" s="293"/>
      <c r="L50" s="293"/>
      <c r="M50" s="293"/>
      <c r="N50" s="41"/>
      <c r="O50" s="41"/>
      <c r="P50" s="293"/>
      <c r="Q50" s="293"/>
      <c r="R50" s="293"/>
      <c r="S50" s="293"/>
      <c r="T50" s="293"/>
      <c r="U50" s="293"/>
      <c r="V50" s="293"/>
      <c r="W50" s="293"/>
      <c r="X50" s="293"/>
      <c r="Y50" s="33"/>
      <c r="Z50" s="67"/>
    </row>
    <row r="51" spans="6:26" ht="7.5" customHeight="1" x14ac:dyDescent="0.25"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9"/>
      <c r="S51" s="39"/>
      <c r="T51" s="39"/>
      <c r="U51" s="39"/>
      <c r="V51" s="39"/>
      <c r="W51" s="39"/>
      <c r="X51" s="33"/>
      <c r="Y51" s="33"/>
      <c r="Z51" s="67"/>
    </row>
    <row r="52" spans="6:26" ht="13.5" customHeight="1" x14ac:dyDescent="0.25"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9"/>
      <c r="S52" s="39"/>
      <c r="T52" s="39"/>
      <c r="U52" s="39"/>
      <c r="V52" s="39"/>
      <c r="W52" s="39"/>
      <c r="X52" s="33"/>
      <c r="Y52" s="33"/>
      <c r="Z52" s="67"/>
    </row>
    <row r="53" spans="6:26" x14ac:dyDescent="0.25">
      <c r="F53" s="19" t="s">
        <v>105</v>
      </c>
    </row>
    <row r="56" spans="6:26" x14ac:dyDescent="0.25">
      <c r="G56" s="33"/>
    </row>
    <row r="58" spans="6:26" x14ac:dyDescent="0.25">
      <c r="N58" s="33"/>
    </row>
  </sheetData>
  <sheetProtection selectLockedCells="1"/>
  <mergeCells count="36">
    <mergeCell ref="H13:K13"/>
    <mergeCell ref="S13:Z13"/>
    <mergeCell ref="W3:Z3"/>
    <mergeCell ref="W5:Z5"/>
    <mergeCell ref="K7:O7"/>
    <mergeCell ref="H11:K11"/>
    <mergeCell ref="S11:Z11"/>
    <mergeCell ref="V7:W7"/>
    <mergeCell ref="J17:M17"/>
    <mergeCell ref="U17:W17"/>
    <mergeCell ref="J19:M19"/>
    <mergeCell ref="U19:W19"/>
    <mergeCell ref="G23:I23"/>
    <mergeCell ref="N23:P23"/>
    <mergeCell ref="T23:W23"/>
    <mergeCell ref="C26:D28"/>
    <mergeCell ref="H26:L26"/>
    <mergeCell ref="N26:P26"/>
    <mergeCell ref="T26:W26"/>
    <mergeCell ref="H28:L28"/>
    <mergeCell ref="N28:P28"/>
    <mergeCell ref="T28:W28"/>
    <mergeCell ref="G50:M50"/>
    <mergeCell ref="P50:X50"/>
    <mergeCell ref="C30:D32"/>
    <mergeCell ref="H30:L30"/>
    <mergeCell ref="N30:P30"/>
    <mergeCell ref="T30:W30"/>
    <mergeCell ref="H32:L32"/>
    <mergeCell ref="N32:P32"/>
    <mergeCell ref="T32:W32"/>
    <mergeCell ref="U34:W34"/>
    <mergeCell ref="U36:W36"/>
    <mergeCell ref="U38:W38"/>
    <mergeCell ref="U41:W41"/>
    <mergeCell ref="U44:W44"/>
  </mergeCells>
  <conditionalFormatting sqref="S11:Z11 S13:Z13">
    <cfRule type="cellIs" dxfId="0" priority="1" operator="equal">
      <formula>0</formula>
    </cfRule>
  </conditionalFormatting>
  <pageMargins left="0" right="0" top="0.25" bottom="0.25" header="0.3" footer="0.3"/>
  <pageSetup orientation="landscape" horizontalDpi="4294967292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'CGWR Look Up Tables'!$AT$4:$AT$8</xm:f>
          </x14:formula1>
          <xm:sqref>Y9</xm:sqref>
        </x14:dataValidation>
        <x14:dataValidation type="list" allowBlank="1" showInputMessage="1" showErrorMessage="1">
          <x14:formula1>
            <xm:f>'CGWR Look Up Tables'!$AM$4:$AM$6</xm:f>
          </x14:formula1>
          <xm:sqref>R9</xm:sqref>
        </x14:dataValidation>
        <x14:dataValidation type="list" allowBlank="1" showInputMessage="1" showErrorMessage="1">
          <x14:formula1>
            <xm:f>'CGWR Look Up Tables'!$AE$4:$AE$7</xm:f>
          </x14:formula1>
          <xm:sqref>J9</xm:sqref>
        </x14:dataValidation>
        <x14:dataValidation type="list" allowBlank="1" showInputMessage="1" showErrorMessage="1">
          <x14:formula1>
            <xm:f>'CGWR Look Up Tables'!$AU$4:$AU$5</xm:f>
          </x14:formula1>
          <xm:sqref>Z9</xm:sqref>
        </x14:dataValidation>
        <x14:dataValidation type="list" allowBlank="1" showInputMessage="1" showErrorMessage="1">
          <x14:formula1>
            <xm:f>'CGWR Look Up Tables'!$AD$4:$AD$9</xm:f>
          </x14:formula1>
          <xm:sqref>I9</xm:sqref>
        </x14:dataValidation>
        <x14:dataValidation type="list" allowBlank="1" showInputMessage="1" showErrorMessage="1">
          <x14:formula1>
            <xm:f>'CGWR Look Up Tables'!$AI$4:$AI$6</xm:f>
          </x14:formula1>
          <xm:sqref>N9</xm:sqref>
        </x14:dataValidation>
        <x14:dataValidation type="list" allowBlank="1" showInputMessage="1" showErrorMessage="1">
          <x14:formula1>
            <xm:f>'CGWR Look Up Tables'!$AN$4:$AN$5</xm:f>
          </x14:formula1>
          <xm:sqref>S9</xm:sqref>
        </x14:dataValidation>
        <x14:dataValidation type="list" allowBlank="1" showInputMessage="1" showErrorMessage="1">
          <x14:formula1>
            <xm:f>'CGWR Look Up Tables'!$AR$4:$AR$5</xm:f>
          </x14:formula1>
          <xm:sqref>W9</xm:sqref>
        </x14:dataValidation>
        <x14:dataValidation type="list" allowBlank="1" showInputMessage="1" showErrorMessage="1">
          <x14:formula1>
            <xm:f>'CGWR Look Up Tables'!$AC$4:$AC$7</xm:f>
          </x14:formula1>
          <xm:sqref>G9</xm:sqref>
        </x14:dataValidation>
        <x14:dataValidation type="list" allowBlank="1" showInputMessage="1" showErrorMessage="1">
          <x14:formula1>
            <xm:f>'CGWR Look Up Tables'!$AL$4:$AL$5</xm:f>
          </x14:formula1>
          <xm:sqref>Q9</xm:sqref>
        </x14:dataValidation>
        <x14:dataValidation type="list" allowBlank="1" showInputMessage="1" showErrorMessage="1">
          <x14:formula1>
            <xm:f>'CGWR Look Up Tables'!$AQ$4:$AQ$5</xm:f>
          </x14:formula1>
          <xm:sqref>V9</xm:sqref>
        </x14:dataValidation>
        <x14:dataValidation type="list" allowBlank="1" showInputMessage="1" showErrorMessage="1">
          <x14:formula1>
            <xm:f>'CGWR Look Up Tables'!$AJ$4:$AJ$5</xm:f>
          </x14:formula1>
          <xm:sqref>O9</xm:sqref>
        </x14:dataValidation>
        <x14:dataValidation type="list" allowBlank="1" showInputMessage="1" showErrorMessage="1">
          <x14:formula1>
            <xm:f>'CGWR Look Up Tables'!$AO$4:$AO$9</xm:f>
          </x14:formula1>
          <xm:sqref>T9</xm:sqref>
        </x14:dataValidation>
        <x14:dataValidation type="list" allowBlank="1" showInputMessage="1" showErrorMessage="1">
          <x14:formula1>
            <xm:f>'CGWR Look Up Tables'!$AP$4:$AP$5</xm:f>
          </x14:formula1>
          <xm:sqref>U9</xm:sqref>
        </x14:dataValidation>
        <x14:dataValidation type="list" allowBlank="1" showInputMessage="1" showErrorMessage="1">
          <x14:formula1>
            <xm:f>'CGWR Look Up Tables'!$AK$4:$AK$6</xm:f>
          </x14:formula1>
          <xm:sqref>P9</xm:sqref>
        </x14:dataValidation>
        <x14:dataValidation type="list" allowBlank="1" showInputMessage="1" showErrorMessage="1">
          <x14:formula1>
            <xm:f>'CGWR Look Up Tables'!$AS$4:$AS$7</xm:f>
          </x14:formula1>
          <xm:sqref>X9</xm:sqref>
        </x14:dataValidation>
        <x14:dataValidation type="list" allowBlank="1" showInputMessage="1" showErrorMessage="1">
          <x14:formula1>
            <xm:f>'CGWR Look Up Tables'!$AF$4</xm:f>
          </x14:formula1>
          <xm:sqref>K9</xm:sqref>
        </x14:dataValidation>
        <x14:dataValidation type="list" allowBlank="1" showInputMessage="1" showErrorMessage="1">
          <x14:formula1>
            <xm:f>'CGWR Look Up Tables'!$AG$4:$AG$5</xm:f>
          </x14:formula1>
          <xm:sqref>L9</xm:sqref>
        </x14:dataValidation>
        <x14:dataValidation type="list" allowBlank="1" showInputMessage="1" showErrorMessage="1">
          <x14:formula1>
            <xm:f>'CGWR Look Up Tables'!$AH$4:$AH$5</xm:f>
          </x14:formula1>
          <xm:sqref>M9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B1:AT59"/>
  <sheetViews>
    <sheetView zoomScaleNormal="100" workbookViewId="0"/>
  </sheetViews>
  <sheetFormatPr defaultRowHeight="15" x14ac:dyDescent="0.25"/>
  <cols>
    <col min="1" max="1" width="5.42578125" customWidth="1"/>
    <col min="2" max="2" width="7.42578125" customWidth="1"/>
    <col min="3" max="3" width="6.42578125" customWidth="1"/>
    <col min="4" max="4" width="3.42578125" customWidth="1"/>
    <col min="5" max="5" width="2" customWidth="1"/>
    <col min="6" max="9" width="1.85546875" customWidth="1"/>
    <col min="10" max="10" width="1.7109375" customWidth="1"/>
    <col min="11" max="16" width="1.85546875" customWidth="1"/>
    <col min="17" max="17" width="1.5703125" customWidth="1"/>
    <col min="18" max="20" width="1.85546875" customWidth="1"/>
    <col min="21" max="21" width="7.140625" customWidth="1"/>
    <col min="22" max="22" width="11.140625" customWidth="1"/>
    <col min="23" max="23" width="5.42578125" customWidth="1"/>
    <col min="24" max="24" width="6.7109375" customWidth="1"/>
    <col min="25" max="25" width="4.28515625" customWidth="1"/>
    <col min="26" max="26" width="4.42578125" customWidth="1"/>
    <col min="27" max="27" width="1.42578125" customWidth="1"/>
    <col min="28" max="29" width="1.5703125" customWidth="1"/>
    <col min="30" max="31" width="1.28515625" customWidth="1"/>
    <col min="32" max="32" width="1.5703125" customWidth="1"/>
    <col min="33" max="33" width="1.85546875" customWidth="1"/>
    <col min="34" max="34" width="1.5703125" customWidth="1"/>
    <col min="35" max="35" width="2" customWidth="1"/>
    <col min="36" max="37" width="1.5703125" customWidth="1"/>
    <col min="38" max="38" width="1.7109375" customWidth="1"/>
    <col min="39" max="39" width="0.85546875" customWidth="1"/>
    <col min="40" max="40" width="3" bestFit="1" customWidth="1"/>
    <col min="41" max="41" width="3.7109375" customWidth="1"/>
    <col min="42" max="42" width="4.140625" customWidth="1"/>
    <col min="43" max="43" width="3.85546875" customWidth="1"/>
    <col min="44" max="44" width="9.85546875" bestFit="1" customWidth="1"/>
    <col min="45" max="45" width="10" bestFit="1" customWidth="1"/>
    <col min="46" max="46" width="8.7109375" customWidth="1"/>
    <col min="47" max="47" width="10.42578125" customWidth="1"/>
    <col min="48" max="48" width="10.28515625" customWidth="1"/>
    <col min="49" max="49" width="13.140625" bestFit="1" customWidth="1"/>
    <col min="50" max="50" width="10" bestFit="1" customWidth="1"/>
    <col min="51" max="51" width="18.140625" bestFit="1" customWidth="1"/>
    <col min="52" max="52" width="16.140625" bestFit="1" customWidth="1"/>
    <col min="53" max="53" width="26.28515625" bestFit="1" customWidth="1"/>
    <col min="54" max="54" width="27" bestFit="1" customWidth="1"/>
    <col min="55" max="55" width="34" bestFit="1" customWidth="1"/>
  </cols>
  <sheetData>
    <row r="1" spans="2:46" ht="15.75" thickBot="1" x14ac:dyDescent="0.3"/>
    <row r="2" spans="2:46" ht="15.75" thickBot="1" x14ac:dyDescent="0.3">
      <c r="X2" s="309" t="s">
        <v>261</v>
      </c>
      <c r="Y2" s="310"/>
      <c r="Z2" s="311"/>
    </row>
    <row r="3" spans="2:46" ht="15.75" thickBot="1" x14ac:dyDescent="0.3">
      <c r="X3" s="306">
        <v>5</v>
      </c>
      <c r="Y3" s="307"/>
      <c r="Z3" s="308"/>
      <c r="AR3" s="312"/>
      <c r="AS3" s="312"/>
      <c r="AT3" s="312"/>
    </row>
    <row r="4" spans="2:46" ht="15.75" thickBot="1" x14ac:dyDescent="0.3">
      <c r="S4" s="40"/>
      <c r="T4" s="40"/>
      <c r="U4" s="40"/>
      <c r="X4" s="309" t="s">
        <v>294</v>
      </c>
      <c r="Y4" s="310"/>
      <c r="Z4" s="311"/>
    </row>
    <row r="5" spans="2:46" ht="15.75" thickBot="1" x14ac:dyDescent="0.3">
      <c r="M5" s="33"/>
      <c r="R5" s="76" t="s">
        <v>17</v>
      </c>
      <c r="S5" s="313">
        <f ca="1">TODAY()</f>
        <v>44529</v>
      </c>
      <c r="T5" s="314"/>
      <c r="U5" s="315"/>
      <c r="X5" s="306">
        <v>150</v>
      </c>
      <c r="Y5" s="307"/>
      <c r="Z5" s="308"/>
    </row>
    <row r="6" spans="2:46" ht="4.5" customHeight="1" x14ac:dyDescent="0.25">
      <c r="M6" s="33"/>
    </row>
    <row r="7" spans="2:46" ht="13.5" customHeight="1" x14ac:dyDescent="0.25">
      <c r="R7" s="76" t="s">
        <v>0</v>
      </c>
      <c r="S7" s="290" t="s">
        <v>528</v>
      </c>
      <c r="T7" s="291"/>
      <c r="U7" s="292"/>
    </row>
    <row r="8" spans="2:46" ht="4.5" customHeight="1" x14ac:dyDescent="0.25"/>
    <row r="9" spans="2:46" ht="13.5" customHeight="1" x14ac:dyDescent="0.25">
      <c r="B9" s="34" t="s">
        <v>1</v>
      </c>
      <c r="C9" s="48" t="s">
        <v>149</v>
      </c>
      <c r="D9" s="77" t="s">
        <v>180</v>
      </c>
      <c r="E9" s="71" t="s">
        <v>321</v>
      </c>
      <c r="F9" s="71" t="s">
        <v>184</v>
      </c>
      <c r="G9" s="71" t="s">
        <v>186</v>
      </c>
      <c r="H9" s="71" t="s">
        <v>189</v>
      </c>
      <c r="I9" s="71" t="s">
        <v>190</v>
      </c>
      <c r="J9" s="71" t="s">
        <v>187</v>
      </c>
      <c r="K9" s="71" t="s">
        <v>192</v>
      </c>
      <c r="L9" s="71" t="s">
        <v>194</v>
      </c>
      <c r="M9" s="71" t="s">
        <v>86</v>
      </c>
      <c r="N9" s="71" t="s">
        <v>197</v>
      </c>
      <c r="O9" s="71" t="s">
        <v>199</v>
      </c>
      <c r="P9" s="71" t="s">
        <v>202</v>
      </c>
      <c r="Q9" s="71" t="s">
        <v>205</v>
      </c>
      <c r="R9" s="71" t="s">
        <v>86</v>
      </c>
      <c r="S9" s="71" t="s">
        <v>206</v>
      </c>
      <c r="T9" s="73"/>
      <c r="U9" s="72"/>
      <c r="V9" s="75"/>
      <c r="W9" s="75"/>
      <c r="X9" s="75"/>
    </row>
    <row r="10" spans="2:46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6" ht="13.5" customHeight="1" x14ac:dyDescent="0.25">
      <c r="B11" s="33" t="s">
        <v>2</v>
      </c>
      <c r="C11" s="33"/>
      <c r="D11" s="290" t="s">
        <v>32</v>
      </c>
      <c r="E11" s="291"/>
      <c r="F11" s="291"/>
      <c r="G11" s="292"/>
      <c r="H11" s="33"/>
      <c r="I11" s="33"/>
      <c r="J11" s="33"/>
      <c r="K11" s="33"/>
      <c r="N11" s="76" t="s">
        <v>146</v>
      </c>
      <c r="O11" s="303" t="str">
        <f>"Crt 1="&amp;'CICD Look Up Tables'!S28</f>
        <v>Crt 1=NA</v>
      </c>
      <c r="P11" s="304"/>
      <c r="Q11" s="304"/>
      <c r="R11" s="304"/>
      <c r="S11" s="304"/>
      <c r="T11" s="304" t="str">
        <f>"Crt 2="&amp;'CICD Look Up Tables'!T28</f>
        <v>Crt 2=NA</v>
      </c>
      <c r="U11" s="305"/>
    </row>
    <row r="12" spans="2:46" ht="4.5" customHeight="1" x14ac:dyDescent="0.25">
      <c r="B12" s="33"/>
      <c r="C12" s="33"/>
      <c r="D12" s="75"/>
      <c r="E12" s="75"/>
      <c r="F12" s="75"/>
      <c r="G12" s="75"/>
      <c r="H12" s="33"/>
      <c r="I12" s="33"/>
      <c r="J12" s="33"/>
      <c r="K12" s="33"/>
      <c r="L12" s="76"/>
      <c r="M12" s="75"/>
      <c r="N12" s="75"/>
      <c r="O12" s="75"/>
      <c r="P12" s="75"/>
      <c r="Q12" s="75"/>
      <c r="R12" s="75"/>
      <c r="S12" s="75"/>
      <c r="T12" s="75"/>
      <c r="U12" s="75"/>
    </row>
    <row r="13" spans="2:46" ht="13.5" customHeight="1" x14ac:dyDescent="0.25">
      <c r="B13" s="33" t="s">
        <v>93</v>
      </c>
      <c r="C13" s="33"/>
      <c r="D13" s="290" t="s">
        <v>94</v>
      </c>
      <c r="E13" s="291"/>
      <c r="F13" s="291"/>
      <c r="G13" s="292"/>
      <c r="H13" s="33"/>
      <c r="I13" s="33"/>
      <c r="J13" s="33"/>
      <c r="K13" s="33"/>
      <c r="L13" s="76"/>
      <c r="M13" s="75"/>
      <c r="N13" s="46" t="s">
        <v>100</v>
      </c>
      <c r="O13" s="296" t="str">
        <f>'CICD Look Up Tables'!V28&amp;" LBS"</f>
        <v>1545 LBS</v>
      </c>
      <c r="P13" s="297"/>
      <c r="Q13" s="297"/>
      <c r="R13" s="297"/>
      <c r="S13" s="297"/>
      <c r="T13" s="297"/>
      <c r="U13" s="298"/>
    </row>
    <row r="14" spans="2:46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6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6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4" ht="13.5" customHeight="1" x14ac:dyDescent="0.25">
      <c r="B17" s="33" t="s">
        <v>4</v>
      </c>
      <c r="C17" s="33"/>
      <c r="D17" s="35"/>
      <c r="E17" s="35"/>
      <c r="F17" s="299" t="str">
        <f>IF('CICD Look Up Tables'!G36="NO","N/A",X5)</f>
        <v>N/A</v>
      </c>
      <c r="G17" s="297"/>
      <c r="H17" s="297"/>
      <c r="I17" s="298"/>
      <c r="J17" s="34" t="s">
        <v>5</v>
      </c>
      <c r="K17" s="33"/>
      <c r="L17" s="33"/>
      <c r="M17" s="33"/>
      <c r="N17" s="35"/>
      <c r="O17" s="35"/>
      <c r="P17" s="37"/>
      <c r="Q17" s="299">
        <f>X5</f>
        <v>150</v>
      </c>
      <c r="R17" s="297"/>
      <c r="S17" s="298"/>
      <c r="T17" s="34" t="s">
        <v>145</v>
      </c>
      <c r="U17" s="33"/>
    </row>
    <row r="18" spans="2:44" ht="4.5" customHeight="1" x14ac:dyDescent="0.2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2:44" ht="13.5" customHeight="1" x14ac:dyDescent="0.25">
      <c r="B19" s="33" t="s">
        <v>7</v>
      </c>
      <c r="C19" s="33"/>
      <c r="D19" s="33"/>
      <c r="E19" s="33"/>
      <c r="F19" s="296" t="str">
        <f>IF('CICD Look Up Tables'!G36="NO","N/A",'CICD Look Up Tables'!L35)</f>
        <v>N/A</v>
      </c>
      <c r="G19" s="297"/>
      <c r="H19" s="297"/>
      <c r="I19" s="298"/>
      <c r="J19" s="33" t="s">
        <v>5</v>
      </c>
      <c r="K19" s="33"/>
      <c r="L19" s="33"/>
      <c r="M19" s="33"/>
      <c r="N19" s="33"/>
      <c r="O19" s="33"/>
      <c r="P19" s="37"/>
      <c r="Q19" s="299">
        <f>'CICD Look Up Tables'!L34</f>
        <v>710</v>
      </c>
      <c r="R19" s="297"/>
      <c r="S19" s="298"/>
      <c r="T19" s="33" t="s">
        <v>145</v>
      </c>
      <c r="U19" s="33"/>
    </row>
    <row r="20" spans="2:44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4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4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4" ht="13.5" customHeight="1" x14ac:dyDescent="0.25">
      <c r="B23" s="38" t="s">
        <v>35</v>
      </c>
      <c r="C23" s="300">
        <f>'CICD Look Up Tables'!I28</f>
        <v>460</v>
      </c>
      <c r="D23" s="280"/>
      <c r="E23" s="281"/>
      <c r="F23" s="33" t="s">
        <v>9</v>
      </c>
      <c r="G23" s="33"/>
      <c r="H23" s="33"/>
      <c r="I23" s="33"/>
      <c r="J23" s="290">
        <v>3</v>
      </c>
      <c r="K23" s="291"/>
      <c r="L23" s="292"/>
      <c r="M23" s="33" t="s">
        <v>10</v>
      </c>
      <c r="N23" s="33"/>
      <c r="O23" s="33"/>
      <c r="P23" s="290">
        <v>60</v>
      </c>
      <c r="Q23" s="291"/>
      <c r="R23" s="291"/>
      <c r="S23" s="292"/>
      <c r="T23" s="33" t="s">
        <v>11</v>
      </c>
      <c r="U23" s="33"/>
    </row>
    <row r="24" spans="2:44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4" ht="13.5" customHeight="1" x14ac:dyDescent="0.25">
      <c r="B25" s="33"/>
      <c r="C25" s="33"/>
      <c r="D25" s="33" t="s">
        <v>1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4" ht="13.5" customHeight="1" x14ac:dyDescent="0.25">
      <c r="B26" s="34" t="s">
        <v>147</v>
      </c>
      <c r="D26" s="289" t="str">
        <f>'CICD Look Up Tables'!J28</f>
        <v>DSH295A4</v>
      </c>
      <c r="E26" s="285"/>
      <c r="F26" s="285"/>
      <c r="G26" s="285"/>
      <c r="H26" s="286"/>
      <c r="I26" s="33"/>
      <c r="J26" s="288">
        <f>'CICD Look Up Tables'!N28</f>
        <v>39.743589743589745</v>
      </c>
      <c r="K26" s="285"/>
      <c r="L26" s="286"/>
      <c r="M26" s="33" t="s">
        <v>14</v>
      </c>
      <c r="N26" s="33"/>
      <c r="O26" s="33"/>
      <c r="P26" s="288">
        <f>'CICD Look Up Tables'!L28</f>
        <v>260</v>
      </c>
      <c r="Q26" s="285"/>
      <c r="R26" s="285"/>
      <c r="S26" s="286"/>
      <c r="T26" s="33" t="s">
        <v>12</v>
      </c>
      <c r="U26" s="33"/>
    </row>
    <row r="27" spans="2:44" ht="4.5" customHeight="1" x14ac:dyDescent="0.25">
      <c r="B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Y27" s="1"/>
    </row>
    <row r="28" spans="2:44" ht="13.5" customHeight="1" x14ac:dyDescent="0.25">
      <c r="B28" s="34" t="s">
        <v>148</v>
      </c>
      <c r="D28" s="289" t="str">
        <f>'CICD Look Up Tables'!K28</f>
        <v>DSH295A4</v>
      </c>
      <c r="E28" s="285"/>
      <c r="F28" s="285"/>
      <c r="G28" s="285"/>
      <c r="H28" s="286"/>
      <c r="I28" s="33"/>
      <c r="J28" s="288">
        <f>'CICD Look Up Tables'!O28</f>
        <v>39.743589743589745</v>
      </c>
      <c r="K28" s="301"/>
      <c r="L28" s="302"/>
      <c r="M28" s="33" t="s">
        <v>14</v>
      </c>
      <c r="N28" s="33"/>
      <c r="O28" s="33"/>
      <c r="P28" s="288">
        <f>'CICD Look Up Tables'!M28</f>
        <v>260</v>
      </c>
      <c r="Q28" s="285"/>
      <c r="R28" s="285"/>
      <c r="S28" s="286"/>
      <c r="T28" s="33" t="s">
        <v>12</v>
      </c>
      <c r="U28" s="33"/>
    </row>
    <row r="29" spans="2:44" ht="4.5" customHeight="1" x14ac:dyDescent="0.25">
      <c r="B29" s="34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AR29" s="78"/>
    </row>
    <row r="30" spans="2:44" ht="13.5" customHeight="1" x14ac:dyDescent="0.25">
      <c r="B30" s="34"/>
      <c r="D30" s="290" t="s">
        <v>106</v>
      </c>
      <c r="E30" s="291"/>
      <c r="F30" s="291"/>
      <c r="G30" s="291"/>
      <c r="H30" s="292"/>
      <c r="I30" s="33"/>
      <c r="J30" s="290" t="s">
        <v>106</v>
      </c>
      <c r="K30" s="291"/>
      <c r="L30" s="292"/>
      <c r="M30" s="33" t="s">
        <v>14</v>
      </c>
      <c r="N30" s="33"/>
      <c r="O30" s="33"/>
      <c r="P30" s="290" t="s">
        <v>106</v>
      </c>
      <c r="Q30" s="291"/>
      <c r="R30" s="291"/>
      <c r="S30" s="292"/>
      <c r="T30" s="33" t="s">
        <v>12</v>
      </c>
      <c r="U30" s="33"/>
      <c r="AR30" s="78"/>
    </row>
    <row r="31" spans="2:44" ht="4.5" customHeight="1" x14ac:dyDescent="0.25">
      <c r="B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AR31" s="78"/>
    </row>
    <row r="32" spans="2:44" ht="13.5" customHeight="1" x14ac:dyDescent="0.25">
      <c r="B32" s="34"/>
      <c r="D32" s="290" t="s">
        <v>106</v>
      </c>
      <c r="E32" s="291"/>
      <c r="F32" s="291"/>
      <c r="G32" s="291"/>
      <c r="H32" s="292"/>
      <c r="I32" s="33"/>
      <c r="J32" s="290" t="s">
        <v>106</v>
      </c>
      <c r="K32" s="291"/>
      <c r="L32" s="292"/>
      <c r="M32" s="33" t="s">
        <v>14</v>
      </c>
      <c r="N32" s="33"/>
      <c r="O32" s="33"/>
      <c r="P32" s="290" t="s">
        <v>106</v>
      </c>
      <c r="Q32" s="291"/>
      <c r="R32" s="291"/>
      <c r="S32" s="292"/>
      <c r="T32" s="33" t="s">
        <v>12</v>
      </c>
      <c r="U32" s="33"/>
    </row>
    <row r="33" spans="2:21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2:21" ht="13.5" customHeight="1" x14ac:dyDescent="0.25">
      <c r="B34" s="34" t="s">
        <v>39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7"/>
      <c r="Q34" s="288">
        <f>'CICD Look Up Tables'!P28</f>
        <v>89.423076923076934</v>
      </c>
      <c r="R34" s="285"/>
      <c r="S34" s="286"/>
      <c r="T34" s="33" t="s">
        <v>15</v>
      </c>
      <c r="U34" s="33"/>
    </row>
    <row r="35" spans="2:21" ht="4.5" customHeight="1" x14ac:dyDescent="0.25"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1" ht="13.5" customHeight="1" x14ac:dyDescent="0.25">
      <c r="B36" s="34" t="s">
        <v>40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7"/>
      <c r="Q36" s="288">
        <f>'CICD Look Up Tables'!Q28</f>
        <v>125</v>
      </c>
      <c r="R36" s="285"/>
      <c r="S36" s="286"/>
      <c r="T36" s="33" t="s">
        <v>15</v>
      </c>
      <c r="U36" s="33"/>
    </row>
    <row r="37" spans="2:21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2:21" ht="13.5" customHeight="1" x14ac:dyDescent="0.25">
      <c r="B38" s="33" t="s">
        <v>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7"/>
      <c r="Q38" s="288">
        <f>'CICD Look Up Tables'!R28</f>
        <v>100</v>
      </c>
      <c r="R38" s="285"/>
      <c r="S38" s="286"/>
      <c r="T38" s="33" t="s">
        <v>15</v>
      </c>
      <c r="U38" s="33"/>
    </row>
    <row r="39" spans="2:21" ht="13.5" customHeight="1" x14ac:dyDescent="0.25">
      <c r="B39" s="33" t="s">
        <v>42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5"/>
      <c r="Q39" s="35"/>
      <c r="R39" s="35"/>
      <c r="S39" s="35"/>
      <c r="T39" s="33"/>
      <c r="U39" s="33"/>
    </row>
    <row r="40" spans="2:21" ht="4.5" customHeight="1" x14ac:dyDescent="0.25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5"/>
      <c r="Q40" s="35"/>
      <c r="R40" s="35"/>
      <c r="S40" s="35"/>
      <c r="T40" s="33"/>
      <c r="U40" s="33"/>
    </row>
    <row r="41" spans="2:21" ht="13.5" customHeight="1" x14ac:dyDescent="0.25">
      <c r="B41" s="33" t="s">
        <v>47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5"/>
      <c r="Q41" s="303">
        <f>X3</f>
        <v>5</v>
      </c>
      <c r="R41" s="304"/>
      <c r="S41" s="305"/>
      <c r="T41" s="33" t="s">
        <v>46</v>
      </c>
      <c r="U41" s="33"/>
    </row>
    <row r="42" spans="2:21" ht="13.5" customHeight="1" x14ac:dyDescent="0.25">
      <c r="B42" s="33" t="s">
        <v>48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5"/>
      <c r="Q42" s="35"/>
      <c r="R42" s="35"/>
      <c r="S42" s="35"/>
      <c r="T42" s="33"/>
      <c r="U42" s="33"/>
    </row>
    <row r="43" spans="2:21" ht="4.5" customHeight="1" x14ac:dyDescent="0.25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5"/>
      <c r="Q43" s="35"/>
      <c r="R43" s="35"/>
      <c r="S43" s="35"/>
      <c r="T43" s="33"/>
      <c r="U43" s="33"/>
    </row>
    <row r="44" spans="2:21" ht="13.5" customHeight="1" x14ac:dyDescent="0.25">
      <c r="B44" s="33" t="s">
        <v>50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03">
        <f>C23*1.1</f>
        <v>506.00000000000006</v>
      </c>
      <c r="R44" s="304"/>
      <c r="S44" s="305"/>
      <c r="T44" s="33" t="s">
        <v>9</v>
      </c>
      <c r="U44" s="33"/>
    </row>
    <row r="45" spans="2:21" ht="4.5" customHeight="1" x14ac:dyDescent="0.25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5"/>
      <c r="Q45" s="35"/>
      <c r="R45" s="35"/>
      <c r="S45" s="35"/>
      <c r="T45" s="33"/>
      <c r="U45" s="33"/>
    </row>
    <row r="46" spans="2:21" ht="13.5" customHeight="1" x14ac:dyDescent="0.25">
      <c r="B46" s="36" t="s">
        <v>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5"/>
      <c r="Q46" s="35"/>
      <c r="R46" s="35"/>
      <c r="S46" s="35"/>
      <c r="T46" s="33"/>
      <c r="U46" s="33"/>
    </row>
    <row r="47" spans="2:21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5"/>
      <c r="Q47" s="35"/>
      <c r="R47" s="35"/>
      <c r="S47" s="35"/>
      <c r="T47" s="33"/>
      <c r="U47" s="33"/>
    </row>
    <row r="48" spans="2:21" ht="13.5" customHeight="1" x14ac:dyDescent="0.25">
      <c r="C48" s="33" t="s">
        <v>97</v>
      </c>
      <c r="D48" s="33"/>
      <c r="E48" s="33"/>
      <c r="F48" s="33"/>
      <c r="G48" s="33"/>
      <c r="I48" s="33"/>
      <c r="J48" s="33"/>
      <c r="K48" s="33"/>
      <c r="L48" s="33"/>
      <c r="M48" s="33"/>
      <c r="N48" s="33"/>
      <c r="O48" s="33"/>
      <c r="P48" s="35"/>
      <c r="Q48" s="35"/>
      <c r="R48" s="35"/>
      <c r="S48" s="35"/>
      <c r="T48" s="33"/>
      <c r="U48" s="33"/>
    </row>
    <row r="49" spans="2:21" ht="13.5" customHeight="1" x14ac:dyDescent="0.25">
      <c r="C49" s="33" t="s">
        <v>96</v>
      </c>
      <c r="D49" s="33"/>
      <c r="E49" s="33"/>
      <c r="F49" s="33"/>
      <c r="G49" s="33"/>
      <c r="I49" s="41"/>
      <c r="J49" s="41"/>
      <c r="K49" s="41"/>
      <c r="L49" s="33" t="s">
        <v>98</v>
      </c>
      <c r="M49" s="41"/>
      <c r="N49" s="41"/>
      <c r="O49" s="41"/>
      <c r="P49" s="35"/>
      <c r="Q49" s="35"/>
      <c r="R49" s="35"/>
      <c r="S49" s="35"/>
      <c r="T49" s="33"/>
      <c r="U49" s="33"/>
    </row>
    <row r="50" spans="2:21" ht="13.5" customHeight="1" x14ac:dyDescent="0.25">
      <c r="C50" s="279" t="s">
        <v>144</v>
      </c>
      <c r="D50" s="280"/>
      <c r="E50" s="280"/>
      <c r="F50" s="280"/>
      <c r="G50" s="280"/>
      <c r="H50" s="280"/>
      <c r="I50" s="281"/>
      <c r="J50" s="41"/>
      <c r="K50" s="41"/>
      <c r="L50" s="279" t="s">
        <v>141</v>
      </c>
      <c r="M50" s="280"/>
      <c r="N50" s="280"/>
      <c r="O50" s="280"/>
      <c r="P50" s="280"/>
      <c r="Q50" s="280"/>
      <c r="R50" s="280"/>
      <c r="S50" s="280"/>
      <c r="T50" s="281"/>
      <c r="U50" s="33"/>
    </row>
    <row r="51" spans="2:21" ht="7.5" customHeight="1" x14ac:dyDescent="0.25"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9"/>
      <c r="O51" s="39"/>
      <c r="P51" s="39"/>
      <c r="Q51" s="39"/>
      <c r="R51" s="39"/>
      <c r="S51" s="39"/>
      <c r="T51" s="33"/>
      <c r="U51" s="33"/>
    </row>
    <row r="52" spans="2:21" ht="13.5" customHeight="1" x14ac:dyDescent="0.25"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9"/>
      <c r="O52" s="39"/>
      <c r="P52" s="39"/>
      <c r="Q52" s="39"/>
      <c r="R52" s="39"/>
      <c r="S52" s="39"/>
      <c r="T52" s="33"/>
      <c r="U52" s="33"/>
    </row>
    <row r="53" spans="2:21" x14ac:dyDescent="0.25">
      <c r="B53" s="19" t="s">
        <v>105</v>
      </c>
    </row>
    <row r="56" spans="2:21" x14ac:dyDescent="0.25">
      <c r="C56" s="33"/>
    </row>
    <row r="58" spans="2:21" x14ac:dyDescent="0.25">
      <c r="J58" s="33"/>
    </row>
    <row r="59" spans="2:21" x14ac:dyDescent="0.25">
      <c r="H59" s="9"/>
      <c r="I59" s="9"/>
      <c r="J59" s="9"/>
      <c r="K59" s="9"/>
      <c r="L59" s="9"/>
      <c r="M59" s="9"/>
      <c r="N59" s="9"/>
    </row>
  </sheetData>
  <sheetProtection selectLockedCells="1"/>
  <mergeCells count="38">
    <mergeCell ref="X3:Z3"/>
    <mergeCell ref="X2:Z2"/>
    <mergeCell ref="AR3:AT3"/>
    <mergeCell ref="O11:S11"/>
    <mergeCell ref="T11:U11"/>
    <mergeCell ref="S5:U5"/>
    <mergeCell ref="S7:U7"/>
    <mergeCell ref="X5:Z5"/>
    <mergeCell ref="X4:Z4"/>
    <mergeCell ref="C50:I50"/>
    <mergeCell ref="L50:T50"/>
    <mergeCell ref="D30:H30"/>
    <mergeCell ref="J30:L30"/>
    <mergeCell ref="P30:S30"/>
    <mergeCell ref="D32:H32"/>
    <mergeCell ref="J32:L32"/>
    <mergeCell ref="P32:S32"/>
    <mergeCell ref="Q34:S34"/>
    <mergeCell ref="Q36:S36"/>
    <mergeCell ref="Q38:S38"/>
    <mergeCell ref="Q41:S41"/>
    <mergeCell ref="Q44:S44"/>
    <mergeCell ref="D26:H26"/>
    <mergeCell ref="J26:L26"/>
    <mergeCell ref="P26:S26"/>
    <mergeCell ref="D28:H28"/>
    <mergeCell ref="J28:L28"/>
    <mergeCell ref="P28:S28"/>
    <mergeCell ref="F19:I19"/>
    <mergeCell ref="Q19:S19"/>
    <mergeCell ref="C23:E23"/>
    <mergeCell ref="J23:L23"/>
    <mergeCell ref="P23:S23"/>
    <mergeCell ref="D11:G11"/>
    <mergeCell ref="D13:G13"/>
    <mergeCell ref="O13:U13"/>
    <mergeCell ref="F17:I17"/>
    <mergeCell ref="Q17:S17"/>
  </mergeCells>
  <phoneticPr fontId="6" type="noConversion"/>
  <pageMargins left="0.1" right="0.25" top="0.25" bottom="0.25" header="0.3" footer="0.3"/>
  <pageSetup orientation="landscape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9">
        <x14:dataValidation type="list" allowBlank="1" showInputMessage="1" showErrorMessage="1">
          <x14:formula1>
            <xm:f>'CICD Look Up Tables'!$AF$4</xm:f>
          </x14:formula1>
          <xm:sqref>C9</xm:sqref>
        </x14:dataValidation>
        <x14:dataValidation type="list" allowBlank="1" showInputMessage="1" showErrorMessage="1">
          <x14:formula1>
            <xm:f>'CICD Look Up Tables'!$AG$4:$AG$10</xm:f>
          </x14:formula1>
          <xm:sqref>D9</xm:sqref>
        </x14:dataValidation>
        <x14:dataValidation type="list" allowBlank="1" showInputMessage="1" showErrorMessage="1">
          <x14:formula1>
            <xm:f>'CICD Look Up Tables'!$AH$4:$AH$7</xm:f>
          </x14:formula1>
          <xm:sqref>E9</xm:sqref>
        </x14:dataValidation>
        <x14:dataValidation type="list" allowBlank="1" showInputMessage="1" showErrorMessage="1">
          <x14:formula1>
            <xm:f>'CICD Look Up Tables'!$AK$4:$AK$6</xm:f>
          </x14:formula1>
          <xm:sqref>F9</xm:sqref>
        </x14:dataValidation>
        <x14:dataValidation type="list" allowBlank="1" showInputMessage="1" showErrorMessage="1">
          <x14:formula1>
            <xm:f>'CICD Look Up Tables'!$AM$4</xm:f>
          </x14:formula1>
          <xm:sqref>G9</xm:sqref>
        </x14:dataValidation>
        <x14:dataValidation type="list" allowBlank="1" showInputMessage="1" showErrorMessage="1">
          <x14:formula1>
            <xm:f>'CICD Look Up Tables'!$AP$4:$AP$5</xm:f>
          </x14:formula1>
          <xm:sqref>I9</xm:sqref>
        </x14:dataValidation>
        <x14:dataValidation type="list" allowBlank="1" showInputMessage="1" showErrorMessage="1">
          <x14:formula1>
            <xm:f>'CICD Look Up Tables'!$AN$4:$AN$5</xm:f>
          </x14:formula1>
          <xm:sqref>H9</xm:sqref>
        </x14:dataValidation>
        <x14:dataValidation type="list" allowBlank="1" showInputMessage="1" showErrorMessage="1">
          <x14:formula1>
            <xm:f>'CICD Look Up Tables'!$AQ$4</xm:f>
          </x14:formula1>
          <xm:sqref>J9</xm:sqref>
        </x14:dataValidation>
        <x14:dataValidation type="list" allowBlank="1" showInputMessage="1" showErrorMessage="1">
          <x14:formula1>
            <xm:f>'CICD Look Up Tables'!$AR$4:$AR$5</xm:f>
          </x14:formula1>
          <xm:sqref>K9</xm:sqref>
        </x14:dataValidation>
        <x14:dataValidation type="list" allowBlank="1" showInputMessage="1" showErrorMessage="1">
          <x14:formula1>
            <xm:f>'CICD Look Up Tables'!$AS$4</xm:f>
          </x14:formula1>
          <xm:sqref>L9</xm:sqref>
        </x14:dataValidation>
        <x14:dataValidation type="list" allowBlank="1" showInputMessage="1" showErrorMessage="1">
          <x14:formula1>
            <xm:f>'CICD Look Up Tables'!$AT$4:$AT$6</xm:f>
          </x14:formula1>
          <xm:sqref>M9</xm:sqref>
        </x14:dataValidation>
        <x14:dataValidation type="list" allowBlank="1" showInputMessage="1" showErrorMessage="1">
          <x14:formula1>
            <xm:f>'CICD Look Up Tables'!$AU$4:$AU$5</xm:f>
          </x14:formula1>
          <xm:sqref>N9</xm:sqref>
        </x14:dataValidation>
        <x14:dataValidation type="list" allowBlank="1" showInputMessage="1" showErrorMessage="1">
          <x14:formula1>
            <xm:f>'CICD Look Up Tables'!$AV$4:$AV$6</xm:f>
          </x14:formula1>
          <xm:sqref>O9</xm:sqref>
        </x14:dataValidation>
        <x14:dataValidation type="list" allowBlank="1" showInputMessage="1" showErrorMessage="1">
          <x14:formula1>
            <xm:f>'CICD Look Up Tables'!$AW$4:$AW$5</xm:f>
          </x14:formula1>
          <xm:sqref>P9</xm:sqref>
        </x14:dataValidation>
        <x14:dataValidation type="list" allowBlank="1" showInputMessage="1" showErrorMessage="1">
          <x14:formula1>
            <xm:f>'CICD Look Up Tables'!$AX$4:$AX$6</xm:f>
          </x14:formula1>
          <xm:sqref>Q9</xm:sqref>
        </x14:dataValidation>
        <x14:dataValidation type="list" allowBlank="1" showInputMessage="1" showErrorMessage="1">
          <x14:formula1>
            <xm:f>'CICD Look Up Tables'!$AZ$4:$AZ$7</xm:f>
          </x14:formula1>
          <xm:sqref>R9</xm:sqref>
        </x14:dataValidation>
        <x14:dataValidation type="list" allowBlank="1" showInputMessage="1" showErrorMessage="1">
          <x14:formula1>
            <xm:f>'CICD Look Up Tables'!$BB$4:$BB$5</xm:f>
          </x14:formula1>
          <xm:sqref>X3</xm:sqref>
        </x14:dataValidation>
        <x14:dataValidation type="list" allowBlank="1" showInputMessage="1" showErrorMessage="1">
          <x14:formula1>
            <xm:f>'CICD Look Up Tables'!$BA$4</xm:f>
          </x14:formula1>
          <xm:sqref>S9</xm:sqref>
        </x14:dataValidation>
        <x14:dataValidation type="list" allowBlank="1" showInputMessage="1" showErrorMessage="1">
          <x14:formula1>
            <xm:f>'CICD Look Up Tables'!$BC$4:$BC$5</xm:f>
          </x14:formula1>
          <xm:sqref>X5:Z5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B1:AT59"/>
  <sheetViews>
    <sheetView zoomScale="115" zoomScaleNormal="115" workbookViewId="0"/>
  </sheetViews>
  <sheetFormatPr defaultColWidth="9.140625" defaultRowHeight="15" x14ac:dyDescent="0.25"/>
  <cols>
    <col min="1" max="1" width="5.42578125" style="201" customWidth="1"/>
    <col min="2" max="2" width="7.42578125" style="201" customWidth="1"/>
    <col min="3" max="3" width="6.42578125" style="201" customWidth="1"/>
    <col min="4" max="4" width="3.42578125" style="201" customWidth="1"/>
    <col min="5" max="5" width="2" style="201" customWidth="1"/>
    <col min="6" max="9" width="1.85546875" style="201" customWidth="1"/>
    <col min="10" max="10" width="1.7109375" style="201" customWidth="1"/>
    <col min="11" max="16" width="1.85546875" style="201" customWidth="1"/>
    <col min="17" max="17" width="1.5703125" style="201" customWidth="1"/>
    <col min="18" max="20" width="1.85546875" style="201" customWidth="1"/>
    <col min="21" max="21" width="7.140625" style="201" customWidth="1"/>
    <col min="22" max="22" width="11.140625" style="201" customWidth="1"/>
    <col min="23" max="23" width="5.42578125" style="201" customWidth="1"/>
    <col min="24" max="24" width="6.7109375" style="201" customWidth="1"/>
    <col min="25" max="25" width="4.28515625" style="201" customWidth="1"/>
    <col min="26" max="26" width="4.42578125" style="201" customWidth="1"/>
    <col min="27" max="27" width="1.42578125" style="201" customWidth="1"/>
    <col min="28" max="29" width="1.5703125" style="201" customWidth="1"/>
    <col min="30" max="31" width="1.28515625" style="201" customWidth="1"/>
    <col min="32" max="32" width="1.5703125" style="201" customWidth="1"/>
    <col min="33" max="33" width="1.85546875" style="201" customWidth="1"/>
    <col min="34" max="34" width="1.5703125" style="201" customWidth="1"/>
    <col min="35" max="35" width="2" style="201" customWidth="1"/>
    <col min="36" max="37" width="1.5703125" style="201" customWidth="1"/>
    <col min="38" max="38" width="1.7109375" style="201" customWidth="1"/>
    <col min="39" max="39" width="0.85546875" style="201" customWidth="1"/>
    <col min="40" max="40" width="3" style="201" bestFit="1" customWidth="1"/>
    <col min="41" max="41" width="3.7109375" style="201" customWidth="1"/>
    <col min="42" max="42" width="4.140625" style="201" customWidth="1"/>
    <col min="43" max="43" width="3.85546875" style="201" customWidth="1"/>
    <col min="44" max="44" width="9.85546875" style="201" bestFit="1" customWidth="1"/>
    <col min="45" max="45" width="10" style="201" bestFit="1" customWidth="1"/>
    <col min="46" max="46" width="8.7109375" style="201" customWidth="1"/>
    <col min="47" max="47" width="10.42578125" style="201" customWidth="1"/>
    <col min="48" max="48" width="10.28515625" style="201" customWidth="1"/>
    <col min="49" max="49" width="13.140625" style="201" bestFit="1" customWidth="1"/>
    <col min="50" max="50" width="10" style="201" bestFit="1" customWidth="1"/>
    <col min="51" max="51" width="18.140625" style="201" bestFit="1" customWidth="1"/>
    <col min="52" max="52" width="16.140625" style="201" bestFit="1" customWidth="1"/>
    <col min="53" max="53" width="26.28515625" style="201" bestFit="1" customWidth="1"/>
    <col min="54" max="54" width="27" style="201" bestFit="1" customWidth="1"/>
    <col min="55" max="55" width="34" style="201" bestFit="1" customWidth="1"/>
    <col min="56" max="16384" width="9.140625" style="201"/>
  </cols>
  <sheetData>
    <row r="1" spans="2:46" ht="15.75" thickBot="1" x14ac:dyDescent="0.3"/>
    <row r="2" spans="2:46" ht="15.75" thickBot="1" x14ac:dyDescent="0.3">
      <c r="X2" s="309" t="s">
        <v>261</v>
      </c>
      <c r="Y2" s="310"/>
      <c r="Z2" s="311"/>
    </row>
    <row r="3" spans="2:46" ht="15.75" thickBot="1" x14ac:dyDescent="0.3">
      <c r="X3" s="306">
        <v>5</v>
      </c>
      <c r="Y3" s="307"/>
      <c r="Z3" s="308"/>
      <c r="AR3" s="312"/>
      <c r="AS3" s="312"/>
      <c r="AT3" s="312"/>
    </row>
    <row r="4" spans="2:46" ht="15.75" thickBot="1" x14ac:dyDescent="0.3">
      <c r="S4" s="40"/>
      <c r="T4" s="40"/>
      <c r="U4" s="40"/>
      <c r="X4" s="309" t="s">
        <v>294</v>
      </c>
      <c r="Y4" s="310"/>
      <c r="Z4" s="311"/>
    </row>
    <row r="5" spans="2:46" ht="15.75" thickBot="1" x14ac:dyDescent="0.3">
      <c r="M5" s="33"/>
      <c r="R5" s="202" t="s">
        <v>17</v>
      </c>
      <c r="S5" s="313">
        <f ca="1">TODAY()</f>
        <v>44529</v>
      </c>
      <c r="T5" s="314"/>
      <c r="U5" s="315"/>
      <c r="X5" s="306">
        <v>150</v>
      </c>
      <c r="Y5" s="307"/>
      <c r="Z5" s="308"/>
    </row>
    <row r="6" spans="2:46" ht="4.5" customHeight="1" x14ac:dyDescent="0.25">
      <c r="M6" s="33"/>
    </row>
    <row r="7" spans="2:46" ht="13.5" customHeight="1" x14ac:dyDescent="0.25">
      <c r="R7" s="202" t="s">
        <v>0</v>
      </c>
      <c r="S7" s="290" t="s">
        <v>326</v>
      </c>
      <c r="T7" s="291"/>
      <c r="U7" s="292"/>
    </row>
    <row r="8" spans="2:46" ht="4.5" customHeight="1" x14ac:dyDescent="0.25"/>
    <row r="9" spans="2:46" ht="13.5" customHeight="1" x14ac:dyDescent="0.25">
      <c r="B9" s="34" t="s">
        <v>1</v>
      </c>
      <c r="C9" s="48" t="s">
        <v>314</v>
      </c>
      <c r="D9" s="203" t="s">
        <v>180</v>
      </c>
      <c r="E9" s="71" t="s">
        <v>322</v>
      </c>
      <c r="F9" s="71" t="s">
        <v>183</v>
      </c>
      <c r="G9" s="71" t="s">
        <v>186</v>
      </c>
      <c r="H9" s="71" t="s">
        <v>189</v>
      </c>
      <c r="I9" s="71" t="s">
        <v>190</v>
      </c>
      <c r="J9" s="71" t="s">
        <v>187</v>
      </c>
      <c r="K9" s="71" t="s">
        <v>193</v>
      </c>
      <c r="L9" s="71" t="s">
        <v>194</v>
      </c>
      <c r="M9" s="71" t="s">
        <v>86</v>
      </c>
      <c r="N9" s="71" t="s">
        <v>197</v>
      </c>
      <c r="O9" s="71" t="s">
        <v>199</v>
      </c>
      <c r="P9" s="71" t="s">
        <v>202</v>
      </c>
      <c r="Q9" s="71" t="s">
        <v>194</v>
      </c>
      <c r="R9" s="71" t="s">
        <v>86</v>
      </c>
      <c r="S9" s="71" t="s">
        <v>206</v>
      </c>
      <c r="T9" s="73"/>
      <c r="U9" s="72"/>
      <c r="V9" s="200"/>
      <c r="W9" s="200"/>
      <c r="X9" s="200"/>
    </row>
    <row r="10" spans="2:46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6" ht="13.5" customHeight="1" x14ac:dyDescent="0.25">
      <c r="B11" s="33" t="s">
        <v>2</v>
      </c>
      <c r="C11" s="33"/>
      <c r="D11" s="290" t="s">
        <v>32</v>
      </c>
      <c r="E11" s="291"/>
      <c r="F11" s="291"/>
      <c r="G11" s="292"/>
      <c r="H11" s="33"/>
      <c r="I11" s="33"/>
      <c r="J11" s="33"/>
      <c r="K11" s="33"/>
      <c r="N11" s="202" t="s">
        <v>146</v>
      </c>
      <c r="O11" s="303" t="str">
        <f>"Crt 1="&amp;'CICD Look Up Tables'!S29</f>
        <v>Crt 1=15.5</v>
      </c>
      <c r="P11" s="304"/>
      <c r="Q11" s="304"/>
      <c r="R11" s="304"/>
      <c r="S11" s="304"/>
      <c r="T11" s="304" t="str">
        <f>"Crt 2="&amp;'CICD Look Up Tables'!T29</f>
        <v>Crt 2=15.5</v>
      </c>
      <c r="U11" s="305"/>
    </row>
    <row r="12" spans="2:46" ht="4.5" customHeight="1" x14ac:dyDescent="0.25">
      <c r="B12" s="33"/>
      <c r="C12" s="33"/>
      <c r="D12" s="200"/>
      <c r="E12" s="200"/>
      <c r="F12" s="200"/>
      <c r="G12" s="200"/>
      <c r="H12" s="33"/>
      <c r="I12" s="33"/>
      <c r="J12" s="33"/>
      <c r="K12" s="33"/>
      <c r="L12" s="202"/>
      <c r="M12" s="200"/>
      <c r="N12" s="200"/>
      <c r="O12" s="200"/>
      <c r="P12" s="200"/>
      <c r="Q12" s="200"/>
      <c r="R12" s="200"/>
      <c r="S12" s="200"/>
      <c r="T12" s="200"/>
      <c r="U12" s="200"/>
    </row>
    <row r="13" spans="2:46" ht="13.5" customHeight="1" x14ac:dyDescent="0.25">
      <c r="B13" s="33" t="s">
        <v>93</v>
      </c>
      <c r="C13" s="33"/>
      <c r="D13" s="290" t="s">
        <v>94</v>
      </c>
      <c r="E13" s="291"/>
      <c r="F13" s="291"/>
      <c r="G13" s="292"/>
      <c r="H13" s="33"/>
      <c r="I13" s="33"/>
      <c r="J13" s="33"/>
      <c r="K13" s="33"/>
      <c r="L13" s="202"/>
      <c r="M13" s="200"/>
      <c r="N13" s="46" t="s">
        <v>100</v>
      </c>
      <c r="O13" s="296" t="str">
        <f>'CICD Look Up Tables'!V29&amp;" LBS"</f>
        <v>2065 LBS</v>
      </c>
      <c r="P13" s="297"/>
      <c r="Q13" s="297"/>
      <c r="R13" s="297"/>
      <c r="S13" s="297"/>
      <c r="T13" s="297"/>
      <c r="U13" s="298"/>
    </row>
    <row r="14" spans="2:46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6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6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4" ht="13.5" customHeight="1" x14ac:dyDescent="0.25">
      <c r="B17" s="33" t="s">
        <v>4</v>
      </c>
      <c r="C17" s="33"/>
      <c r="D17" s="35"/>
      <c r="E17" s="35"/>
      <c r="F17" s="299">
        <f>IF('CICD Look Up Tables'!G42="NO","N/A",X5)</f>
        <v>150</v>
      </c>
      <c r="G17" s="297"/>
      <c r="H17" s="297"/>
      <c r="I17" s="298"/>
      <c r="J17" s="34" t="s">
        <v>5</v>
      </c>
      <c r="K17" s="33"/>
      <c r="L17" s="33"/>
      <c r="M17" s="33"/>
      <c r="N17" s="35"/>
      <c r="O17" s="35"/>
      <c r="P17" s="37"/>
      <c r="Q17" s="299">
        <f>X5</f>
        <v>150</v>
      </c>
      <c r="R17" s="297"/>
      <c r="S17" s="298"/>
      <c r="T17" s="34" t="s">
        <v>145</v>
      </c>
      <c r="U17" s="33"/>
    </row>
    <row r="18" spans="2:44" ht="4.5" customHeight="1" x14ac:dyDescent="0.25"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2:44" ht="13.5" customHeight="1" x14ac:dyDescent="0.25">
      <c r="B19" s="33" t="s">
        <v>7</v>
      </c>
      <c r="C19" s="33"/>
      <c r="D19" s="33"/>
      <c r="E19" s="33"/>
      <c r="F19" s="296">
        <f>IF('CICD Look Up Tables'!G42="NO","N/A",'CICD Look Up Tables'!P35)</f>
        <v>652</v>
      </c>
      <c r="G19" s="297"/>
      <c r="H19" s="297"/>
      <c r="I19" s="298"/>
      <c r="J19" s="33" t="s">
        <v>5</v>
      </c>
      <c r="K19" s="33"/>
      <c r="L19" s="33"/>
      <c r="M19" s="33"/>
      <c r="N19" s="33"/>
      <c r="O19" s="33"/>
      <c r="P19" s="37"/>
      <c r="Q19" s="296">
        <f>'CICD Look Up Tables'!P34</f>
        <v>710</v>
      </c>
      <c r="R19" s="297"/>
      <c r="S19" s="298"/>
      <c r="T19" s="33" t="s">
        <v>145</v>
      </c>
      <c r="U19" s="33"/>
    </row>
    <row r="20" spans="2:44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4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4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4" ht="13.5" customHeight="1" x14ac:dyDescent="0.25">
      <c r="B23" s="38" t="s">
        <v>35</v>
      </c>
      <c r="C23" s="300">
        <f>'CICD Look Up Tables'!I29</f>
        <v>230</v>
      </c>
      <c r="D23" s="280"/>
      <c r="E23" s="281"/>
      <c r="F23" s="33" t="s">
        <v>9</v>
      </c>
      <c r="G23" s="33"/>
      <c r="H23" s="33"/>
      <c r="I23" s="33"/>
      <c r="J23" s="290">
        <v>3</v>
      </c>
      <c r="K23" s="291"/>
      <c r="L23" s="292"/>
      <c r="M23" s="33" t="s">
        <v>10</v>
      </c>
      <c r="N23" s="33"/>
      <c r="O23" s="33"/>
      <c r="P23" s="290">
        <v>60</v>
      </c>
      <c r="Q23" s="291"/>
      <c r="R23" s="291"/>
      <c r="S23" s="292"/>
      <c r="T23" s="33" t="s">
        <v>11</v>
      </c>
      <c r="U23" s="33"/>
    </row>
    <row r="24" spans="2:44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4" ht="13.5" customHeight="1" x14ac:dyDescent="0.25">
      <c r="B25" s="33"/>
      <c r="C25" s="33"/>
      <c r="D25" s="33" t="s">
        <v>1</v>
      </c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4" ht="13.5" customHeight="1" x14ac:dyDescent="0.25">
      <c r="B26" s="34" t="s">
        <v>147</v>
      </c>
      <c r="D26" s="289" t="str">
        <f>'CICD Look Up Tables'!J29</f>
        <v>DSH295A3</v>
      </c>
      <c r="E26" s="285"/>
      <c r="F26" s="285"/>
      <c r="G26" s="285"/>
      <c r="H26" s="286"/>
      <c r="I26" s="33"/>
      <c r="J26" s="288">
        <f>'CICD Look Up Tables'!N29</f>
        <v>82.051282051282044</v>
      </c>
      <c r="K26" s="285"/>
      <c r="L26" s="286"/>
      <c r="M26" s="33" t="s">
        <v>14</v>
      </c>
      <c r="N26" s="33"/>
      <c r="O26" s="33"/>
      <c r="P26" s="288">
        <f>'CICD Look Up Tables'!L29</f>
        <v>560</v>
      </c>
      <c r="Q26" s="285"/>
      <c r="R26" s="285"/>
      <c r="S26" s="286"/>
      <c r="T26" s="33" t="s">
        <v>12</v>
      </c>
      <c r="U26" s="33"/>
    </row>
    <row r="27" spans="2:44" ht="4.5" customHeight="1" x14ac:dyDescent="0.25">
      <c r="B27" s="34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Y27" s="1"/>
    </row>
    <row r="28" spans="2:44" ht="13.5" customHeight="1" x14ac:dyDescent="0.25">
      <c r="B28" s="34" t="s">
        <v>148</v>
      </c>
      <c r="D28" s="289" t="str">
        <f>'CICD Look Up Tables'!K29</f>
        <v>DSH295A3</v>
      </c>
      <c r="E28" s="285"/>
      <c r="F28" s="285"/>
      <c r="G28" s="285"/>
      <c r="H28" s="286"/>
      <c r="I28" s="33"/>
      <c r="J28" s="288">
        <f>'CICD Look Up Tables'!O29</f>
        <v>82.051282051282044</v>
      </c>
      <c r="K28" s="301"/>
      <c r="L28" s="302"/>
      <c r="M28" s="33" t="s">
        <v>14</v>
      </c>
      <c r="N28" s="33"/>
      <c r="O28" s="33"/>
      <c r="P28" s="288">
        <f>'CICD Look Up Tables'!M29</f>
        <v>560</v>
      </c>
      <c r="Q28" s="285"/>
      <c r="R28" s="285"/>
      <c r="S28" s="286"/>
      <c r="T28" s="33" t="s">
        <v>12</v>
      </c>
      <c r="U28" s="33"/>
    </row>
    <row r="29" spans="2:44" ht="4.5" customHeight="1" x14ac:dyDescent="0.25">
      <c r="B29" s="34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AR29" s="78"/>
    </row>
    <row r="30" spans="2:44" ht="13.5" customHeight="1" x14ac:dyDescent="0.25">
      <c r="B30" s="34"/>
      <c r="D30" s="290" t="s">
        <v>106</v>
      </c>
      <c r="E30" s="291"/>
      <c r="F30" s="291"/>
      <c r="G30" s="291"/>
      <c r="H30" s="292"/>
      <c r="I30" s="33"/>
      <c r="J30" s="290" t="s">
        <v>106</v>
      </c>
      <c r="K30" s="291"/>
      <c r="L30" s="292"/>
      <c r="M30" s="33" t="s">
        <v>14</v>
      </c>
      <c r="N30" s="33"/>
      <c r="O30" s="33"/>
      <c r="P30" s="290" t="s">
        <v>106</v>
      </c>
      <c r="Q30" s="291"/>
      <c r="R30" s="291"/>
      <c r="S30" s="292"/>
      <c r="T30" s="33" t="s">
        <v>12</v>
      </c>
      <c r="U30" s="33"/>
      <c r="AR30" s="78"/>
    </row>
    <row r="31" spans="2:44" ht="4.5" customHeight="1" x14ac:dyDescent="0.25">
      <c r="B31" s="34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AR31" s="78"/>
    </row>
    <row r="32" spans="2:44" ht="13.5" customHeight="1" x14ac:dyDescent="0.25">
      <c r="B32" s="34"/>
      <c r="D32" s="290" t="s">
        <v>106</v>
      </c>
      <c r="E32" s="291"/>
      <c r="F32" s="291"/>
      <c r="G32" s="291"/>
      <c r="H32" s="292"/>
      <c r="I32" s="33"/>
      <c r="J32" s="290" t="s">
        <v>106</v>
      </c>
      <c r="K32" s="291"/>
      <c r="L32" s="292"/>
      <c r="M32" s="33" t="s">
        <v>14</v>
      </c>
      <c r="N32" s="33"/>
      <c r="O32" s="33"/>
      <c r="P32" s="290" t="s">
        <v>106</v>
      </c>
      <c r="Q32" s="291"/>
      <c r="R32" s="291"/>
      <c r="S32" s="292"/>
      <c r="T32" s="33" t="s">
        <v>12</v>
      </c>
      <c r="U32" s="33"/>
    </row>
    <row r="33" spans="2:21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</row>
    <row r="34" spans="2:21" ht="13.5" customHeight="1" x14ac:dyDescent="0.25">
      <c r="B34" s="34" t="s">
        <v>39</v>
      </c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7"/>
      <c r="Q34" s="288">
        <f>'CICD Look Up Tables'!P29</f>
        <v>184.61538461538458</v>
      </c>
      <c r="R34" s="285"/>
      <c r="S34" s="286"/>
      <c r="T34" s="33" t="s">
        <v>15</v>
      </c>
      <c r="U34" s="33"/>
    </row>
    <row r="35" spans="2:21" ht="4.5" customHeight="1" x14ac:dyDescent="0.25"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</row>
    <row r="36" spans="2:21" ht="13.5" customHeight="1" x14ac:dyDescent="0.25">
      <c r="B36" s="34" t="s">
        <v>40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7"/>
      <c r="Q36" s="288">
        <f>'CICD Look Up Tables'!Q29</f>
        <v>250</v>
      </c>
      <c r="R36" s="285"/>
      <c r="S36" s="286"/>
      <c r="T36" s="33" t="s">
        <v>15</v>
      </c>
      <c r="U36" s="33"/>
    </row>
    <row r="37" spans="2:21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</row>
    <row r="38" spans="2:21" ht="13.5" customHeight="1" x14ac:dyDescent="0.25">
      <c r="B38" s="33" t="s">
        <v>41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7"/>
      <c r="Q38" s="288">
        <f>'CICD Look Up Tables'!R29</f>
        <v>225</v>
      </c>
      <c r="R38" s="285"/>
      <c r="S38" s="286"/>
      <c r="T38" s="33" t="s">
        <v>15</v>
      </c>
      <c r="U38" s="33"/>
    </row>
    <row r="39" spans="2:21" ht="13.5" customHeight="1" x14ac:dyDescent="0.25">
      <c r="B39" s="33" t="s">
        <v>42</v>
      </c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5"/>
      <c r="Q39" s="35"/>
      <c r="R39" s="35"/>
      <c r="S39" s="35"/>
      <c r="T39" s="33"/>
      <c r="U39" s="33"/>
    </row>
    <row r="40" spans="2:21" ht="4.5" customHeight="1" x14ac:dyDescent="0.25"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5"/>
      <c r="Q40" s="35"/>
      <c r="R40" s="35"/>
      <c r="S40" s="35"/>
      <c r="T40" s="33"/>
      <c r="U40" s="33"/>
    </row>
    <row r="41" spans="2:21" ht="13.5" customHeight="1" x14ac:dyDescent="0.25">
      <c r="B41" s="33" t="s">
        <v>47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5"/>
      <c r="Q41" s="303">
        <f>X3</f>
        <v>5</v>
      </c>
      <c r="R41" s="304"/>
      <c r="S41" s="305"/>
      <c r="T41" s="33" t="s">
        <v>46</v>
      </c>
      <c r="U41" s="33"/>
    </row>
    <row r="42" spans="2:21" ht="13.5" customHeight="1" x14ac:dyDescent="0.25">
      <c r="B42" s="33" t="s">
        <v>48</v>
      </c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5"/>
      <c r="Q42" s="35"/>
      <c r="R42" s="35"/>
      <c r="S42" s="35"/>
      <c r="T42" s="33"/>
      <c r="U42" s="33"/>
    </row>
    <row r="43" spans="2:21" ht="4.5" customHeight="1" x14ac:dyDescent="0.25"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5"/>
      <c r="Q43" s="35"/>
      <c r="R43" s="35"/>
      <c r="S43" s="35"/>
      <c r="T43" s="33"/>
      <c r="U43" s="33"/>
    </row>
    <row r="44" spans="2:21" ht="13.5" customHeight="1" x14ac:dyDescent="0.25">
      <c r="B44" s="33" t="s">
        <v>50</v>
      </c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5"/>
      <c r="Q44" s="303">
        <f>C23*1.1</f>
        <v>253.00000000000003</v>
      </c>
      <c r="R44" s="304"/>
      <c r="S44" s="305"/>
      <c r="T44" s="33" t="s">
        <v>9</v>
      </c>
      <c r="U44" s="33"/>
    </row>
    <row r="45" spans="2:21" ht="4.5" customHeight="1" x14ac:dyDescent="0.25"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5"/>
      <c r="Q45" s="35"/>
      <c r="R45" s="35"/>
      <c r="S45" s="35"/>
      <c r="T45" s="33"/>
      <c r="U45" s="33"/>
    </row>
    <row r="46" spans="2:21" ht="13.5" customHeight="1" x14ac:dyDescent="0.25">
      <c r="B46" s="36" t="s">
        <v>95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5"/>
      <c r="Q46" s="35"/>
      <c r="R46" s="35"/>
      <c r="S46" s="35"/>
      <c r="T46" s="33"/>
      <c r="U46" s="33"/>
    </row>
    <row r="47" spans="2:21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5"/>
      <c r="Q47" s="35"/>
      <c r="R47" s="35"/>
      <c r="S47" s="35"/>
      <c r="T47" s="33"/>
      <c r="U47" s="33"/>
    </row>
    <row r="48" spans="2:21" ht="13.5" customHeight="1" x14ac:dyDescent="0.25">
      <c r="C48" s="33" t="s">
        <v>97</v>
      </c>
      <c r="D48" s="33"/>
      <c r="E48" s="33"/>
      <c r="F48" s="33"/>
      <c r="G48" s="33"/>
      <c r="I48" s="33"/>
      <c r="J48" s="33"/>
      <c r="K48" s="33"/>
      <c r="L48" s="33"/>
      <c r="M48" s="33"/>
      <c r="N48" s="33"/>
      <c r="O48" s="33"/>
      <c r="P48" s="35"/>
      <c r="Q48" s="35"/>
      <c r="R48" s="35"/>
      <c r="S48" s="35"/>
      <c r="T48" s="33"/>
      <c r="U48" s="33"/>
    </row>
    <row r="49" spans="2:21" ht="13.5" customHeight="1" x14ac:dyDescent="0.25">
      <c r="C49" s="33" t="s">
        <v>96</v>
      </c>
      <c r="D49" s="33"/>
      <c r="E49" s="33"/>
      <c r="F49" s="33"/>
      <c r="G49" s="33"/>
      <c r="I49" s="41"/>
      <c r="J49" s="41"/>
      <c r="K49" s="41"/>
      <c r="L49" s="33" t="s">
        <v>98</v>
      </c>
      <c r="M49" s="41"/>
      <c r="N49" s="41"/>
      <c r="O49" s="41"/>
      <c r="P49" s="35"/>
      <c r="Q49" s="35"/>
      <c r="R49" s="35"/>
      <c r="S49" s="35"/>
      <c r="T49" s="33"/>
      <c r="U49" s="33"/>
    </row>
    <row r="50" spans="2:21" ht="13.5" customHeight="1" x14ac:dyDescent="0.25">
      <c r="C50" s="279"/>
      <c r="D50" s="280"/>
      <c r="E50" s="280"/>
      <c r="F50" s="280"/>
      <c r="G50" s="280"/>
      <c r="H50" s="280"/>
      <c r="I50" s="281"/>
      <c r="J50" s="41"/>
      <c r="K50" s="41"/>
      <c r="L50" s="279"/>
      <c r="M50" s="280"/>
      <c r="N50" s="280"/>
      <c r="O50" s="280"/>
      <c r="P50" s="280"/>
      <c r="Q50" s="280"/>
      <c r="R50" s="280"/>
      <c r="S50" s="280"/>
      <c r="T50" s="281"/>
      <c r="U50" s="33"/>
    </row>
    <row r="51" spans="2:21" ht="7.5" customHeight="1" x14ac:dyDescent="0.25"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9"/>
      <c r="O51" s="39"/>
      <c r="P51" s="39"/>
      <c r="Q51" s="39"/>
      <c r="R51" s="39"/>
      <c r="S51" s="39"/>
      <c r="T51" s="33"/>
      <c r="U51" s="33"/>
    </row>
    <row r="52" spans="2:21" ht="13.5" customHeight="1" x14ac:dyDescent="0.25"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9"/>
      <c r="O52" s="39"/>
      <c r="P52" s="39"/>
      <c r="Q52" s="39"/>
      <c r="R52" s="39"/>
      <c r="S52" s="39"/>
      <c r="T52" s="33"/>
      <c r="U52" s="33"/>
    </row>
    <row r="53" spans="2:21" x14ac:dyDescent="0.25">
      <c r="B53" s="19" t="s">
        <v>105</v>
      </c>
    </row>
    <row r="56" spans="2:21" x14ac:dyDescent="0.25">
      <c r="C56" s="33"/>
    </row>
    <row r="58" spans="2:21" x14ac:dyDescent="0.25">
      <c r="J58" s="33"/>
    </row>
    <row r="59" spans="2:21" x14ac:dyDescent="0.25">
      <c r="H59" s="9"/>
      <c r="I59" s="9"/>
      <c r="J59" s="9"/>
      <c r="K59" s="9"/>
      <c r="L59" s="9"/>
      <c r="M59" s="9"/>
      <c r="N59" s="9"/>
    </row>
  </sheetData>
  <sheetProtection selectLockedCells="1"/>
  <mergeCells count="38">
    <mergeCell ref="C50:I50"/>
    <mergeCell ref="L50:T50"/>
    <mergeCell ref="D30:H30"/>
    <mergeCell ref="J30:L30"/>
    <mergeCell ref="P30:S30"/>
    <mergeCell ref="D32:H32"/>
    <mergeCell ref="J32:L32"/>
    <mergeCell ref="P32:S32"/>
    <mergeCell ref="Q34:S34"/>
    <mergeCell ref="Q36:S36"/>
    <mergeCell ref="Q38:S38"/>
    <mergeCell ref="Q41:S41"/>
    <mergeCell ref="Q44:S44"/>
    <mergeCell ref="D26:H26"/>
    <mergeCell ref="J26:L26"/>
    <mergeCell ref="P26:S26"/>
    <mergeCell ref="D28:H28"/>
    <mergeCell ref="J28:L28"/>
    <mergeCell ref="P28:S28"/>
    <mergeCell ref="F17:I17"/>
    <mergeCell ref="Q17:S17"/>
    <mergeCell ref="F19:I19"/>
    <mergeCell ref="Q19:S19"/>
    <mergeCell ref="C23:E23"/>
    <mergeCell ref="J23:L23"/>
    <mergeCell ref="P23:S23"/>
    <mergeCell ref="S7:U7"/>
    <mergeCell ref="D11:G11"/>
    <mergeCell ref="O11:S11"/>
    <mergeCell ref="T11:U11"/>
    <mergeCell ref="D13:G13"/>
    <mergeCell ref="O13:U13"/>
    <mergeCell ref="X2:Z2"/>
    <mergeCell ref="X3:Z3"/>
    <mergeCell ref="AR3:AT3"/>
    <mergeCell ref="X4:Z4"/>
    <mergeCell ref="S5:U5"/>
    <mergeCell ref="X5:Z5"/>
  </mergeCells>
  <pageMargins left="0.1" right="0.25" top="0.25" bottom="0.25" header="0.3" footer="0.3"/>
  <pageSetup orientation="landscape" horizontalDpi="4294967293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disablePrompts="1" count="19">
        <x14:dataValidation type="list" allowBlank="1" showInputMessage="1" showErrorMessage="1">
          <x14:formula1>
            <xm:f>'CICD Look Up Tables'!$BC$4:$BC$5</xm:f>
          </x14:formula1>
          <xm:sqref>X5:Z5</xm:sqref>
        </x14:dataValidation>
        <x14:dataValidation type="list" allowBlank="1" showInputMessage="1" showErrorMessage="1">
          <x14:formula1>
            <xm:f>'CICD Look Up Tables'!$BA$4</xm:f>
          </x14:formula1>
          <xm:sqref>S9</xm:sqref>
        </x14:dataValidation>
        <x14:dataValidation type="list" allowBlank="1" showInputMessage="1" showErrorMessage="1">
          <x14:formula1>
            <xm:f>'CICD Look Up Tables'!$BB$4:$BB$5</xm:f>
          </x14:formula1>
          <xm:sqref>X3</xm:sqref>
        </x14:dataValidation>
        <x14:dataValidation type="list" allowBlank="1" showInputMessage="1" showErrorMessage="1">
          <x14:formula1>
            <xm:f>'CICD Look Up Tables'!$AZ$4:$AZ$7</xm:f>
          </x14:formula1>
          <xm:sqref>R9</xm:sqref>
        </x14:dataValidation>
        <x14:dataValidation type="list" allowBlank="1" showInputMessage="1" showErrorMessage="1">
          <x14:formula1>
            <xm:f>'CICD Look Up Tables'!$AX$4:$AX$6</xm:f>
          </x14:formula1>
          <xm:sqref>Q9</xm:sqref>
        </x14:dataValidation>
        <x14:dataValidation type="list" allowBlank="1" showInputMessage="1" showErrorMessage="1">
          <x14:formula1>
            <xm:f>'CICD Look Up Tables'!$AW$4:$AW$5</xm:f>
          </x14:formula1>
          <xm:sqref>P9</xm:sqref>
        </x14:dataValidation>
        <x14:dataValidation type="list" allowBlank="1" showInputMessage="1" showErrorMessage="1">
          <x14:formula1>
            <xm:f>'CICD Look Up Tables'!$AV$4:$AV$6</xm:f>
          </x14:formula1>
          <xm:sqref>O9</xm:sqref>
        </x14:dataValidation>
        <x14:dataValidation type="list" allowBlank="1" showInputMessage="1" showErrorMessage="1">
          <x14:formula1>
            <xm:f>'CICD Look Up Tables'!$AU$4:$AU$5</xm:f>
          </x14:formula1>
          <xm:sqref>N9</xm:sqref>
        </x14:dataValidation>
        <x14:dataValidation type="list" allowBlank="1" showInputMessage="1" showErrorMessage="1">
          <x14:formula1>
            <xm:f>'CICD Look Up Tables'!$AT$4:$AT$6</xm:f>
          </x14:formula1>
          <xm:sqref>M9</xm:sqref>
        </x14:dataValidation>
        <x14:dataValidation type="list" allowBlank="1" showInputMessage="1" showErrorMessage="1">
          <x14:formula1>
            <xm:f>'CICD Look Up Tables'!$AS$4</xm:f>
          </x14:formula1>
          <xm:sqref>L9</xm:sqref>
        </x14:dataValidation>
        <x14:dataValidation type="list" allowBlank="1" showInputMessage="1" showErrorMessage="1">
          <x14:formula1>
            <xm:f>'CICD Look Up Tables'!$AR$4:$AR$5</xm:f>
          </x14:formula1>
          <xm:sqref>K9</xm:sqref>
        </x14:dataValidation>
        <x14:dataValidation type="list" allowBlank="1" showInputMessage="1" showErrorMessage="1">
          <x14:formula1>
            <xm:f>'CICD Look Up Tables'!$AQ$4</xm:f>
          </x14:formula1>
          <xm:sqref>J9</xm:sqref>
        </x14:dataValidation>
        <x14:dataValidation type="list" allowBlank="1" showInputMessage="1" showErrorMessage="1">
          <x14:formula1>
            <xm:f>'CICD Look Up Tables'!$AN$4:$AN$5</xm:f>
          </x14:formula1>
          <xm:sqref>H9</xm:sqref>
        </x14:dataValidation>
        <x14:dataValidation type="list" allowBlank="1" showInputMessage="1" showErrorMessage="1">
          <x14:formula1>
            <xm:f>'CICD Look Up Tables'!$AP$4:$AP$5</xm:f>
          </x14:formula1>
          <xm:sqref>I9</xm:sqref>
        </x14:dataValidation>
        <x14:dataValidation type="list" allowBlank="1" showInputMessage="1" showErrorMessage="1">
          <x14:formula1>
            <xm:f>'CICD Look Up Tables'!$AM$4</xm:f>
          </x14:formula1>
          <xm:sqref>G9</xm:sqref>
        </x14:dataValidation>
        <x14:dataValidation type="list" allowBlank="1" showInputMessage="1" showErrorMessage="1">
          <x14:formula1>
            <xm:f>'CICD Look Up Tables'!$AK$4:$AK$6</xm:f>
          </x14:formula1>
          <xm:sqref>F9</xm:sqref>
        </x14:dataValidation>
        <x14:dataValidation type="list" allowBlank="1" showInputMessage="1" showErrorMessage="1">
          <x14:formula1>
            <xm:f>'CICD Look Up Tables'!$AH$4:$AH$7</xm:f>
          </x14:formula1>
          <xm:sqref>E9</xm:sqref>
        </x14:dataValidation>
        <x14:dataValidation type="list" allowBlank="1" showInputMessage="1" showErrorMessage="1">
          <x14:formula1>
            <xm:f>'CICD Look Up Tables'!$AG$4:$AG$9</xm:f>
          </x14:formula1>
          <xm:sqref>D9</xm:sqref>
        </x14:dataValidation>
        <x14:dataValidation type="list" allowBlank="1" showInputMessage="1" showErrorMessage="1">
          <x14:formula1>
            <xm:f>'CICD Look Up Tables'!$AF$5</xm:f>
          </x14:formula1>
          <xm:sqref>C9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T53"/>
  <sheetViews>
    <sheetView zoomScale="115" zoomScaleNormal="115" workbookViewId="0"/>
  </sheetViews>
  <sheetFormatPr defaultColWidth="9.140625" defaultRowHeight="15" x14ac:dyDescent="0.25"/>
  <cols>
    <col min="1" max="1" width="5.42578125" style="257" customWidth="1"/>
    <col min="2" max="2" width="7.42578125" style="257" customWidth="1"/>
    <col min="3" max="3" width="3.5703125" style="257" customWidth="1"/>
    <col min="4" max="4" width="1.7109375" style="257" customWidth="1"/>
    <col min="5" max="5" width="3.28515625" style="257" customWidth="1"/>
    <col min="6" max="25" width="1.85546875" style="257" customWidth="1"/>
    <col min="26" max="26" width="3.28515625" style="257" customWidth="1"/>
    <col min="27" max="27" width="1.42578125" style="257" customWidth="1"/>
    <col min="28" max="29" width="1.5703125" style="257" customWidth="1"/>
    <col min="30" max="31" width="1.28515625" style="257" customWidth="1"/>
    <col min="32" max="32" width="1.5703125" style="257" customWidth="1"/>
    <col min="33" max="33" width="1.85546875" style="257" customWidth="1"/>
    <col min="34" max="34" width="1.5703125" style="257" customWidth="1"/>
    <col min="35" max="35" width="2" style="257" customWidth="1"/>
    <col min="36" max="37" width="1.5703125" style="257" customWidth="1"/>
    <col min="38" max="38" width="1.7109375" style="257" customWidth="1"/>
    <col min="39" max="39" width="0.85546875" style="257" customWidth="1"/>
    <col min="40" max="40" width="3" style="257" bestFit="1" customWidth="1"/>
    <col min="41" max="41" width="5.85546875" style="257" customWidth="1"/>
    <col min="42" max="42" width="7.28515625" style="257" customWidth="1"/>
    <col min="43" max="43" width="3.85546875" style="257" customWidth="1"/>
    <col min="44" max="44" width="7.28515625" style="257" customWidth="1"/>
    <col min="45" max="45" width="10" style="257" bestFit="1" customWidth="1"/>
    <col min="46" max="46" width="8.7109375" style="257" customWidth="1"/>
    <col min="47" max="47" width="10.42578125" style="257" customWidth="1"/>
    <col min="48" max="48" width="10.28515625" style="257" customWidth="1"/>
    <col min="49" max="49" width="13.140625" style="257" bestFit="1" customWidth="1"/>
    <col min="50" max="50" width="10" style="257" bestFit="1" customWidth="1"/>
    <col min="51" max="51" width="18.140625" style="257" bestFit="1" customWidth="1"/>
    <col min="52" max="52" width="16.140625" style="257" bestFit="1" customWidth="1"/>
    <col min="53" max="53" width="26.28515625" style="257" bestFit="1" customWidth="1"/>
    <col min="54" max="54" width="27" style="257" bestFit="1" customWidth="1"/>
    <col min="55" max="55" width="34" style="257" bestFit="1" customWidth="1"/>
    <col min="56" max="16384" width="9.140625" style="257"/>
  </cols>
  <sheetData>
    <row r="1" spans="2:42" ht="15.75" thickBot="1" x14ac:dyDescent="0.3"/>
    <row r="2" spans="2:42" ht="15.75" thickBot="1" x14ac:dyDescent="0.3">
      <c r="AN2" s="309" t="s">
        <v>261</v>
      </c>
      <c r="AO2" s="310"/>
      <c r="AP2" s="311"/>
    </row>
    <row r="3" spans="2:42" ht="15.75" thickBot="1" x14ac:dyDescent="0.3">
      <c r="AN3" s="306">
        <v>5</v>
      </c>
      <c r="AO3" s="307"/>
      <c r="AP3" s="308"/>
    </row>
    <row r="4" spans="2:42" ht="15.75" thickBot="1" x14ac:dyDescent="0.3">
      <c r="S4" s="40"/>
      <c r="T4" s="40"/>
      <c r="U4" s="40"/>
      <c r="AN4" s="309" t="s">
        <v>294</v>
      </c>
      <c r="AO4" s="310"/>
      <c r="AP4" s="311"/>
    </row>
    <row r="5" spans="2:42" ht="15.75" thickBot="1" x14ac:dyDescent="0.3">
      <c r="M5" s="33"/>
      <c r="S5" s="256" t="s">
        <v>17</v>
      </c>
      <c r="T5" s="313">
        <f ca="1">TODAY()</f>
        <v>44529</v>
      </c>
      <c r="U5" s="314"/>
      <c r="V5" s="314"/>
      <c r="W5" s="314"/>
      <c r="X5" s="314"/>
      <c r="Y5" s="315"/>
      <c r="AN5" s="306">
        <v>150</v>
      </c>
      <c r="AO5" s="307"/>
      <c r="AP5" s="308"/>
    </row>
    <row r="6" spans="2:42" ht="4.5" customHeight="1" x14ac:dyDescent="0.25">
      <c r="M6" s="33"/>
    </row>
    <row r="7" spans="2:42" ht="13.5" customHeight="1" x14ac:dyDescent="0.25">
      <c r="S7" s="256" t="s">
        <v>0</v>
      </c>
      <c r="T7" s="290" t="s">
        <v>370</v>
      </c>
      <c r="U7" s="291"/>
      <c r="V7" s="291"/>
      <c r="W7" s="291"/>
      <c r="X7" s="291"/>
      <c r="Y7" s="292"/>
    </row>
    <row r="8" spans="2:42" ht="4.5" customHeight="1" x14ac:dyDescent="0.25"/>
    <row r="9" spans="2:42" ht="13.5" customHeight="1" x14ac:dyDescent="0.25">
      <c r="B9" s="34" t="s">
        <v>1</v>
      </c>
      <c r="C9" s="259" t="s">
        <v>368</v>
      </c>
      <c r="D9" s="71" t="s">
        <v>490</v>
      </c>
      <c r="E9" s="260" t="s">
        <v>369</v>
      </c>
      <c r="F9" s="71" t="s">
        <v>322</v>
      </c>
      <c r="G9" s="71" t="s">
        <v>381</v>
      </c>
      <c r="H9" s="71" t="s">
        <v>391</v>
      </c>
      <c r="I9" s="71" t="s">
        <v>416</v>
      </c>
      <c r="J9" s="71" t="s">
        <v>417</v>
      </c>
      <c r="K9" s="71" t="s">
        <v>187</v>
      </c>
      <c r="L9" s="71" t="s">
        <v>418</v>
      </c>
      <c r="M9" s="71" t="s">
        <v>419</v>
      </c>
      <c r="N9" s="71" t="s">
        <v>420</v>
      </c>
      <c r="O9" s="71" t="s">
        <v>421</v>
      </c>
      <c r="P9" s="71" t="s">
        <v>435</v>
      </c>
      <c r="Q9" s="71" t="s">
        <v>423</v>
      </c>
      <c r="R9" s="71" t="s">
        <v>424</v>
      </c>
      <c r="S9" s="71" t="s">
        <v>103</v>
      </c>
      <c r="T9" s="71"/>
      <c r="U9" s="71"/>
      <c r="V9" s="71"/>
      <c r="W9" s="71"/>
      <c r="X9" s="71"/>
      <c r="Y9" s="72"/>
      <c r="Z9" s="261" t="s">
        <v>103</v>
      </c>
    </row>
    <row r="10" spans="2:42" ht="4.5" customHeight="1" x14ac:dyDescent="0.25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</row>
    <row r="11" spans="2:42" ht="13.5" customHeight="1" x14ac:dyDescent="0.25">
      <c r="B11" s="33" t="s">
        <v>2</v>
      </c>
      <c r="C11" s="33"/>
      <c r="D11" s="290" t="s">
        <v>32</v>
      </c>
      <c r="E11" s="291"/>
      <c r="F11" s="291"/>
      <c r="G11" s="292"/>
      <c r="H11" s="33"/>
      <c r="I11" s="33"/>
      <c r="J11" s="33"/>
      <c r="K11" s="33"/>
      <c r="O11" s="256" t="s">
        <v>16</v>
      </c>
      <c r="P11" s="290" t="str">
        <f>"Crt 1="&amp;'CICD Look Up Tables'!S29</f>
        <v>Crt 1=15.5</v>
      </c>
      <c r="Q11" s="291"/>
      <c r="R11" s="291"/>
      <c r="S11" s="291"/>
      <c r="T11" s="291"/>
      <c r="U11" s="291" t="str">
        <f>"Crt 2="&amp;'CICD Look Up Tables'!T29</f>
        <v>Crt 2=15.5</v>
      </c>
      <c r="V11" s="291"/>
      <c r="W11" s="291"/>
      <c r="X11" s="291"/>
      <c r="Y11" s="292"/>
    </row>
    <row r="12" spans="2:42" ht="4.5" customHeight="1" x14ac:dyDescent="0.25">
      <c r="B12" s="33"/>
      <c r="C12" s="33"/>
      <c r="D12" s="255"/>
      <c r="E12" s="255"/>
      <c r="F12" s="255"/>
      <c r="G12" s="255"/>
      <c r="H12" s="33"/>
      <c r="I12" s="33"/>
      <c r="J12" s="33"/>
      <c r="K12" s="33"/>
      <c r="L12" s="256"/>
      <c r="M12" s="255"/>
      <c r="N12" s="255"/>
      <c r="O12" s="255"/>
      <c r="P12" s="255"/>
      <c r="Q12" s="255"/>
      <c r="R12" s="255"/>
      <c r="S12" s="255"/>
      <c r="T12" s="255"/>
      <c r="U12" s="255"/>
    </row>
    <row r="13" spans="2:42" ht="13.5" customHeight="1" x14ac:dyDescent="0.25">
      <c r="B13" s="33" t="s">
        <v>93</v>
      </c>
      <c r="C13" s="33"/>
      <c r="D13" s="290" t="s">
        <v>94</v>
      </c>
      <c r="E13" s="291"/>
      <c r="F13" s="291"/>
      <c r="G13" s="292"/>
      <c r="H13" s="33"/>
      <c r="I13" s="33"/>
      <c r="J13" s="33"/>
      <c r="K13" s="33"/>
      <c r="L13" s="256"/>
      <c r="M13" s="255"/>
      <c r="O13" s="46" t="s">
        <v>100</v>
      </c>
      <c r="P13" s="337" t="s">
        <v>366</v>
      </c>
      <c r="Q13" s="338"/>
      <c r="R13" s="338"/>
      <c r="S13" s="338"/>
      <c r="T13" s="338"/>
      <c r="U13" s="338"/>
      <c r="V13" s="338"/>
      <c r="W13" s="338"/>
      <c r="X13" s="338"/>
      <c r="Y13" s="339"/>
    </row>
    <row r="14" spans="2:42" ht="4.5" customHeight="1" x14ac:dyDescent="0.25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2:42" ht="13.5" customHeight="1" x14ac:dyDescent="0.25">
      <c r="B15" s="36" t="s">
        <v>3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2:42" ht="4.5" customHeight="1" x14ac:dyDescent="0.25"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2:46" ht="13.5" customHeight="1" x14ac:dyDescent="0.25">
      <c r="B17" s="33" t="s">
        <v>4</v>
      </c>
      <c r="C17" s="33"/>
      <c r="D17" s="35"/>
      <c r="E17" s="35"/>
      <c r="G17" s="290" t="s">
        <v>34</v>
      </c>
      <c r="H17" s="291"/>
      <c r="I17" s="291"/>
      <c r="J17" s="292"/>
      <c r="K17" s="34" t="s">
        <v>5</v>
      </c>
      <c r="L17" s="33"/>
      <c r="M17" s="33"/>
      <c r="N17" s="33"/>
      <c r="O17" s="35"/>
      <c r="P17" s="37"/>
      <c r="S17" s="290">
        <f>AN5</f>
        <v>150</v>
      </c>
      <c r="T17" s="291"/>
      <c r="U17" s="292"/>
      <c r="V17" s="34" t="s">
        <v>6</v>
      </c>
      <c r="W17" s="33"/>
    </row>
    <row r="18" spans="2:46" ht="4.5" customHeight="1" x14ac:dyDescent="0.25">
      <c r="B18" s="33"/>
      <c r="C18" s="33"/>
      <c r="D18" s="33"/>
      <c r="E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S18" s="33"/>
      <c r="T18" s="33"/>
      <c r="U18" s="33"/>
      <c r="V18" s="33"/>
      <c r="W18" s="33"/>
    </row>
    <row r="19" spans="2:46" ht="13.5" customHeight="1" x14ac:dyDescent="0.25">
      <c r="B19" s="33" t="s">
        <v>7</v>
      </c>
      <c r="C19" s="33"/>
      <c r="D19" s="33"/>
      <c r="E19" s="33"/>
      <c r="G19" s="290">
        <v>650</v>
      </c>
      <c r="H19" s="291"/>
      <c r="I19" s="291"/>
      <c r="J19" s="292"/>
      <c r="K19" s="33" t="s">
        <v>5</v>
      </c>
      <c r="L19" s="33"/>
      <c r="M19" s="33"/>
      <c r="N19" s="33"/>
      <c r="O19" s="33"/>
      <c r="P19" s="37"/>
      <c r="S19" s="290">
        <v>650</v>
      </c>
      <c r="T19" s="291"/>
      <c r="U19" s="292"/>
      <c r="V19" s="33" t="s">
        <v>6</v>
      </c>
      <c r="W19" s="33"/>
    </row>
    <row r="20" spans="2:46" ht="4.5" customHeight="1" x14ac:dyDescent="0.25"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AD20" s="1"/>
    </row>
    <row r="21" spans="2:46" ht="13.5" customHeight="1" x14ac:dyDescent="0.25">
      <c r="B21" s="36" t="s">
        <v>8</v>
      </c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</row>
    <row r="22" spans="2:46" ht="4.5" customHeight="1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</row>
    <row r="23" spans="2:46" ht="13.5" customHeight="1" x14ac:dyDescent="0.25">
      <c r="B23" s="38" t="s">
        <v>35</v>
      </c>
      <c r="C23" s="279">
        <f>'ACCA Look Up Tables'!E15</f>
        <v>230</v>
      </c>
      <c r="D23" s="280"/>
      <c r="E23" s="280"/>
      <c r="F23" s="280"/>
      <c r="G23" s="281"/>
      <c r="H23" s="33" t="s">
        <v>9</v>
      </c>
      <c r="I23" s="33"/>
      <c r="L23" s="290">
        <v>3</v>
      </c>
      <c r="M23" s="291"/>
      <c r="N23" s="292"/>
      <c r="O23" s="33" t="s">
        <v>10</v>
      </c>
      <c r="P23" s="33"/>
      <c r="Q23" s="33"/>
      <c r="R23" s="290">
        <v>60</v>
      </c>
      <c r="S23" s="291"/>
      <c r="T23" s="291"/>
      <c r="U23" s="292"/>
      <c r="V23" s="33" t="s">
        <v>11</v>
      </c>
      <c r="AT23" s="33"/>
    </row>
    <row r="24" spans="2:46" ht="4.5" customHeight="1" x14ac:dyDescent="0.25"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</row>
    <row r="25" spans="2:46" ht="13.5" customHeight="1" x14ac:dyDescent="0.25">
      <c r="B25" s="33"/>
      <c r="C25" s="33"/>
      <c r="E25" s="33"/>
      <c r="F25" s="33" t="s">
        <v>1</v>
      </c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</row>
    <row r="26" spans="2:46" ht="13.5" customHeight="1" x14ac:dyDescent="0.25">
      <c r="B26" s="34" t="str">
        <f>'ACCA Look Up Tables'!I7</f>
        <v>Comp. #1</v>
      </c>
      <c r="D26" s="340" t="s">
        <v>101</v>
      </c>
      <c r="E26" s="340"/>
      <c r="F26" s="290" t="str">
        <f>VLOOKUP(B26,'ACCA Look Up Tables'!$I$7:$M$10,3,FALSE)</f>
        <v>DSH140A3</v>
      </c>
      <c r="G26" s="291"/>
      <c r="H26" s="291"/>
      <c r="I26" s="291"/>
      <c r="J26" s="292"/>
      <c r="K26" s="33"/>
      <c r="L26" s="290">
        <f>VLOOKUP(B26,'ACCA Look Up Tables'!$I$7:$M$10,4,FALSE)</f>
        <v>304</v>
      </c>
      <c r="M26" s="291"/>
      <c r="N26" s="292"/>
      <c r="O26" s="33" t="s">
        <v>14</v>
      </c>
      <c r="P26" s="33"/>
      <c r="Q26" s="33"/>
      <c r="R26" s="290">
        <f>VLOOKUP(B26,'ACCA Look Up Tables'!$I$7:$M$10,5,FALSE)</f>
        <v>41</v>
      </c>
      <c r="S26" s="291"/>
      <c r="T26" s="291"/>
      <c r="U26" s="292"/>
      <c r="V26" s="33" t="s">
        <v>12</v>
      </c>
      <c r="X26" s="33"/>
    </row>
    <row r="27" spans="2:46" ht="4.5" customHeight="1" x14ac:dyDescent="0.25">
      <c r="B27" s="34"/>
      <c r="D27" s="340"/>
      <c r="E27" s="340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X27" s="33"/>
      <c r="Y27" s="1"/>
    </row>
    <row r="28" spans="2:46" ht="13.5" customHeight="1" x14ac:dyDescent="0.25">
      <c r="B28" s="34" t="str">
        <f>'ACCA Look Up Tables'!I8</f>
        <v>Comp. #3</v>
      </c>
      <c r="D28" s="340"/>
      <c r="E28" s="340"/>
      <c r="F28" s="290" t="str">
        <f>VLOOKUP(B28,'ACCA Look Up Tables'!$I$7:$M$10,3,FALSE)</f>
        <v>DSH140A3</v>
      </c>
      <c r="G28" s="291"/>
      <c r="H28" s="291"/>
      <c r="I28" s="291"/>
      <c r="J28" s="292"/>
      <c r="K28" s="33"/>
      <c r="L28" s="290">
        <f>VLOOKUP(B28,'ACCA Look Up Tables'!$I$7:$M$10,4,FALSE)</f>
        <v>304</v>
      </c>
      <c r="M28" s="291"/>
      <c r="N28" s="292"/>
      <c r="O28" s="33" t="s">
        <v>14</v>
      </c>
      <c r="P28" s="33"/>
      <c r="Q28" s="33"/>
      <c r="R28" s="290">
        <f>VLOOKUP(B28,'ACCA Look Up Tables'!$I$7:$M$10,5,FALSE)</f>
        <v>41</v>
      </c>
      <c r="S28" s="291"/>
      <c r="T28" s="291"/>
      <c r="U28" s="292"/>
      <c r="V28" s="33" t="s">
        <v>12</v>
      </c>
      <c r="X28" s="33"/>
    </row>
    <row r="29" spans="2:46" ht="4.5" customHeight="1" x14ac:dyDescent="0.25">
      <c r="B29" s="34"/>
      <c r="D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X29" s="33"/>
    </row>
    <row r="30" spans="2:46" ht="13.5" customHeight="1" x14ac:dyDescent="0.25">
      <c r="B30" s="34" t="str">
        <f>'ACCA Look Up Tables'!I9</f>
        <v>Comp. #2</v>
      </c>
      <c r="D30" s="340" t="str">
        <f>IF('ACCA Look Up Tables'!H9="None","","CKT 2")</f>
        <v>CKT 2</v>
      </c>
      <c r="E30" s="340"/>
      <c r="F30" s="290" t="str">
        <f>VLOOKUP(B30,'ACCA Look Up Tables'!$I$7:$M$10,3,FALSE)</f>
        <v>DSH140A3</v>
      </c>
      <c r="G30" s="291"/>
      <c r="H30" s="291"/>
      <c r="I30" s="291"/>
      <c r="J30" s="292"/>
      <c r="K30" s="33"/>
      <c r="L30" s="290">
        <f>VLOOKUP(B30,'ACCA Look Up Tables'!$I$7:$M$10,4,FALSE)</f>
        <v>304</v>
      </c>
      <c r="M30" s="291"/>
      <c r="N30" s="292"/>
      <c r="O30" s="33" t="s">
        <v>14</v>
      </c>
      <c r="P30" s="33"/>
      <c r="Q30" s="33"/>
      <c r="R30" s="290">
        <f>VLOOKUP(B30,'ACCA Look Up Tables'!$I$7:$M$10,5,FALSE)</f>
        <v>41</v>
      </c>
      <c r="S30" s="291"/>
      <c r="T30" s="291"/>
      <c r="U30" s="292"/>
      <c r="V30" s="33" t="s">
        <v>12</v>
      </c>
      <c r="X30" s="33"/>
    </row>
    <row r="31" spans="2:46" ht="4.5" customHeight="1" x14ac:dyDescent="0.25">
      <c r="B31" s="34"/>
      <c r="D31" s="340"/>
      <c r="E31" s="340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X31" s="33"/>
    </row>
    <row r="32" spans="2:46" ht="13.5" customHeight="1" x14ac:dyDescent="0.25">
      <c r="B32" s="34" t="str">
        <f>'ACCA Look Up Tables'!I10</f>
        <v>Comp. #4</v>
      </c>
      <c r="D32" s="340"/>
      <c r="E32" s="340"/>
      <c r="F32" s="290" t="str">
        <f>VLOOKUP(B32,'ACCA Look Up Tables'!$I$7:$M$10,3,FALSE)</f>
        <v>DSH140A3</v>
      </c>
      <c r="G32" s="291"/>
      <c r="H32" s="291"/>
      <c r="I32" s="291"/>
      <c r="J32" s="292"/>
      <c r="K32" s="33"/>
      <c r="L32" s="290">
        <f>VLOOKUP(B32,'ACCA Look Up Tables'!$I$7:$M$10,4,FALSE)</f>
        <v>304</v>
      </c>
      <c r="M32" s="291"/>
      <c r="N32" s="292"/>
      <c r="O32" s="33" t="s">
        <v>14</v>
      </c>
      <c r="P32" s="33"/>
      <c r="Q32" s="33"/>
      <c r="R32" s="290">
        <f>VLOOKUP(B32,'ACCA Look Up Tables'!$I$7:$M$10,5,FALSE)</f>
        <v>41</v>
      </c>
      <c r="S32" s="291"/>
      <c r="T32" s="291"/>
      <c r="U32" s="292"/>
      <c r="V32" s="33" t="s">
        <v>12</v>
      </c>
      <c r="X32" s="33"/>
    </row>
    <row r="33" spans="2:22" ht="4.5" customHeight="1" x14ac:dyDescent="0.25"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</row>
    <row r="34" spans="2:22" ht="13.5" customHeight="1" x14ac:dyDescent="0.25"/>
    <row r="35" spans="2:22" ht="4.5" customHeight="1" x14ac:dyDescent="0.25"/>
    <row r="36" spans="2:22" ht="13.5" customHeight="1" x14ac:dyDescent="0.25">
      <c r="B36" s="34" t="s">
        <v>39</v>
      </c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R36" s="37"/>
      <c r="S36" s="341">
        <f>'ACCA Look Up Tables'!I4</f>
        <v>184.25</v>
      </c>
      <c r="T36" s="342"/>
      <c r="U36" s="343"/>
      <c r="V36" s="33" t="s">
        <v>15</v>
      </c>
    </row>
    <row r="37" spans="2:22" ht="4.5" customHeight="1" x14ac:dyDescent="0.25"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R37" s="33"/>
      <c r="S37" s="33"/>
      <c r="T37" s="33"/>
      <c r="U37" s="33"/>
      <c r="V37" s="33"/>
    </row>
    <row r="38" spans="2:22" ht="13.5" customHeight="1" x14ac:dyDescent="0.25">
      <c r="B38" s="34" t="s">
        <v>40</v>
      </c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R38" s="37"/>
      <c r="S38" s="341">
        <f>'ACCA Look Up Tables'!K4</f>
        <v>225</v>
      </c>
      <c r="T38" s="291"/>
      <c r="U38" s="292"/>
      <c r="V38" s="33" t="s">
        <v>15</v>
      </c>
    </row>
    <row r="39" spans="2:22" ht="4.5" customHeight="1" x14ac:dyDescent="0.25"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R39" s="33"/>
      <c r="S39" s="33"/>
      <c r="T39" s="33"/>
      <c r="U39" s="33"/>
      <c r="V39" s="33"/>
    </row>
    <row r="40" spans="2:22" ht="13.5" customHeight="1" x14ac:dyDescent="0.25">
      <c r="B40" s="33" t="s">
        <v>41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R40" s="37"/>
      <c r="S40" s="362">
        <f>'ACCA Look Up Tables'!M4</f>
        <v>200</v>
      </c>
      <c r="T40" s="338"/>
      <c r="U40" s="339"/>
      <c r="V40" s="33" t="s">
        <v>15</v>
      </c>
    </row>
    <row r="41" spans="2:22" ht="13.5" customHeight="1" x14ac:dyDescent="0.25">
      <c r="B41" s="33" t="s">
        <v>42</v>
      </c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R41" s="35"/>
    </row>
    <row r="42" spans="2:22" ht="4.5" customHeight="1" x14ac:dyDescent="0.25"/>
    <row r="43" spans="2:22" ht="13.5" customHeight="1" x14ac:dyDescent="0.25">
      <c r="B43" s="33" t="s">
        <v>371</v>
      </c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R43" s="37"/>
      <c r="S43" s="290">
        <v>5</v>
      </c>
      <c r="T43" s="291"/>
      <c r="U43" s="292"/>
      <c r="V43" s="33" t="s">
        <v>15</v>
      </c>
    </row>
    <row r="44" spans="2:22" x14ac:dyDescent="0.25"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R44" s="37"/>
      <c r="S44" s="254"/>
      <c r="T44" s="254"/>
      <c r="U44" s="254"/>
      <c r="V44" s="35"/>
    </row>
    <row r="45" spans="2:22" ht="13.5" customHeight="1" x14ac:dyDescent="0.25">
      <c r="B45" s="33" t="s">
        <v>47</v>
      </c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R45" s="35"/>
      <c r="S45" s="279">
        <f>AN3</f>
        <v>5</v>
      </c>
      <c r="T45" s="280"/>
      <c r="U45" s="281"/>
      <c r="V45" s="33" t="s">
        <v>46</v>
      </c>
    </row>
    <row r="46" spans="2:22" x14ac:dyDescent="0.25">
      <c r="B46" s="33" t="s">
        <v>48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R46" s="35"/>
      <c r="S46" s="35"/>
      <c r="T46" s="35"/>
      <c r="U46" s="35"/>
      <c r="V46" s="33"/>
    </row>
    <row r="47" spans="2:22" ht="4.5" customHeight="1" x14ac:dyDescent="0.25"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R47" s="35"/>
      <c r="S47" s="35"/>
      <c r="T47" s="35"/>
      <c r="U47" s="35"/>
      <c r="V47" s="33"/>
    </row>
    <row r="48" spans="2:22" x14ac:dyDescent="0.25">
      <c r="B48" s="33" t="s">
        <v>489</v>
      </c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5"/>
      <c r="R48" s="279">
        <f>C23*1.1</f>
        <v>253.00000000000003</v>
      </c>
      <c r="S48" s="280"/>
      <c r="T48" s="280"/>
      <c r="U48" s="281"/>
      <c r="V48" s="33" t="s">
        <v>9</v>
      </c>
    </row>
    <row r="49" spans="2:21" x14ac:dyDescent="0.25"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5"/>
      <c r="Q49" s="35"/>
      <c r="R49" s="35"/>
      <c r="S49" s="35"/>
      <c r="T49" s="33"/>
      <c r="U49" s="33"/>
    </row>
    <row r="50" spans="2:21" x14ac:dyDescent="0.25"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9"/>
      <c r="O50" s="39"/>
      <c r="P50" s="39"/>
      <c r="Q50" s="39"/>
      <c r="R50" s="39"/>
      <c r="S50" s="39"/>
      <c r="T50" s="33"/>
      <c r="U50" s="33"/>
    </row>
    <row r="51" spans="2:21" x14ac:dyDescent="0.25">
      <c r="B51" s="19" t="s">
        <v>367</v>
      </c>
    </row>
    <row r="53" spans="2:21" x14ac:dyDescent="0.25">
      <c r="J53" s="33"/>
    </row>
  </sheetData>
  <sheetProtection selectLockedCells="1"/>
  <mergeCells count="38">
    <mergeCell ref="AN2:AP2"/>
    <mergeCell ref="AN3:AP3"/>
    <mergeCell ref="AN4:AP4"/>
    <mergeCell ref="AN5:AP5"/>
    <mergeCell ref="C23:G23"/>
    <mergeCell ref="D26:E28"/>
    <mergeCell ref="L26:N26"/>
    <mergeCell ref="R26:U26"/>
    <mergeCell ref="F28:J28"/>
    <mergeCell ref="L28:N28"/>
    <mergeCell ref="R28:U28"/>
    <mergeCell ref="L23:N23"/>
    <mergeCell ref="R23:U23"/>
    <mergeCell ref="F26:J26"/>
    <mergeCell ref="D30:E32"/>
    <mergeCell ref="R48:U48"/>
    <mergeCell ref="S45:U45"/>
    <mergeCell ref="S43:U43"/>
    <mergeCell ref="S40:U40"/>
    <mergeCell ref="S38:U38"/>
    <mergeCell ref="F30:J30"/>
    <mergeCell ref="L30:N30"/>
    <mergeCell ref="R30:U30"/>
    <mergeCell ref="F32:J32"/>
    <mergeCell ref="L32:N32"/>
    <mergeCell ref="R32:U32"/>
    <mergeCell ref="S36:U36"/>
    <mergeCell ref="T5:Y5"/>
    <mergeCell ref="T7:Y7"/>
    <mergeCell ref="G17:J17"/>
    <mergeCell ref="S17:U17"/>
    <mergeCell ref="G19:J19"/>
    <mergeCell ref="S19:U19"/>
    <mergeCell ref="P11:T11"/>
    <mergeCell ref="U11:Y11"/>
    <mergeCell ref="P13:Y13"/>
    <mergeCell ref="D11:G11"/>
    <mergeCell ref="D13:G13"/>
  </mergeCells>
  <pageMargins left="0.25" right="0.25" top="0.25" bottom="0.25" header="0.3" footer="0.3"/>
  <pageSetup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7">
        <x14:dataValidation type="list" allowBlank="1" showInputMessage="1" showErrorMessage="1">
          <x14:formula1>
            <xm:f>'ACCA Look Up Tables'!$O$4:$O$7</xm:f>
          </x14:formula1>
          <xm:sqref>D9</xm:sqref>
        </x14:dataValidation>
        <x14:dataValidation type="list" allowBlank="1" showInputMessage="1" showErrorMessage="1">
          <x14:formula1>
            <xm:f>'ACCA Look Up Tables'!$Q$4:$Q$7</xm:f>
          </x14:formula1>
          <xm:sqref>F9</xm:sqref>
        </x14:dataValidation>
        <x14:dataValidation type="list" allowBlank="1" showInputMessage="1" showErrorMessage="1">
          <x14:formula1>
            <xm:f>'ACCA Look Up Tables'!$R$4:$R$8</xm:f>
          </x14:formula1>
          <xm:sqref>G9</xm:sqref>
        </x14:dataValidation>
        <x14:dataValidation type="list" allowBlank="1" showInputMessage="1" showErrorMessage="1">
          <x14:formula1>
            <xm:f>'ACCA Look Up Tables'!$T$4:$T$5</xm:f>
          </x14:formula1>
          <xm:sqref>I9</xm:sqref>
        </x14:dataValidation>
        <x14:dataValidation type="list" allowBlank="1" showInputMessage="1" showErrorMessage="1">
          <x14:formula1>
            <xm:f>'ACCA Look Up Tables'!$U$4:$U$6</xm:f>
          </x14:formula1>
          <xm:sqref>J9</xm:sqref>
        </x14:dataValidation>
        <x14:dataValidation type="list" allowBlank="1" showInputMessage="1" showErrorMessage="1">
          <x14:formula1>
            <xm:f>'ACCA Look Up Tables'!$V$4</xm:f>
          </x14:formula1>
          <xm:sqref>K9</xm:sqref>
        </x14:dataValidation>
        <x14:dataValidation type="list" allowBlank="1" showInputMessage="1" showErrorMessage="1">
          <x14:formula1>
            <xm:f>'ACCA Look Up Tables'!$W$4:$W$13</xm:f>
          </x14:formula1>
          <xm:sqref>L9</xm:sqref>
        </x14:dataValidation>
        <x14:dataValidation type="list" allowBlank="1" showInputMessage="1" showErrorMessage="1">
          <x14:formula1>
            <xm:f>'ACCA Look Up Tables'!$X$4:$X$5</xm:f>
          </x14:formula1>
          <xm:sqref>M9</xm:sqref>
        </x14:dataValidation>
        <x14:dataValidation type="list" allowBlank="1" showInputMessage="1" showErrorMessage="1">
          <x14:formula1>
            <xm:f>'ACCA Look Up Tables'!$Y$4:$Y$6</xm:f>
          </x14:formula1>
          <xm:sqref>N9</xm:sqref>
        </x14:dataValidation>
        <x14:dataValidation type="list" allowBlank="1" showInputMessage="1" showErrorMessage="1">
          <x14:formula1>
            <xm:f>'ACCA Look Up Tables'!$Z$4:$Z$9</xm:f>
          </x14:formula1>
          <xm:sqref>O9</xm:sqref>
        </x14:dataValidation>
        <x14:dataValidation type="list" allowBlank="1" showInputMessage="1" showErrorMessage="1">
          <x14:formula1>
            <xm:f>'ACCA Look Up Tables'!$AA$4:$AA$7</xm:f>
          </x14:formula1>
          <xm:sqref>P9</xm:sqref>
        </x14:dataValidation>
        <x14:dataValidation type="list" allowBlank="1" showInputMessage="1" showErrorMessage="1">
          <x14:formula1>
            <xm:f>'ACCA Look Up Tables'!$AB$4:$AB$5</xm:f>
          </x14:formula1>
          <xm:sqref>Q9</xm:sqref>
        </x14:dataValidation>
        <x14:dataValidation type="list" allowBlank="1" showInputMessage="1" showErrorMessage="1">
          <x14:formula1>
            <xm:f>'ACCA Look Up Tables'!$AC$4:$AC$6</xm:f>
          </x14:formula1>
          <xm:sqref>R9</xm:sqref>
        </x14:dataValidation>
        <x14:dataValidation type="list" allowBlank="1" showInputMessage="1" showErrorMessage="1">
          <x14:formula1>
            <xm:f>'ACCA Look Up Tables'!$P$4:$P$13</xm:f>
          </x14:formula1>
          <xm:sqref>E9</xm:sqref>
        </x14:dataValidation>
        <x14:dataValidation type="list" allowBlank="1" showInputMessage="1" showErrorMessage="1">
          <x14:formula1>
            <xm:f>'ACCA Look Up Tables'!$S$4:$S$13</xm:f>
          </x14:formula1>
          <xm:sqref>H9</xm:sqref>
        </x14:dataValidation>
        <x14:dataValidation type="list" allowBlank="1" showInputMessage="1" showErrorMessage="1">
          <x14:formula1>
            <xm:f>'CICD Look Up Tables'!$BB$4:$BB$5</xm:f>
          </x14:formula1>
          <xm:sqref>AN3</xm:sqref>
        </x14:dataValidation>
        <x14:dataValidation type="list" allowBlank="1" showInputMessage="1" showErrorMessage="1">
          <x14:formula1>
            <xm:f>'CICD Look Up Tables'!$BC$4:$BC$5</xm:f>
          </x14:formula1>
          <xm:sqref>AN5:AP5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AV65"/>
  <sheetViews>
    <sheetView topLeftCell="E1" workbookViewId="0">
      <selection activeCell="F28" sqref="F28:F29"/>
    </sheetView>
  </sheetViews>
  <sheetFormatPr defaultColWidth="9.140625" defaultRowHeight="15" x14ac:dyDescent="0.25"/>
  <cols>
    <col min="1" max="1" width="9.140625" style="176"/>
    <col min="2" max="2" width="11.28515625" style="176" bestFit="1" customWidth="1"/>
    <col min="3" max="3" width="20.5703125" style="229" bestFit="1" customWidth="1"/>
    <col min="4" max="4" width="34.7109375" style="229" bestFit="1" customWidth="1"/>
    <col min="5" max="5" width="10.28515625" style="176" customWidth="1"/>
    <col min="6" max="6" width="24.28515625" style="176" customWidth="1"/>
    <col min="7" max="7" width="9.42578125" style="229" bestFit="1" customWidth="1"/>
    <col min="8" max="8" width="24.28515625" style="176" customWidth="1"/>
    <col min="9" max="9" width="19.85546875" style="176" bestFit="1" customWidth="1"/>
    <col min="10" max="12" width="13.7109375" style="176" customWidth="1"/>
    <col min="13" max="18" width="8.7109375" style="176" customWidth="1"/>
    <col min="19" max="19" width="5.5703125" style="176" bestFit="1" customWidth="1"/>
    <col min="20" max="20" width="10" style="176" customWidth="1"/>
    <col min="21" max="21" width="9.28515625" style="176" bestFit="1" customWidth="1"/>
    <col min="22" max="22" width="15.42578125" style="176" bestFit="1" customWidth="1"/>
    <col min="23" max="23" width="10.5703125" style="229" bestFit="1" customWidth="1"/>
    <col min="24" max="26" width="11" style="229" customWidth="1"/>
    <col min="27" max="27" width="11" style="232" customWidth="1"/>
    <col min="28" max="28" width="11" style="229" customWidth="1"/>
    <col min="29" max="29" width="11.28515625" style="176" bestFit="1" customWidth="1"/>
    <col min="30" max="30" width="12.42578125" style="176" bestFit="1" customWidth="1"/>
    <col min="31" max="31" width="12" style="176" bestFit="1" customWidth="1"/>
    <col min="32" max="32" width="16.28515625" style="176" bestFit="1" customWidth="1"/>
    <col min="33" max="33" width="16.7109375" style="176" bestFit="1" customWidth="1"/>
    <col min="34" max="34" width="24.7109375" style="176" bestFit="1" customWidth="1"/>
    <col min="35" max="35" width="20.28515625" style="176" bestFit="1" customWidth="1"/>
    <col min="36" max="36" width="34.7109375" style="176" bestFit="1" customWidth="1"/>
    <col min="37" max="37" width="24.7109375" style="176" bestFit="1" customWidth="1"/>
    <col min="38" max="38" width="18.140625" style="176" bestFit="1" customWidth="1"/>
    <col min="39" max="39" width="20.28515625" style="176" bestFit="1" customWidth="1"/>
    <col min="40" max="40" width="19.28515625" style="176" bestFit="1" customWidth="1"/>
    <col min="41" max="41" width="21.85546875" style="176" bestFit="1" customWidth="1"/>
    <col min="42" max="42" width="14" style="176" bestFit="1" customWidth="1"/>
    <col min="43" max="43" width="17.42578125" style="176" bestFit="1" customWidth="1"/>
    <col min="44" max="44" width="19.42578125" style="176" bestFit="1" customWidth="1"/>
    <col min="45" max="46" width="14.5703125" style="176" bestFit="1" customWidth="1"/>
    <col min="47" max="47" width="24.140625" style="176" bestFit="1" customWidth="1"/>
    <col min="48" max="48" width="9" style="176" customWidth="1"/>
    <col min="49" max="16384" width="9.140625" style="176"/>
  </cols>
  <sheetData>
    <row r="1" spans="2:48" ht="16.5" thickBot="1" x14ac:dyDescent="0.3">
      <c r="C1" s="316" t="s">
        <v>356</v>
      </c>
      <c r="D1" s="31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</row>
    <row r="2" spans="2:48" ht="30" customHeight="1" x14ac:dyDescent="0.25">
      <c r="B2" s="82" t="s">
        <v>151</v>
      </c>
      <c r="C2" s="148" t="s">
        <v>210</v>
      </c>
      <c r="D2" s="149" t="str">
        <f>'Auto Populate CGWR-CCAR'!G$9</f>
        <v>CGWR</v>
      </c>
      <c r="E2" s="82"/>
      <c r="F2" s="40"/>
      <c r="G2" s="40"/>
      <c r="H2" s="117" t="s">
        <v>228</v>
      </c>
      <c r="I2" s="53" t="s">
        <v>21</v>
      </c>
      <c r="J2" s="118" t="s">
        <v>229</v>
      </c>
      <c r="K2" s="118" t="s">
        <v>303</v>
      </c>
      <c r="L2" s="118" t="s">
        <v>230</v>
      </c>
      <c r="M2" s="118" t="s">
        <v>231</v>
      </c>
      <c r="N2" s="118" t="s">
        <v>310</v>
      </c>
      <c r="O2" s="118" t="s">
        <v>232</v>
      </c>
      <c r="P2" s="118" t="s">
        <v>233</v>
      </c>
      <c r="Q2" s="118" t="s">
        <v>311</v>
      </c>
      <c r="R2" s="118" t="s">
        <v>234</v>
      </c>
      <c r="S2" s="118" t="s">
        <v>235</v>
      </c>
      <c r="T2" s="118" t="s">
        <v>236</v>
      </c>
      <c r="U2" s="118" t="s">
        <v>237</v>
      </c>
      <c r="W2" s="250" t="s">
        <v>359</v>
      </c>
      <c r="X2" s="250" t="s">
        <v>18</v>
      </c>
      <c r="Y2" s="250" t="s">
        <v>33</v>
      </c>
      <c r="Z2" s="250" t="s">
        <v>99</v>
      </c>
      <c r="AA2" s="250" t="s">
        <v>364</v>
      </c>
      <c r="AC2" s="3" t="s">
        <v>19</v>
      </c>
      <c r="AD2" s="12"/>
      <c r="AE2" s="4"/>
      <c r="AF2" s="12" t="s">
        <v>54</v>
      </c>
      <c r="AG2" s="4" t="s">
        <v>59</v>
      </c>
      <c r="AH2" s="12" t="s">
        <v>24</v>
      </c>
      <c r="AI2" s="12" t="s">
        <v>109</v>
      </c>
      <c r="AJ2" s="4" t="s">
        <v>56</v>
      </c>
      <c r="AK2" s="12" t="s">
        <v>22</v>
      </c>
      <c r="AL2" s="4" t="s">
        <v>115</v>
      </c>
      <c r="AM2" s="4" t="s">
        <v>30</v>
      </c>
      <c r="AN2" s="4" t="s">
        <v>119</v>
      </c>
      <c r="AO2" s="12" t="s">
        <v>27</v>
      </c>
      <c r="AP2" s="12" t="s">
        <v>22</v>
      </c>
      <c r="AQ2" s="16" t="s">
        <v>74</v>
      </c>
      <c r="AR2" s="16" t="s">
        <v>78</v>
      </c>
      <c r="AS2" s="16" t="s">
        <v>82</v>
      </c>
      <c r="AT2" s="16" t="s">
        <v>84</v>
      </c>
      <c r="AU2" s="12" t="s">
        <v>31</v>
      </c>
      <c r="AV2" s="49"/>
    </row>
    <row r="3" spans="2:48" x14ac:dyDescent="0.25">
      <c r="B3" s="233" t="s">
        <v>152</v>
      </c>
      <c r="C3" s="150" t="s">
        <v>211</v>
      </c>
      <c r="D3" s="205" t="str">
        <f>CONCATENATE('Auto Populate CGWR-CCAR'!H$9,'Auto Populate CGWR-CCAR'!I$9)</f>
        <v>040</v>
      </c>
      <c r="E3" s="44"/>
      <c r="F3" s="79"/>
      <c r="G3" s="79"/>
      <c r="H3" s="188">
        <v>15</v>
      </c>
      <c r="I3" s="89" t="s">
        <v>36</v>
      </c>
      <c r="J3" s="177" t="s">
        <v>304</v>
      </c>
      <c r="K3" s="177" t="s">
        <v>304</v>
      </c>
      <c r="L3" s="182"/>
      <c r="M3" s="191">
        <v>203</v>
      </c>
      <c r="N3" s="191">
        <v>203</v>
      </c>
      <c r="O3" s="185"/>
      <c r="P3" s="91">
        <v>27.564102564102562</v>
      </c>
      <c r="Q3" s="91">
        <v>27.564102564102562</v>
      </c>
      <c r="R3" s="185"/>
      <c r="S3" s="91">
        <v>62.019230769230766</v>
      </c>
      <c r="T3" s="91">
        <v>80</v>
      </c>
      <c r="U3" s="91">
        <v>70</v>
      </c>
      <c r="W3" s="248" t="s">
        <v>107</v>
      </c>
      <c r="X3" s="248">
        <v>20</v>
      </c>
      <c r="Y3" s="248" t="s">
        <v>124</v>
      </c>
      <c r="Z3" s="249">
        <v>1042</v>
      </c>
      <c r="AA3" s="249">
        <v>250</v>
      </c>
      <c r="AC3" s="6" t="s">
        <v>20</v>
      </c>
      <c r="AD3" s="13" t="s">
        <v>18</v>
      </c>
      <c r="AE3" s="7" t="s">
        <v>53</v>
      </c>
      <c r="AF3" s="13" t="s">
        <v>61</v>
      </c>
      <c r="AG3" s="7" t="s">
        <v>60</v>
      </c>
      <c r="AH3" s="15" t="s">
        <v>25</v>
      </c>
      <c r="AI3" s="15" t="s">
        <v>110</v>
      </c>
      <c r="AJ3" s="11" t="s">
        <v>57</v>
      </c>
      <c r="AK3" s="15" t="s">
        <v>23</v>
      </c>
      <c r="AL3" s="11" t="s">
        <v>116</v>
      </c>
      <c r="AM3" s="11" t="s">
        <v>29</v>
      </c>
      <c r="AN3" s="11" t="s">
        <v>120</v>
      </c>
      <c r="AO3" s="15" t="s">
        <v>28</v>
      </c>
      <c r="AP3" s="15" t="s">
        <v>71</v>
      </c>
      <c r="AQ3" s="15" t="s">
        <v>75</v>
      </c>
      <c r="AR3" s="15" t="s">
        <v>79</v>
      </c>
      <c r="AS3" s="15" t="s">
        <v>83</v>
      </c>
      <c r="AT3" s="15" t="s">
        <v>83</v>
      </c>
      <c r="AU3" s="15" t="s">
        <v>129</v>
      </c>
      <c r="AV3" s="50"/>
    </row>
    <row r="4" spans="2:48" x14ac:dyDescent="0.25">
      <c r="B4" s="176" t="s">
        <v>153</v>
      </c>
      <c r="C4" s="150" t="s">
        <v>212</v>
      </c>
      <c r="D4" s="152" t="str">
        <f>'Auto Populate CGWR-CCAR'!J$9</f>
        <v>B - 230-3-60</v>
      </c>
      <c r="F4" s="2"/>
      <c r="G4" s="2"/>
      <c r="H4" s="189">
        <v>15</v>
      </c>
      <c r="I4" s="93" t="s">
        <v>37</v>
      </c>
      <c r="J4" s="178" t="s">
        <v>305</v>
      </c>
      <c r="K4" s="178" t="s">
        <v>305</v>
      </c>
      <c r="L4" s="183"/>
      <c r="M4" s="192">
        <v>98</v>
      </c>
      <c r="N4" s="192">
        <v>98</v>
      </c>
      <c r="O4" s="186"/>
      <c r="P4" s="95">
        <v>14.102564102564102</v>
      </c>
      <c r="Q4" s="95">
        <v>14.102564102564102</v>
      </c>
      <c r="R4" s="186"/>
      <c r="S4" s="95">
        <v>31.73076923076923</v>
      </c>
      <c r="T4" s="95">
        <v>45</v>
      </c>
      <c r="U4" s="95">
        <v>35</v>
      </c>
      <c r="W4" s="243" t="s">
        <v>107</v>
      </c>
      <c r="X4" s="243">
        <v>30</v>
      </c>
      <c r="Y4" s="243" t="s">
        <v>125</v>
      </c>
      <c r="Z4" s="244">
        <v>1242</v>
      </c>
      <c r="AA4" s="244">
        <v>230</v>
      </c>
      <c r="AC4" s="5" t="s">
        <v>107</v>
      </c>
      <c r="AD4" s="12">
        <v>20</v>
      </c>
      <c r="AE4" s="29" t="s">
        <v>323</v>
      </c>
      <c r="AF4" s="14" t="s">
        <v>89</v>
      </c>
      <c r="AG4" s="16" t="s">
        <v>91</v>
      </c>
      <c r="AH4" s="16" t="s">
        <v>90</v>
      </c>
      <c r="AI4" s="16" t="s">
        <v>111</v>
      </c>
      <c r="AJ4" s="8" t="s">
        <v>63</v>
      </c>
      <c r="AK4" s="16" t="s">
        <v>88</v>
      </c>
      <c r="AL4" s="16" t="s">
        <v>118</v>
      </c>
      <c r="AM4" s="8" t="s">
        <v>87</v>
      </c>
      <c r="AN4" s="8" t="s">
        <v>121</v>
      </c>
      <c r="AO4" s="16" t="s">
        <v>26</v>
      </c>
      <c r="AP4" s="16" t="s">
        <v>72</v>
      </c>
      <c r="AQ4" s="30" t="s">
        <v>76</v>
      </c>
      <c r="AR4" s="31" t="s">
        <v>80</v>
      </c>
      <c r="AS4" s="16" t="s">
        <v>130</v>
      </c>
      <c r="AT4" s="16" t="s">
        <v>133</v>
      </c>
      <c r="AU4" s="17" t="s">
        <v>139</v>
      </c>
      <c r="AV4" s="51"/>
    </row>
    <row r="5" spans="2:48" x14ac:dyDescent="0.25">
      <c r="B5" s="176" t="s">
        <v>339</v>
      </c>
      <c r="C5" s="150" t="s">
        <v>217</v>
      </c>
      <c r="D5" s="152" t="str">
        <f>'Auto Populate CGWR-CCAR'!K$9</f>
        <v>A 0</v>
      </c>
      <c r="F5" s="2"/>
      <c r="G5" s="2"/>
      <c r="H5" s="190">
        <v>15</v>
      </c>
      <c r="I5" s="97" t="s">
        <v>38</v>
      </c>
      <c r="J5" s="179" t="s">
        <v>306</v>
      </c>
      <c r="K5" s="179" t="s">
        <v>306</v>
      </c>
      <c r="L5" s="184"/>
      <c r="M5" s="193">
        <v>84</v>
      </c>
      <c r="N5" s="193">
        <v>84</v>
      </c>
      <c r="O5" s="187"/>
      <c r="P5" s="99">
        <v>11.538461538461538</v>
      </c>
      <c r="Q5" s="99">
        <v>11.538461538461538</v>
      </c>
      <c r="R5" s="187"/>
      <c r="S5" s="99">
        <v>25.96153846153846</v>
      </c>
      <c r="T5" s="99">
        <v>35</v>
      </c>
      <c r="U5" s="99">
        <v>30</v>
      </c>
      <c r="W5" s="243" t="s">
        <v>107</v>
      </c>
      <c r="X5" s="243">
        <v>40</v>
      </c>
      <c r="Y5" s="243" t="s">
        <v>126</v>
      </c>
      <c r="Z5" s="244">
        <v>1577</v>
      </c>
      <c r="AA5" s="244">
        <v>230</v>
      </c>
      <c r="AC5" s="5" t="s">
        <v>108</v>
      </c>
      <c r="AD5" s="14">
        <v>30</v>
      </c>
      <c r="AE5" s="29" t="s">
        <v>322</v>
      </c>
      <c r="AF5" s="14"/>
      <c r="AG5" s="16" t="s">
        <v>62</v>
      </c>
      <c r="AH5" s="16" t="s">
        <v>55</v>
      </c>
      <c r="AI5" s="16" t="s">
        <v>112</v>
      </c>
      <c r="AJ5" s="8" t="s">
        <v>58</v>
      </c>
      <c r="AK5" s="16" t="s">
        <v>92</v>
      </c>
      <c r="AL5" s="16" t="s">
        <v>117</v>
      </c>
      <c r="AM5" s="8" t="s">
        <v>64</v>
      </c>
      <c r="AN5" s="16" t="s">
        <v>122</v>
      </c>
      <c r="AO5" s="16" t="s">
        <v>66</v>
      </c>
      <c r="AP5" s="16" t="s">
        <v>73</v>
      </c>
      <c r="AQ5" s="30" t="s">
        <v>77</v>
      </c>
      <c r="AR5" s="16" t="s">
        <v>81</v>
      </c>
      <c r="AS5" s="16" t="s">
        <v>131</v>
      </c>
      <c r="AT5" s="16" t="s">
        <v>134</v>
      </c>
      <c r="AU5" s="17" t="s">
        <v>140</v>
      </c>
      <c r="AV5" s="17"/>
    </row>
    <row r="6" spans="2:48" ht="15.75" thickBot="1" x14ac:dyDescent="0.3">
      <c r="B6" s="176" t="s">
        <v>156</v>
      </c>
      <c r="C6" s="150" t="s">
        <v>336</v>
      </c>
      <c r="D6" s="152" t="str">
        <f>'Auto Populate CGWR-CCAR'!L$9</f>
        <v>E  -  ETL Listed</v>
      </c>
      <c r="F6" s="2"/>
      <c r="G6" s="2"/>
      <c r="H6" s="188">
        <v>20</v>
      </c>
      <c r="I6" s="89" t="s">
        <v>36</v>
      </c>
      <c r="J6" s="177" t="s">
        <v>238</v>
      </c>
      <c r="K6" s="177" t="s">
        <v>238</v>
      </c>
      <c r="L6" s="182"/>
      <c r="M6" s="191">
        <v>267</v>
      </c>
      <c r="N6" s="191">
        <v>267</v>
      </c>
      <c r="O6" s="185"/>
      <c r="P6" s="91">
        <v>39.102564102564102</v>
      </c>
      <c r="Q6" s="91">
        <v>39.102564102564102</v>
      </c>
      <c r="R6" s="185"/>
      <c r="S6" s="91">
        <v>87.980769230769226</v>
      </c>
      <c r="T6" s="91">
        <v>125</v>
      </c>
      <c r="U6" s="91">
        <v>100</v>
      </c>
      <c r="W6" s="243" t="s">
        <v>107</v>
      </c>
      <c r="X6" s="243">
        <v>50</v>
      </c>
      <c r="Y6" s="243" t="s">
        <v>136</v>
      </c>
      <c r="Z6" s="244">
        <v>1833</v>
      </c>
      <c r="AA6" s="244">
        <v>230</v>
      </c>
      <c r="AC6" s="5" t="s">
        <v>301</v>
      </c>
      <c r="AD6" s="14">
        <v>40</v>
      </c>
      <c r="AE6" s="29" t="s">
        <v>321</v>
      </c>
      <c r="AF6" s="14"/>
      <c r="AG6" s="2"/>
      <c r="AH6" s="14"/>
      <c r="AI6" s="14" t="s">
        <v>113</v>
      </c>
      <c r="AJ6" s="8"/>
      <c r="AK6" s="14" t="s">
        <v>114</v>
      </c>
      <c r="AL6" s="2"/>
      <c r="AM6" s="30" t="s">
        <v>65</v>
      </c>
      <c r="AN6" s="8"/>
      <c r="AO6" s="16" t="s">
        <v>67</v>
      </c>
      <c r="AP6" s="16"/>
      <c r="AQ6" s="229"/>
      <c r="AR6" s="14"/>
      <c r="AS6" s="16" t="s">
        <v>132</v>
      </c>
      <c r="AT6" s="16" t="s">
        <v>135</v>
      </c>
      <c r="AU6" s="14"/>
      <c r="AV6" s="16"/>
    </row>
    <row r="7" spans="2:48" x14ac:dyDescent="0.25">
      <c r="B7" s="176" t="s">
        <v>157</v>
      </c>
      <c r="C7" s="150" t="s">
        <v>337</v>
      </c>
      <c r="D7" s="152" t="str">
        <f>'Auto Populate CGWR-CCAR'!M$9</f>
        <v>1  -  With valve(s) installed</v>
      </c>
      <c r="F7" s="127" t="s">
        <v>353</v>
      </c>
      <c r="G7" s="2"/>
      <c r="H7" s="189">
        <v>20</v>
      </c>
      <c r="I7" s="93" t="s">
        <v>37</v>
      </c>
      <c r="J7" s="178" t="s">
        <v>239</v>
      </c>
      <c r="K7" s="178" t="s">
        <v>239</v>
      </c>
      <c r="L7" s="183"/>
      <c r="M7" s="192">
        <v>142</v>
      </c>
      <c r="N7" s="192">
        <v>142</v>
      </c>
      <c r="O7" s="186"/>
      <c r="P7" s="95">
        <v>18.589743589743588</v>
      </c>
      <c r="Q7" s="95">
        <v>18.589743589743588</v>
      </c>
      <c r="R7" s="186"/>
      <c r="S7" s="95">
        <v>41.826923076923073</v>
      </c>
      <c r="T7" s="95">
        <v>60</v>
      </c>
      <c r="U7" s="95">
        <v>50</v>
      </c>
      <c r="W7" s="243" t="s">
        <v>107</v>
      </c>
      <c r="X7" s="243">
        <v>65</v>
      </c>
      <c r="Y7" s="243" t="s">
        <v>137</v>
      </c>
      <c r="Z7" s="244">
        <v>2005</v>
      </c>
      <c r="AA7" s="244">
        <v>230</v>
      </c>
      <c r="AC7" s="5" t="s">
        <v>313</v>
      </c>
      <c r="AD7" s="14">
        <v>50</v>
      </c>
      <c r="AE7" s="29" t="s">
        <v>320</v>
      </c>
      <c r="AF7" s="14"/>
      <c r="AG7" s="2"/>
      <c r="AH7" s="14"/>
      <c r="AI7" s="14"/>
      <c r="AJ7" s="2"/>
      <c r="AK7" s="14"/>
      <c r="AL7" s="5"/>
      <c r="AM7" s="229"/>
      <c r="AN7" s="30"/>
      <c r="AO7" s="16" t="s">
        <v>68</v>
      </c>
      <c r="AP7" s="14"/>
      <c r="AQ7" s="229"/>
      <c r="AR7" s="14"/>
      <c r="AS7" s="16" t="s">
        <v>85</v>
      </c>
      <c r="AT7" s="229" t="s">
        <v>85</v>
      </c>
      <c r="AU7" s="14"/>
      <c r="AV7" s="16"/>
    </row>
    <row r="8" spans="2:48" ht="15" customHeight="1" x14ac:dyDescent="0.25">
      <c r="B8" s="176" t="s">
        <v>158</v>
      </c>
      <c r="C8" s="150" t="s">
        <v>338</v>
      </c>
      <c r="D8" s="152" t="str">
        <f>'Auto Populate CGWR-CCAR'!N$9</f>
        <v>1 - Nom Flow Strainer</v>
      </c>
      <c r="F8" s="128" t="str">
        <f>'Auto Populate CGWR-CCAR'!G9</f>
        <v>CGWR</v>
      </c>
      <c r="G8" s="2"/>
      <c r="H8" s="190">
        <v>20</v>
      </c>
      <c r="I8" s="97" t="s">
        <v>38</v>
      </c>
      <c r="J8" s="179" t="s">
        <v>240</v>
      </c>
      <c r="K8" s="179" t="s">
        <v>240</v>
      </c>
      <c r="L8" s="184"/>
      <c r="M8" s="193">
        <v>103</v>
      </c>
      <c r="N8" s="193">
        <v>103</v>
      </c>
      <c r="O8" s="187"/>
      <c r="P8" s="99">
        <v>15.384615384615383</v>
      </c>
      <c r="Q8" s="99">
        <v>15.384615384615383</v>
      </c>
      <c r="R8" s="187"/>
      <c r="S8" s="99">
        <v>34.615384615384613</v>
      </c>
      <c r="T8" s="99">
        <v>50</v>
      </c>
      <c r="U8" s="99">
        <v>40</v>
      </c>
      <c r="W8" s="243" t="s">
        <v>107</v>
      </c>
      <c r="X8" s="243">
        <v>75</v>
      </c>
      <c r="Y8" s="243" t="s">
        <v>302</v>
      </c>
      <c r="Z8" s="244">
        <v>2005</v>
      </c>
      <c r="AA8" s="244">
        <v>230</v>
      </c>
      <c r="AC8" s="5"/>
      <c r="AD8" s="14">
        <v>65</v>
      </c>
      <c r="AE8" s="2"/>
      <c r="AF8" s="14"/>
      <c r="AG8" s="2"/>
      <c r="AH8" s="14"/>
      <c r="AI8" s="14"/>
      <c r="AJ8" s="2"/>
      <c r="AK8" s="14"/>
      <c r="AL8" s="5"/>
      <c r="AM8" s="5"/>
      <c r="AN8" s="5"/>
      <c r="AO8" s="16" t="s">
        <v>69</v>
      </c>
      <c r="AP8" s="14"/>
      <c r="AQ8" s="2"/>
      <c r="AR8" s="14"/>
      <c r="AS8" s="14"/>
      <c r="AT8" s="16" t="s">
        <v>123</v>
      </c>
      <c r="AU8" s="14"/>
      <c r="AV8" s="16"/>
    </row>
    <row r="9" spans="2:48" x14ac:dyDescent="0.25">
      <c r="B9" s="176" t="s">
        <v>159</v>
      </c>
      <c r="C9" s="150" t="s">
        <v>222</v>
      </c>
      <c r="D9" s="152" t="str">
        <f>'Auto Populate CGWR-CCAR'!O$9</f>
        <v>0  -  Std cooling 42-60F(5.6-15.6C)</v>
      </c>
      <c r="F9" s="128">
        <f>'Auto Populate CGWR-CCAR'!I9</f>
        <v>40</v>
      </c>
      <c r="G9" s="2"/>
      <c r="H9" s="188">
        <v>30</v>
      </c>
      <c r="I9" s="89" t="s">
        <v>36</v>
      </c>
      <c r="J9" s="177" t="s">
        <v>241</v>
      </c>
      <c r="K9" s="177" t="s">
        <v>241</v>
      </c>
      <c r="L9" s="182"/>
      <c r="M9" s="191">
        <v>351</v>
      </c>
      <c r="N9" s="191">
        <v>351</v>
      </c>
      <c r="O9" s="185"/>
      <c r="P9" s="91">
        <v>48.076923076923073</v>
      </c>
      <c r="Q9" s="91">
        <v>48.076923076923073</v>
      </c>
      <c r="R9" s="185"/>
      <c r="S9" s="91">
        <v>108.17307692307691</v>
      </c>
      <c r="T9" s="91">
        <v>150</v>
      </c>
      <c r="U9" s="91">
        <v>125</v>
      </c>
      <c r="W9" s="243" t="s">
        <v>108</v>
      </c>
      <c r="X9" s="243">
        <v>20</v>
      </c>
      <c r="Y9" s="243" t="s">
        <v>34</v>
      </c>
      <c r="Z9" s="244">
        <v>732</v>
      </c>
      <c r="AA9" s="244" t="s">
        <v>34</v>
      </c>
      <c r="AC9" s="5"/>
      <c r="AD9" s="14">
        <v>75</v>
      </c>
      <c r="AE9" s="2"/>
      <c r="AF9" s="14"/>
      <c r="AG9" s="2"/>
      <c r="AH9" s="14"/>
      <c r="AI9" s="14"/>
      <c r="AJ9" s="2"/>
      <c r="AK9" s="14"/>
      <c r="AL9" s="5"/>
      <c r="AM9" s="5"/>
      <c r="AN9" s="5"/>
      <c r="AO9" s="14" t="s">
        <v>70</v>
      </c>
      <c r="AP9" s="14"/>
      <c r="AQ9" s="2"/>
      <c r="AR9" s="14"/>
      <c r="AS9" s="14"/>
      <c r="AT9" s="14"/>
      <c r="AU9" s="14"/>
      <c r="AV9" s="16"/>
    </row>
    <row r="10" spans="2:48" x14ac:dyDescent="0.25">
      <c r="B10" s="176" t="s">
        <v>160</v>
      </c>
      <c r="C10" s="150" t="s">
        <v>340</v>
      </c>
      <c r="D10" s="152" t="str">
        <f>'Auto Populate CGWR-CCAR'!P$9</f>
        <v>T  -  Std Terminal Block</v>
      </c>
      <c r="F10" s="128" t="str">
        <f>'Auto Populate CGWR-CCAR'!J9</f>
        <v>B - 230-3-60</v>
      </c>
      <c r="G10" s="2"/>
      <c r="H10" s="189">
        <v>30</v>
      </c>
      <c r="I10" s="93" t="s">
        <v>37</v>
      </c>
      <c r="J10" s="178" t="s">
        <v>242</v>
      </c>
      <c r="K10" s="178" t="s">
        <v>242</v>
      </c>
      <c r="L10" s="183"/>
      <c r="M10" s="192">
        <v>197</v>
      </c>
      <c r="N10" s="192">
        <v>197</v>
      </c>
      <c r="O10" s="186"/>
      <c r="P10" s="95">
        <v>24.743589743589745</v>
      </c>
      <c r="Q10" s="95">
        <v>24.743589743589745</v>
      </c>
      <c r="R10" s="186"/>
      <c r="S10" s="95">
        <v>55.673076923076927</v>
      </c>
      <c r="T10" s="95">
        <v>80</v>
      </c>
      <c r="U10" s="95">
        <v>60</v>
      </c>
      <c r="W10" s="243" t="s">
        <v>108</v>
      </c>
      <c r="X10" s="243">
        <v>30</v>
      </c>
      <c r="Y10" s="243" t="s">
        <v>34</v>
      </c>
      <c r="Z10" s="244">
        <v>809</v>
      </c>
      <c r="AA10" s="244" t="s">
        <v>34</v>
      </c>
      <c r="AC10" s="5"/>
      <c r="AD10" s="14"/>
      <c r="AE10" s="2"/>
      <c r="AF10" s="14"/>
      <c r="AG10" s="2"/>
      <c r="AH10" s="14"/>
      <c r="AI10" s="14"/>
      <c r="AJ10" s="2"/>
      <c r="AK10" s="14"/>
      <c r="AL10" s="5"/>
      <c r="AM10" s="5"/>
      <c r="AN10" s="5"/>
      <c r="AO10" s="14"/>
      <c r="AP10" s="14"/>
      <c r="AQ10" s="2"/>
      <c r="AR10" s="14"/>
      <c r="AS10" s="14"/>
      <c r="AT10" s="14"/>
      <c r="AU10" s="14"/>
      <c r="AV10" s="16"/>
    </row>
    <row r="11" spans="2:48" ht="15.75" thickBot="1" x14ac:dyDescent="0.3">
      <c r="B11" s="176" t="s">
        <v>161</v>
      </c>
      <c r="C11" s="150" t="s">
        <v>341</v>
      </c>
      <c r="D11" s="152" t="str">
        <f>'Auto Populate CGWR-CCAR'!Q$9</f>
        <v>0 - Std 5 kA</v>
      </c>
      <c r="F11" s="239">
        <f>VLOOKUP(F10,$AC$18:$AE$21,3)</f>
        <v>230</v>
      </c>
      <c r="G11" s="2"/>
      <c r="H11" s="190">
        <v>30</v>
      </c>
      <c r="I11" s="97" t="s">
        <v>38</v>
      </c>
      <c r="J11" s="179" t="s">
        <v>243</v>
      </c>
      <c r="K11" s="179" t="s">
        <v>243</v>
      </c>
      <c r="L11" s="184"/>
      <c r="M11" s="193">
        <v>135</v>
      </c>
      <c r="N11" s="193">
        <v>135</v>
      </c>
      <c r="O11" s="187"/>
      <c r="P11" s="99">
        <v>22.435897435897434</v>
      </c>
      <c r="Q11" s="99">
        <v>22.435897435897434</v>
      </c>
      <c r="R11" s="187"/>
      <c r="S11" s="99">
        <v>50.480769230769226</v>
      </c>
      <c r="T11" s="99">
        <v>70</v>
      </c>
      <c r="U11" s="99">
        <v>60</v>
      </c>
      <c r="W11" s="243" t="s">
        <v>108</v>
      </c>
      <c r="X11" s="243">
        <v>40</v>
      </c>
      <c r="Y11" s="243" t="s">
        <v>34</v>
      </c>
      <c r="Z11" s="244">
        <v>1110</v>
      </c>
      <c r="AA11" s="244" t="s">
        <v>34</v>
      </c>
      <c r="AC11" s="5"/>
      <c r="AD11" s="14"/>
      <c r="AE11" s="2"/>
      <c r="AF11" s="14"/>
      <c r="AG11" s="2"/>
      <c r="AH11" s="14"/>
      <c r="AI11" s="14"/>
      <c r="AJ11" s="2"/>
      <c r="AK11" s="14"/>
      <c r="AL11" s="5"/>
      <c r="AM11" s="5"/>
      <c r="AN11" s="5"/>
      <c r="AO11" s="14"/>
      <c r="AP11" s="14"/>
      <c r="AQ11" s="2"/>
      <c r="AR11" s="14"/>
      <c r="AS11" s="14"/>
      <c r="AT11" s="14"/>
      <c r="AU11" s="14"/>
      <c r="AV11" s="14"/>
    </row>
    <row r="12" spans="2:48" ht="15.75" thickBot="1" x14ac:dyDescent="0.3">
      <c r="B12" s="176" t="s">
        <v>162</v>
      </c>
      <c r="C12" s="150" t="s">
        <v>342</v>
      </c>
      <c r="D12" s="152" t="str">
        <f>'Auto Populate CGWR-CCAR'!R$9</f>
        <v>3  -  Blankets</v>
      </c>
      <c r="G12" s="2"/>
      <c r="H12" s="188">
        <v>40</v>
      </c>
      <c r="I12" s="89" t="s">
        <v>36</v>
      </c>
      <c r="J12" s="177" t="s">
        <v>238</v>
      </c>
      <c r="K12" s="177" t="s">
        <v>238</v>
      </c>
      <c r="L12" s="177" t="s">
        <v>244</v>
      </c>
      <c r="M12" s="191">
        <v>267</v>
      </c>
      <c r="N12" s="191">
        <v>267</v>
      </c>
      <c r="O12" s="191">
        <v>485</v>
      </c>
      <c r="P12" s="91">
        <v>39.102564102564102</v>
      </c>
      <c r="Q12" s="91">
        <v>39.102564102564102</v>
      </c>
      <c r="R12" s="91">
        <v>67</v>
      </c>
      <c r="S12" s="91">
        <v>162.33974358974359</v>
      </c>
      <c r="T12" s="91">
        <v>225</v>
      </c>
      <c r="U12" s="91">
        <v>175</v>
      </c>
      <c r="W12" s="243" t="s">
        <v>108</v>
      </c>
      <c r="X12" s="243">
        <v>50</v>
      </c>
      <c r="Y12" s="243" t="s">
        <v>34</v>
      </c>
      <c r="Z12" s="244">
        <v>1152</v>
      </c>
      <c r="AA12" s="244" t="s">
        <v>34</v>
      </c>
      <c r="AC12" s="5"/>
      <c r="AD12" s="14"/>
      <c r="AE12" s="2"/>
      <c r="AF12" s="14"/>
      <c r="AG12" s="2"/>
      <c r="AH12" s="14"/>
      <c r="AI12" s="14"/>
      <c r="AJ12" s="2"/>
      <c r="AK12" s="14"/>
      <c r="AL12" s="5"/>
      <c r="AM12" s="5"/>
      <c r="AN12" s="5"/>
      <c r="AO12" s="14"/>
      <c r="AP12" s="14"/>
      <c r="AQ12" s="2"/>
      <c r="AR12" s="14"/>
      <c r="AS12" s="14"/>
      <c r="AT12" s="14"/>
      <c r="AU12" s="14"/>
      <c r="AV12" s="14"/>
    </row>
    <row r="13" spans="2:48" x14ac:dyDescent="0.25">
      <c r="B13" s="176" t="s">
        <v>163</v>
      </c>
      <c r="C13" s="150" t="s">
        <v>343</v>
      </c>
      <c r="D13" s="152" t="str">
        <f>'Auto Populate CGWR-CCAR'!S$9</f>
        <v>1 - Touchscreen</v>
      </c>
      <c r="F13" s="127" t="s">
        <v>354</v>
      </c>
      <c r="G13" s="2"/>
      <c r="H13" s="189">
        <v>40</v>
      </c>
      <c r="I13" s="93" t="s">
        <v>37</v>
      </c>
      <c r="J13" s="178" t="s">
        <v>239</v>
      </c>
      <c r="K13" s="178" t="s">
        <v>239</v>
      </c>
      <c r="L13" s="178" t="s">
        <v>245</v>
      </c>
      <c r="M13" s="192">
        <v>142</v>
      </c>
      <c r="N13" s="192">
        <v>142</v>
      </c>
      <c r="O13" s="192">
        <v>215</v>
      </c>
      <c r="P13" s="95">
        <v>18.589743589743588</v>
      </c>
      <c r="Q13" s="95">
        <v>18.589743589743588</v>
      </c>
      <c r="R13" s="95">
        <v>33</v>
      </c>
      <c r="S13" s="95">
        <v>78.044871794871781</v>
      </c>
      <c r="T13" s="95">
        <v>110</v>
      </c>
      <c r="U13" s="95">
        <v>90</v>
      </c>
      <c r="W13" s="243" t="s">
        <v>108</v>
      </c>
      <c r="X13" s="243">
        <v>65</v>
      </c>
      <c r="Y13" s="243" t="s">
        <v>34</v>
      </c>
      <c r="Z13" s="244">
        <v>1336</v>
      </c>
      <c r="AA13" s="244" t="s">
        <v>34</v>
      </c>
      <c r="AC13" s="5"/>
      <c r="AD13" s="14"/>
      <c r="AE13" s="2"/>
      <c r="AF13" s="14"/>
      <c r="AG13" s="2"/>
      <c r="AH13" s="14"/>
      <c r="AI13" s="14"/>
      <c r="AJ13" s="2"/>
      <c r="AK13" s="14"/>
      <c r="AL13" s="5"/>
      <c r="AM13" s="5"/>
      <c r="AN13" s="5"/>
      <c r="AO13" s="14"/>
      <c r="AP13" s="14"/>
      <c r="AQ13" s="2"/>
      <c r="AR13" s="14"/>
      <c r="AS13" s="14"/>
      <c r="AT13" s="14"/>
      <c r="AU13" s="14"/>
      <c r="AV13" s="14"/>
    </row>
    <row r="14" spans="2:48" x14ac:dyDescent="0.25">
      <c r="B14" s="176" t="s">
        <v>164</v>
      </c>
      <c r="C14" s="150" t="s">
        <v>344</v>
      </c>
      <c r="D14" s="152" t="str">
        <f>'Auto Populate CGWR-CCAR'!T$9</f>
        <v>5  -  Standard BACnet IP</v>
      </c>
      <c r="F14" s="128" t="str">
        <f>'Auto Populate CGWR-CCAR Jetson'!G9</f>
        <v>CGWR</v>
      </c>
      <c r="G14" s="2"/>
      <c r="H14" s="190">
        <v>40</v>
      </c>
      <c r="I14" s="97" t="s">
        <v>38</v>
      </c>
      <c r="J14" s="179" t="s">
        <v>240</v>
      </c>
      <c r="K14" s="179" t="s">
        <v>240</v>
      </c>
      <c r="L14" s="179" t="s">
        <v>246</v>
      </c>
      <c r="M14" s="193">
        <v>103</v>
      </c>
      <c r="N14" s="193">
        <v>103</v>
      </c>
      <c r="O14" s="193">
        <v>175</v>
      </c>
      <c r="P14" s="99">
        <v>15.384615384615383</v>
      </c>
      <c r="Q14" s="99">
        <v>15.384615384615383</v>
      </c>
      <c r="R14" s="99">
        <v>26</v>
      </c>
      <c r="S14" s="99">
        <v>63.621794871794862</v>
      </c>
      <c r="T14" s="99">
        <v>80</v>
      </c>
      <c r="U14" s="99">
        <v>70</v>
      </c>
      <c r="W14" s="245" t="s">
        <v>108</v>
      </c>
      <c r="X14" s="245">
        <v>75</v>
      </c>
      <c r="Y14" s="243" t="s">
        <v>34</v>
      </c>
      <c r="Z14" s="244">
        <v>2005</v>
      </c>
      <c r="AA14" s="244" t="s">
        <v>34</v>
      </c>
      <c r="AC14" s="5"/>
      <c r="AD14" s="14"/>
      <c r="AE14" s="2"/>
      <c r="AF14" s="14"/>
      <c r="AG14" s="2"/>
      <c r="AH14" s="14"/>
      <c r="AI14" s="14"/>
      <c r="AJ14" s="2"/>
      <c r="AK14" s="14"/>
      <c r="AL14" s="5"/>
      <c r="AM14" s="5"/>
      <c r="AN14" s="5"/>
      <c r="AO14" s="14"/>
      <c r="AP14" s="14"/>
      <c r="AQ14" s="2"/>
      <c r="AR14" s="14"/>
      <c r="AS14" s="14"/>
      <c r="AT14" s="14"/>
      <c r="AU14" s="14"/>
      <c r="AV14" s="14"/>
    </row>
    <row r="15" spans="2:48" x14ac:dyDescent="0.25">
      <c r="B15" s="176" t="s">
        <v>165</v>
      </c>
      <c r="C15" s="150" t="s">
        <v>348</v>
      </c>
      <c r="D15" s="152" t="str">
        <f>'Auto Populate CGWR-CCAR'!U$9</f>
        <v>0  -  No PWM</v>
      </c>
      <c r="F15" s="128">
        <f>'Auto Populate CGWR-CCAR Jetson'!I9</f>
        <v>40</v>
      </c>
      <c r="G15" s="2"/>
      <c r="H15" s="188">
        <v>50</v>
      </c>
      <c r="I15" s="89" t="s">
        <v>36</v>
      </c>
      <c r="J15" s="177" t="s">
        <v>307</v>
      </c>
      <c r="K15" s="177" t="s">
        <v>307</v>
      </c>
      <c r="L15" s="177" t="s">
        <v>247</v>
      </c>
      <c r="M15" s="191">
        <v>304</v>
      </c>
      <c r="N15" s="191">
        <v>304</v>
      </c>
      <c r="O15" s="191">
        <v>560</v>
      </c>
      <c r="P15" s="91">
        <v>41.025641025641022</v>
      </c>
      <c r="Q15" s="91">
        <v>41.025641025641022</v>
      </c>
      <c r="R15" s="91">
        <v>82</v>
      </c>
      <c r="S15" s="91">
        <v>184.61538461538458</v>
      </c>
      <c r="T15" s="91">
        <v>250</v>
      </c>
      <c r="U15" s="91">
        <v>225</v>
      </c>
      <c r="W15" s="245" t="s">
        <v>301</v>
      </c>
      <c r="X15" s="245">
        <v>20</v>
      </c>
      <c r="Y15" s="243" t="s">
        <v>34</v>
      </c>
      <c r="Z15" s="244"/>
      <c r="AA15" s="244">
        <v>250</v>
      </c>
      <c r="AC15" s="5"/>
      <c r="AD15" s="14"/>
      <c r="AE15" s="2"/>
      <c r="AF15" s="14"/>
      <c r="AG15" s="2"/>
      <c r="AH15" s="14"/>
      <c r="AI15" s="14"/>
      <c r="AJ15" s="2"/>
      <c r="AK15" s="14"/>
      <c r="AL15" s="5"/>
      <c r="AM15" s="5"/>
      <c r="AN15" s="5"/>
      <c r="AO15" s="14"/>
      <c r="AP15" s="14"/>
      <c r="AQ15" s="2"/>
      <c r="AR15" s="14"/>
      <c r="AS15" s="14"/>
      <c r="AT15" s="14"/>
      <c r="AU15" s="14"/>
      <c r="AV15" s="14"/>
    </row>
    <row r="16" spans="2:48" x14ac:dyDescent="0.25">
      <c r="B16" s="229" t="s">
        <v>207</v>
      </c>
      <c r="C16" s="150" t="s">
        <v>349</v>
      </c>
      <c r="D16" s="152" t="str">
        <f>'Auto Populate CGWR-CCAR'!V$9</f>
        <v>0  -  No Iso Pads</v>
      </c>
      <c r="F16" s="128" t="str">
        <f>'Auto Populate CGWR-CCAR Jetson'!J9</f>
        <v>F - 460-3-60</v>
      </c>
      <c r="G16" s="230"/>
      <c r="H16" s="189">
        <v>50</v>
      </c>
      <c r="I16" s="93" t="s">
        <v>37</v>
      </c>
      <c r="J16" s="178" t="s">
        <v>308</v>
      </c>
      <c r="K16" s="178" t="s">
        <v>308</v>
      </c>
      <c r="L16" s="178" t="s">
        <v>248</v>
      </c>
      <c r="M16" s="192">
        <v>147</v>
      </c>
      <c r="N16" s="192">
        <v>147</v>
      </c>
      <c r="O16" s="192">
        <v>260</v>
      </c>
      <c r="P16" s="95">
        <v>19.23076923076923</v>
      </c>
      <c r="Q16" s="95">
        <v>19.23076923076923</v>
      </c>
      <c r="R16" s="95">
        <v>40</v>
      </c>
      <c r="S16" s="95">
        <v>88.141025641025635</v>
      </c>
      <c r="T16" s="95">
        <v>125</v>
      </c>
      <c r="U16" s="95">
        <v>100</v>
      </c>
      <c r="W16" s="245" t="s">
        <v>301</v>
      </c>
      <c r="X16" s="245">
        <v>30</v>
      </c>
      <c r="Y16" s="243" t="s">
        <v>34</v>
      </c>
      <c r="Z16" s="244"/>
      <c r="AA16" s="244">
        <v>230</v>
      </c>
      <c r="AC16" s="6"/>
      <c r="AD16" s="13"/>
      <c r="AE16" s="7"/>
      <c r="AF16" s="13"/>
      <c r="AG16" s="7"/>
      <c r="AH16" s="13"/>
      <c r="AI16" s="13"/>
      <c r="AJ16" s="7"/>
      <c r="AK16" s="13"/>
      <c r="AL16" s="6"/>
      <c r="AM16" s="6"/>
      <c r="AN16" s="6"/>
      <c r="AO16" s="13"/>
      <c r="AP16" s="13"/>
      <c r="AQ16" s="7"/>
      <c r="AR16" s="13"/>
      <c r="AS16" s="13"/>
      <c r="AT16" s="13"/>
      <c r="AU16" s="13"/>
      <c r="AV16" s="13"/>
    </row>
    <row r="17" spans="2:32" ht="15.75" thickBot="1" x14ac:dyDescent="0.3">
      <c r="B17" s="229" t="s">
        <v>289</v>
      </c>
      <c r="C17" s="150" t="s">
        <v>350</v>
      </c>
      <c r="D17" s="152" t="str">
        <f>'Auto Populate CGWR-CCAR'!W$9</f>
        <v>1  -  With Flow Swtch</v>
      </c>
      <c r="F17" s="239">
        <f>VLOOKUP(F16,$AC$18:$AE$21,3)</f>
        <v>460</v>
      </c>
      <c r="H17" s="190">
        <v>50</v>
      </c>
      <c r="I17" s="97" t="s">
        <v>38</v>
      </c>
      <c r="J17" s="179" t="s">
        <v>309</v>
      </c>
      <c r="K17" s="179" t="s">
        <v>309</v>
      </c>
      <c r="L17" s="179" t="s">
        <v>249</v>
      </c>
      <c r="M17" s="193">
        <v>122</v>
      </c>
      <c r="N17" s="193">
        <v>122</v>
      </c>
      <c r="O17" s="193">
        <v>210</v>
      </c>
      <c r="P17" s="99">
        <v>16.666666666666668</v>
      </c>
      <c r="Q17" s="99">
        <v>16.666666666666668</v>
      </c>
      <c r="R17" s="99">
        <v>29</v>
      </c>
      <c r="S17" s="99">
        <v>69.391025641025635</v>
      </c>
      <c r="T17" s="99">
        <v>90</v>
      </c>
      <c r="U17" s="99">
        <v>80</v>
      </c>
      <c r="W17" s="245" t="s">
        <v>301</v>
      </c>
      <c r="X17" s="245">
        <v>40</v>
      </c>
      <c r="Y17" s="243" t="s">
        <v>34</v>
      </c>
      <c r="Z17" s="244"/>
      <c r="AA17" s="244">
        <v>230</v>
      </c>
    </row>
    <row r="18" spans="2:32" ht="15.75" thickBot="1" x14ac:dyDescent="0.3">
      <c r="B18" s="229" t="s">
        <v>345</v>
      </c>
      <c r="C18" s="150" t="s">
        <v>220</v>
      </c>
      <c r="D18" s="205" t="str">
        <f>'Auto Populate CGWR-CCAR'!X$9</f>
        <v>0  -  Water Evap</v>
      </c>
      <c r="H18" s="188">
        <v>65</v>
      </c>
      <c r="I18" s="89" t="s">
        <v>36</v>
      </c>
      <c r="J18" s="177" t="s">
        <v>241</v>
      </c>
      <c r="K18" s="177" t="s">
        <v>241</v>
      </c>
      <c r="L18" s="177" t="s">
        <v>250</v>
      </c>
      <c r="M18" s="191">
        <v>351</v>
      </c>
      <c r="N18" s="191">
        <v>351</v>
      </c>
      <c r="O18" s="191">
        <v>717</v>
      </c>
      <c r="P18" s="91">
        <v>48.076923076923073</v>
      </c>
      <c r="Q18" s="91">
        <v>48.076923076923073</v>
      </c>
      <c r="R18" s="91">
        <v>109</v>
      </c>
      <c r="S18" s="91">
        <v>232.37179487179486</v>
      </c>
      <c r="T18" s="91">
        <v>300</v>
      </c>
      <c r="U18" s="91">
        <v>250</v>
      </c>
      <c r="W18" s="245" t="s">
        <v>301</v>
      </c>
      <c r="X18" s="245">
        <v>50</v>
      </c>
      <c r="Y18" s="243" t="s">
        <v>34</v>
      </c>
      <c r="Z18" s="244"/>
      <c r="AA18" s="244">
        <v>230</v>
      </c>
      <c r="AC18" s="29" t="s">
        <v>323</v>
      </c>
      <c r="AD18" s="89" t="s">
        <v>36</v>
      </c>
      <c r="AE18" s="47">
        <v>208</v>
      </c>
    </row>
    <row r="19" spans="2:32" x14ac:dyDescent="0.25">
      <c r="B19" s="229" t="s">
        <v>346</v>
      </c>
      <c r="C19" s="150" t="s">
        <v>351</v>
      </c>
      <c r="D19" s="205" t="str">
        <f>'Auto Populate CGWR-CCAR'!Y$9</f>
        <v>0  - Water Cond</v>
      </c>
      <c r="F19" s="127" t="s">
        <v>355</v>
      </c>
      <c r="H19" s="189">
        <v>65</v>
      </c>
      <c r="I19" s="93" t="s">
        <v>37</v>
      </c>
      <c r="J19" s="178" t="s">
        <v>242</v>
      </c>
      <c r="K19" s="178" t="s">
        <v>242</v>
      </c>
      <c r="L19" s="178" t="s">
        <v>251</v>
      </c>
      <c r="M19" s="192">
        <v>197</v>
      </c>
      <c r="N19" s="192">
        <v>197</v>
      </c>
      <c r="O19" s="192">
        <v>320</v>
      </c>
      <c r="P19" s="95">
        <v>24.743589743589745</v>
      </c>
      <c r="Q19" s="95">
        <v>24.743589743589745</v>
      </c>
      <c r="R19" s="95">
        <v>51</v>
      </c>
      <c r="S19" s="95">
        <v>112.78846153846155</v>
      </c>
      <c r="T19" s="95">
        <v>150</v>
      </c>
      <c r="U19" s="95">
        <v>125</v>
      </c>
      <c r="W19" s="245" t="s">
        <v>301</v>
      </c>
      <c r="X19" s="245">
        <v>65</v>
      </c>
      <c r="Y19" s="243" t="s">
        <v>34</v>
      </c>
      <c r="Z19" s="244"/>
      <c r="AA19" s="244">
        <v>230</v>
      </c>
      <c r="AC19" s="29" t="s">
        <v>322</v>
      </c>
      <c r="AD19" s="89" t="s">
        <v>36</v>
      </c>
      <c r="AE19" s="47">
        <v>230</v>
      </c>
    </row>
    <row r="20" spans="2:32" ht="15.75" thickBot="1" x14ac:dyDescent="0.3">
      <c r="B20" s="229" t="s">
        <v>347</v>
      </c>
      <c r="C20" s="235" t="s">
        <v>352</v>
      </c>
      <c r="D20" s="234" t="str">
        <f>'Auto Populate CGWR-CCAR'!Z$9</f>
        <v>0    - No special design</v>
      </c>
      <c r="F20" s="128" t="str">
        <f>'Auto Populate CGWR-CCAR DB'!G9</f>
        <v>WCCU</v>
      </c>
      <c r="H20" s="190">
        <v>65</v>
      </c>
      <c r="I20" s="97" t="s">
        <v>38</v>
      </c>
      <c r="J20" s="179" t="s">
        <v>243</v>
      </c>
      <c r="K20" s="179" t="s">
        <v>243</v>
      </c>
      <c r="L20" s="179" t="s">
        <v>252</v>
      </c>
      <c r="M20" s="193">
        <v>135</v>
      </c>
      <c r="N20" s="193">
        <v>135</v>
      </c>
      <c r="O20" s="193">
        <v>235</v>
      </c>
      <c r="P20" s="105">
        <v>22.435897435897434</v>
      </c>
      <c r="Q20" s="105">
        <v>22.435897435897434</v>
      </c>
      <c r="R20" s="105">
        <v>38</v>
      </c>
      <c r="S20" s="105">
        <v>92.948717948717942</v>
      </c>
      <c r="T20" s="105">
        <v>125</v>
      </c>
      <c r="U20" s="105">
        <v>110</v>
      </c>
      <c r="W20" s="245" t="s">
        <v>301</v>
      </c>
      <c r="X20" s="245">
        <v>75</v>
      </c>
      <c r="Y20" s="243" t="s">
        <v>34</v>
      </c>
      <c r="Z20" s="244"/>
      <c r="AA20" s="244">
        <v>230</v>
      </c>
      <c r="AC20" s="29" t="s">
        <v>321</v>
      </c>
      <c r="AD20" s="93" t="s">
        <v>37</v>
      </c>
      <c r="AE20" s="47">
        <v>460</v>
      </c>
    </row>
    <row r="21" spans="2:32" x14ac:dyDescent="0.25">
      <c r="F21" s="128">
        <f>'Auto Populate CGWR-CCAR DB'!I9</f>
        <v>50</v>
      </c>
      <c r="H21" s="188">
        <v>75</v>
      </c>
      <c r="I21" s="89" t="s">
        <v>36</v>
      </c>
      <c r="J21" s="177" t="s">
        <v>241</v>
      </c>
      <c r="K21" s="177" t="s">
        <v>241</v>
      </c>
      <c r="L21" s="177" t="s">
        <v>253</v>
      </c>
      <c r="M21" s="191">
        <v>351</v>
      </c>
      <c r="N21" s="191">
        <v>351</v>
      </c>
      <c r="O21" s="191">
        <v>1010</v>
      </c>
      <c r="P21" s="91">
        <v>48.076923076923073</v>
      </c>
      <c r="Q21" s="91">
        <v>48.076923076923073</v>
      </c>
      <c r="R21" s="91">
        <v>122</v>
      </c>
      <c r="S21" s="91">
        <v>248.39743589743591</v>
      </c>
      <c r="T21" s="91">
        <v>350</v>
      </c>
      <c r="U21" s="91">
        <v>300</v>
      </c>
      <c r="W21" s="245" t="s">
        <v>313</v>
      </c>
      <c r="X21" s="245">
        <v>20</v>
      </c>
      <c r="Y21" s="243"/>
      <c r="Z21" s="244"/>
      <c r="AA21" s="244">
        <v>250</v>
      </c>
      <c r="AC21" s="29" t="s">
        <v>320</v>
      </c>
      <c r="AD21" s="97" t="s">
        <v>38</v>
      </c>
      <c r="AE21" s="47">
        <v>575</v>
      </c>
    </row>
    <row r="22" spans="2:32" ht="16.5" thickBot="1" x14ac:dyDescent="0.3">
      <c r="B22" s="229"/>
      <c r="C22" s="316" t="s">
        <v>357</v>
      </c>
      <c r="D22" s="316"/>
      <c r="F22" s="128" t="str">
        <f>'Auto Populate CGWR-CCAR DB'!J9</f>
        <v>F - 460-3-60</v>
      </c>
      <c r="H22" s="189">
        <v>75</v>
      </c>
      <c r="I22" s="93" t="s">
        <v>37</v>
      </c>
      <c r="J22" s="178" t="s">
        <v>242</v>
      </c>
      <c r="K22" s="178" t="s">
        <v>242</v>
      </c>
      <c r="L22" s="178" t="s">
        <v>254</v>
      </c>
      <c r="M22" s="192">
        <v>197</v>
      </c>
      <c r="N22" s="192">
        <v>197</v>
      </c>
      <c r="O22" s="192">
        <v>344</v>
      </c>
      <c r="P22" s="95">
        <v>24.743589743589745</v>
      </c>
      <c r="Q22" s="95">
        <v>24.743589743589745</v>
      </c>
      <c r="R22" s="95">
        <v>68</v>
      </c>
      <c r="S22" s="95">
        <v>134.42307692307691</v>
      </c>
      <c r="T22" s="95">
        <v>200</v>
      </c>
      <c r="U22" s="95">
        <v>150</v>
      </c>
      <c r="W22" s="245" t="s">
        <v>313</v>
      </c>
      <c r="X22" s="245">
        <v>30</v>
      </c>
      <c r="Y22" s="243"/>
      <c r="Z22" s="244"/>
      <c r="AA22" s="244">
        <v>230</v>
      </c>
    </row>
    <row r="23" spans="2:32" ht="15.75" thickBot="1" x14ac:dyDescent="0.3">
      <c r="B23" s="82" t="s">
        <v>151</v>
      </c>
      <c r="C23" s="148" t="s">
        <v>210</v>
      </c>
      <c r="D23" s="149" t="str">
        <f>'Auto Populate CGWR-CCAR Jetson'!G$9</f>
        <v>CGWR</v>
      </c>
      <c r="F23" s="239">
        <f>VLOOKUP(F22,$AC$18:$AE$21,3)</f>
        <v>460</v>
      </c>
      <c r="H23" s="190">
        <v>75</v>
      </c>
      <c r="I23" s="97" t="s">
        <v>38</v>
      </c>
      <c r="J23" s="180" t="s">
        <v>243</v>
      </c>
      <c r="K23" s="180" t="s">
        <v>243</v>
      </c>
      <c r="L23" s="181" t="s">
        <v>255</v>
      </c>
      <c r="M23" s="194">
        <v>135</v>
      </c>
      <c r="N23" s="194">
        <v>135</v>
      </c>
      <c r="O23" s="194">
        <v>327</v>
      </c>
      <c r="P23" s="105">
        <v>22.435897435897434</v>
      </c>
      <c r="Q23" s="105">
        <v>22.435897435897434</v>
      </c>
      <c r="R23" s="105">
        <v>46</v>
      </c>
      <c r="S23" s="105">
        <v>101.76282051282051</v>
      </c>
      <c r="T23" s="105">
        <v>125</v>
      </c>
      <c r="U23" s="105">
        <v>110</v>
      </c>
      <c r="W23" s="245" t="s">
        <v>313</v>
      </c>
      <c r="X23" s="245">
        <v>40</v>
      </c>
      <c r="Y23" s="243"/>
      <c r="Z23" s="244"/>
      <c r="AA23" s="244">
        <v>230</v>
      </c>
      <c r="AE23" s="230"/>
      <c r="AF23" s="230"/>
    </row>
    <row r="24" spans="2:32" x14ac:dyDescent="0.25">
      <c r="B24" s="233" t="s">
        <v>152</v>
      </c>
      <c r="C24" s="150" t="s">
        <v>211</v>
      </c>
      <c r="D24" s="205" t="str">
        <f>CONCATENATE('Auto Populate CGWR-CCAR Jetson'!H$9,'Auto Populate CGWR-CCAR Jetson'!I$9)</f>
        <v>040</v>
      </c>
      <c r="F24" s="229"/>
      <c r="H24" s="240"/>
      <c r="I24" s="241"/>
      <c r="J24" s="241"/>
      <c r="K24" s="241"/>
      <c r="L24" s="241"/>
      <c r="M24" s="242"/>
      <c r="N24" s="242"/>
      <c r="O24" s="242"/>
      <c r="P24" s="242"/>
      <c r="Q24" s="242"/>
      <c r="R24" s="242"/>
      <c r="S24" s="242"/>
      <c r="T24" s="242"/>
      <c r="U24" s="242"/>
      <c r="W24" s="245" t="s">
        <v>313</v>
      </c>
      <c r="X24" s="245">
        <v>50</v>
      </c>
      <c r="Y24" s="243"/>
      <c r="Z24" s="244"/>
      <c r="AA24" s="244">
        <v>230</v>
      </c>
      <c r="AE24" s="230"/>
      <c r="AF24" s="230"/>
    </row>
    <row r="25" spans="2:32" x14ac:dyDescent="0.25">
      <c r="B25" s="229" t="s">
        <v>153</v>
      </c>
      <c r="C25" s="150" t="s">
        <v>212</v>
      </c>
      <c r="D25" s="152" t="str">
        <f>'Auto Populate CGWR-CCAR Jetson'!J$9</f>
        <v>F - 460-3-60</v>
      </c>
      <c r="F25" s="229"/>
      <c r="H25" s="240"/>
      <c r="I25" s="241"/>
      <c r="J25" s="241"/>
      <c r="K25" s="241"/>
      <c r="L25" s="241"/>
      <c r="M25" s="242"/>
      <c r="N25" s="242"/>
      <c r="O25" s="242"/>
      <c r="P25" s="242"/>
      <c r="Q25" s="242"/>
      <c r="R25" s="242"/>
      <c r="S25" s="242"/>
      <c r="T25" s="242"/>
      <c r="U25" s="242"/>
      <c r="W25" s="245" t="s">
        <v>313</v>
      </c>
      <c r="X25" s="245">
        <v>65</v>
      </c>
      <c r="Y25" s="243"/>
      <c r="Z25" s="244"/>
      <c r="AA25" s="244">
        <v>230</v>
      </c>
      <c r="AE25" s="230"/>
      <c r="AF25" s="230"/>
    </row>
    <row r="26" spans="2:32" x14ac:dyDescent="0.25">
      <c r="B26" s="229" t="s">
        <v>339</v>
      </c>
      <c r="C26" s="150" t="s">
        <v>217</v>
      </c>
      <c r="D26" s="152" t="str">
        <f>'Auto Populate CGWR-CCAR Jetson'!K$9</f>
        <v>A 0</v>
      </c>
      <c r="F26" s="229"/>
      <c r="H26" s="240"/>
      <c r="I26" s="241"/>
      <c r="J26" s="241"/>
      <c r="K26" s="241"/>
      <c r="L26" s="241"/>
      <c r="M26" s="242"/>
      <c r="N26" s="242"/>
      <c r="O26" s="242"/>
      <c r="P26" s="242"/>
      <c r="Q26" s="242"/>
      <c r="R26" s="242"/>
      <c r="S26" s="242"/>
      <c r="T26" s="242"/>
      <c r="U26" s="242"/>
      <c r="V26" s="197"/>
      <c r="W26" s="246" t="s">
        <v>313</v>
      </c>
      <c r="X26" s="246">
        <v>75</v>
      </c>
      <c r="Y26" s="247"/>
      <c r="Z26" s="251"/>
      <c r="AA26" s="251">
        <v>230</v>
      </c>
      <c r="AB26" s="197"/>
      <c r="AE26" s="230"/>
      <c r="AF26" s="173"/>
    </row>
    <row r="27" spans="2:32" ht="15.75" thickBot="1" x14ac:dyDescent="0.3">
      <c r="B27" s="229" t="s">
        <v>156</v>
      </c>
      <c r="C27" s="150" t="s">
        <v>336</v>
      </c>
      <c r="D27" s="152" t="str">
        <f>'Auto Populate CGWR-CCAR Jetson'!L$9</f>
        <v>E  -  ETL Listed</v>
      </c>
      <c r="F27" s="229"/>
      <c r="H27" s="240"/>
      <c r="I27" s="241"/>
      <c r="J27" s="241"/>
      <c r="K27" s="241"/>
      <c r="L27" s="241"/>
      <c r="M27" s="242"/>
      <c r="N27" s="242"/>
      <c r="O27" s="242"/>
      <c r="P27" s="242"/>
      <c r="Q27" s="242"/>
      <c r="R27" s="242"/>
      <c r="S27" s="242"/>
      <c r="T27" s="242"/>
      <c r="U27" s="242"/>
      <c r="AE27" s="230"/>
      <c r="AF27" s="173"/>
    </row>
    <row r="28" spans="2:32" ht="30.75" thickBot="1" x14ac:dyDescent="0.3">
      <c r="B28" s="229" t="s">
        <v>157</v>
      </c>
      <c r="C28" s="150" t="s">
        <v>337</v>
      </c>
      <c r="D28" s="152" t="str">
        <f>'Auto Populate CGWR-CCAR Jetson'!M$9</f>
        <v>1  -  With valve(s) installed</v>
      </c>
      <c r="F28" s="323" t="s">
        <v>226</v>
      </c>
      <c r="G28" s="236" t="s">
        <v>335</v>
      </c>
      <c r="H28" s="236" t="s">
        <v>228</v>
      </c>
      <c r="I28" s="236" t="s">
        <v>258</v>
      </c>
      <c r="J28" s="236" t="s">
        <v>229</v>
      </c>
      <c r="K28" s="236" t="s">
        <v>303</v>
      </c>
      <c r="L28" s="236" t="s">
        <v>230</v>
      </c>
      <c r="M28" s="236" t="s">
        <v>231</v>
      </c>
      <c r="N28" s="236" t="s">
        <v>310</v>
      </c>
      <c r="O28" s="236" t="s">
        <v>232</v>
      </c>
      <c r="P28" s="236" t="s">
        <v>233</v>
      </c>
      <c r="Q28" s="236" t="s">
        <v>311</v>
      </c>
      <c r="R28" s="236" t="s">
        <v>234</v>
      </c>
      <c r="S28" s="236" t="s">
        <v>235</v>
      </c>
      <c r="T28" s="236" t="s">
        <v>236</v>
      </c>
      <c r="U28" s="236" t="s">
        <v>237</v>
      </c>
      <c r="V28" s="236" t="s">
        <v>33</v>
      </c>
      <c r="W28" s="236" t="s">
        <v>360</v>
      </c>
      <c r="X28" s="237" t="s">
        <v>364</v>
      </c>
      <c r="AE28" s="230"/>
      <c r="AF28" s="173"/>
    </row>
    <row r="29" spans="2:32" ht="15.75" thickBot="1" x14ac:dyDescent="0.3">
      <c r="B29" s="229" t="s">
        <v>158</v>
      </c>
      <c r="C29" s="150" t="s">
        <v>338</v>
      </c>
      <c r="D29" s="152" t="str">
        <f>'Auto Populate CGWR-CCAR Jetson'!N$9</f>
        <v>1 - Nom Flow Strainer</v>
      </c>
      <c r="F29" s="324"/>
      <c r="G29" s="238" t="str">
        <f>F8</f>
        <v>CGWR</v>
      </c>
      <c r="H29" s="209">
        <f>F9</f>
        <v>40</v>
      </c>
      <c r="I29" s="209" t="str">
        <f>INDEX($AD$18:$AD$21,MATCH(F10,$AC$18:$AC$21,1))</f>
        <v>200-230/3/60</v>
      </c>
      <c r="J29" s="209" t="str">
        <f t="array" ref="J29">INDEX(J$3:J$23,MATCH(1,($H29=$H$3:$H$23)*($I29=$I$3:$I$23),0))</f>
        <v>DSH120A3</v>
      </c>
      <c r="K29" s="209" t="str">
        <f t="array" ref="K29">INDEX(K$3:K$23,MATCH(1,($H29=$H$3:$H$23)*($I29=$I$3:$I$23),0))</f>
        <v>DSH120A3</v>
      </c>
      <c r="L29" s="209" t="str">
        <f t="array" ref="L29">IF(INDEX(L$3:L$23,MATCH(1,($H29=$H$3:$H$23)*($I29=$I$3:$I$23),0))=0," ",INDEX(L$3:L$23,MATCH(1,($H29=$H$3:$H$23)*($I29=$I$3:$I$23),0)))</f>
        <v>DSH240A3</v>
      </c>
      <c r="M29" s="209">
        <f t="array" ref="M29">INDEX(M$3:M$23,MATCH(1,($H29=$H$3:$H$23)*($I29=$I$3:$I$23),0))</f>
        <v>267</v>
      </c>
      <c r="N29" s="209">
        <f t="array" ref="N29">INDEX(N$3:N$23,MATCH(1,($H29=$H$3:$H$23)*($I29=$I$3:$I$23),0))</f>
        <v>267</v>
      </c>
      <c r="O29" s="209">
        <f t="array" ref="O29">IF(INDEX(O$3:O$23,MATCH(1,($H29=$H$3:$H$23)*($I29=$I$3:$I$23),0)) = 0," ",INDEX(O$3:O$23,MATCH(1,($H29=$H$3:$H$23)*($I29=$I$3:$I$23),0)))</f>
        <v>485</v>
      </c>
      <c r="P29" s="209">
        <f t="array" ref="P29">INDEX(P$3:P$23,MATCH(1,($H29=$H$3:$H$23)*($I29=$I$3:$I$23),0))</f>
        <v>39.102564102564102</v>
      </c>
      <c r="Q29" s="209">
        <f t="array" ref="Q29">INDEX(Q$3:Q$23,MATCH(1,($H29=$H$3:$H$23)*($I29=$I$3:$I$23),0))</f>
        <v>39.102564102564102</v>
      </c>
      <c r="R29" s="209">
        <f t="array" ref="R29">IF(INDEX(R$3:R$23,MATCH(1,($H29=$H$3:$H$23)*($I29=$I$3:$I$23),0)) = 0," ",INDEX(R$3:R$23,MATCH(1,($H29=$H$3:$H$23)*($I29=$I$3:$I$23),0)))</f>
        <v>67</v>
      </c>
      <c r="S29" s="209">
        <f t="array" ref="S29">INDEX(S$3:S$23,MATCH(1,($H29=$H$3:$H$23)*($I29=$I$3:$I$23),0))</f>
        <v>162.33974358974359</v>
      </c>
      <c r="T29" s="209">
        <f t="array" ref="T29">INDEX(T$3:T$23,MATCH(1,($H29=$H$3:$H$23)*($I29=$I$3:$I$23),0))</f>
        <v>225</v>
      </c>
      <c r="U29" s="209">
        <f t="array" ref="U29">INDEX(U$3:U$23,MATCH(1,($H29=$H$3:$H$23)*($I29=$I$3:$I$23),0))</f>
        <v>175</v>
      </c>
      <c r="V29" s="209" t="str">
        <f t="array" ref="V29">INDEX(Y$3:Y$26,MATCH(1,($G29=$W$3:$W$26)*($H29=$X$3:$X$26),0))</f>
        <v>24 lbs per circuit</v>
      </c>
      <c r="W29" s="209">
        <f t="array" ref="W29">INDEX(Z$3:Z$26,MATCH(1,($G29=$W$3:$W$26)*($H29=$X$3:$X$26),0))</f>
        <v>1577</v>
      </c>
      <c r="X29" s="209">
        <f t="array" ref="X29">INDEX(AA$3:AA$26,MATCH(1,($G29=$W$3:$W$26)*($H29=$X$3:$X$26),0))</f>
        <v>230</v>
      </c>
    </row>
    <row r="30" spans="2:32" ht="15" customHeight="1" thickBot="1" x14ac:dyDescent="0.3">
      <c r="B30" s="229" t="s">
        <v>159</v>
      </c>
      <c r="C30" s="150" t="s">
        <v>222</v>
      </c>
      <c r="D30" s="152" t="str">
        <f>'Auto Populate CGWR-CCAR Jetson'!O$9</f>
        <v>0  -  Std cooling 42-60F(5.6-15.6C)</v>
      </c>
      <c r="F30" s="47"/>
      <c r="G30" s="238" t="str">
        <f>F14</f>
        <v>CGWR</v>
      </c>
      <c r="H30" s="209">
        <f>F15</f>
        <v>40</v>
      </c>
      <c r="I30" s="209" t="str">
        <f>INDEX($AD$18:$AD$21,MATCH(F16,$AC$18:$AC$21,1))</f>
        <v>460/3/60</v>
      </c>
      <c r="J30" s="209" t="str">
        <f t="array" ref="J30">INDEX(J$3:J$23,MATCH(1,($H30=$H$3:$H$23)*($I30=$I$3:$I$23),0))</f>
        <v>DSH120A4</v>
      </c>
      <c r="K30" s="209" t="str">
        <f t="array" ref="K30">INDEX(K$3:K$23,MATCH(1,($H30=$H$3:$H$23)*($I30=$I$3:$I$23),0))</f>
        <v>DSH120A4</v>
      </c>
      <c r="L30" s="209" t="str">
        <f t="array" ref="L30">IF(INDEX(L$3:L$23,MATCH(1,($H30=$H$3:$H$23)*($I30=$I$3:$I$23),0))=0," ",INDEX(L$3:L$23,MATCH(1,($H30=$H$3:$H$23)*($I30=$I$3:$I$23),0)))</f>
        <v>DSH240A4</v>
      </c>
      <c r="M30" s="209">
        <f t="array" ref="M30">INDEX(M$3:M$23,MATCH(1,($H30=$H$3:$H$23)*($I30=$I$3:$I$23),0))</f>
        <v>142</v>
      </c>
      <c r="N30" s="209">
        <f t="array" ref="N30">INDEX(N$3:N$23,MATCH(1,($H30=$H$3:$H$23)*($I30=$I$3:$I$23),0))</f>
        <v>142</v>
      </c>
      <c r="O30" s="209">
        <f t="array" ref="O30">IF(INDEX(O$3:O$23,MATCH(1,($H30=$H$3:$H$23)*($I30=$I$3:$I$23),0)) = 0," ",INDEX(O$3:O$23,MATCH(1,($H30=$H$3:$H$23)*($I30=$I$3:$I$23),0)))</f>
        <v>215</v>
      </c>
      <c r="P30" s="209">
        <f t="array" ref="P30">INDEX(P$3:P$23,MATCH(1,($H30=$H$3:$H$23)*($I30=$I$3:$I$23),0))</f>
        <v>18.589743589743588</v>
      </c>
      <c r="Q30" s="209">
        <f t="array" ref="Q30">INDEX(Q$3:Q$23,MATCH(1,($H30=$H$3:$H$23)*($I30=$I$3:$I$23),0))</f>
        <v>18.589743589743588</v>
      </c>
      <c r="R30" s="209">
        <f t="array" ref="R30">IF(INDEX(R$3:R$23,MATCH(1,($H30=$H$3:$H$23)*($I30=$I$3:$I$23),0)) = 0," ",INDEX(R$3:R$23,MATCH(1,($H30=$H$3:$H$23)*($I30=$I$3:$I$23),0)))</f>
        <v>33</v>
      </c>
      <c r="S30" s="209">
        <f t="array" ref="S30">INDEX(S$3:S$23,MATCH(1,($H30=$H$3:$H$23)*($I30=$I$3:$I$23),0))</f>
        <v>78.044871794871781</v>
      </c>
      <c r="T30" s="209">
        <f t="array" ref="T30">INDEX(T$3:T$23,MATCH(1,($H30=$H$3:$H$23)*($I30=$I$3:$I$23),0))</f>
        <v>110</v>
      </c>
      <c r="U30" s="209">
        <f t="array" ref="U30">INDEX(U$3:U$23,MATCH(1,($H30=$H$3:$H$23)*($I30=$I$3:$I$23),0))</f>
        <v>90</v>
      </c>
      <c r="V30" s="209" t="str">
        <f t="array" ref="V30">INDEX(Y$3:Y$26,MATCH(1,($G30=$W$3:$W$26)*($H30=$X$3:$X$26),0))</f>
        <v>24 lbs per circuit</v>
      </c>
      <c r="W30" s="209">
        <f t="array" ref="W30">INDEX(Z$3:Z$26,MATCH(1,($G30=$W$3:$W$26)*($H30=$X$3:$X$26),0))</f>
        <v>1577</v>
      </c>
      <c r="X30" s="209">
        <f t="array" ref="X30">INDEX(AA$3:AA$26,MATCH(1,($G30=$W$3:$W$26)*($H30=$X$3:$X$26),0))</f>
        <v>230</v>
      </c>
    </row>
    <row r="31" spans="2:32" ht="15.75" thickBot="1" x14ac:dyDescent="0.3">
      <c r="B31" s="229" t="s">
        <v>160</v>
      </c>
      <c r="C31" s="150" t="s">
        <v>340</v>
      </c>
      <c r="D31" s="152" t="str">
        <f>'Auto Populate CGWR-CCAR Jetson'!P$9</f>
        <v>D  -  Non-fused Disconnect</v>
      </c>
      <c r="G31" s="238" t="str">
        <f>F20</f>
        <v>WCCU</v>
      </c>
      <c r="H31" s="209">
        <f>F21</f>
        <v>50</v>
      </c>
      <c r="I31" s="209" t="str">
        <f>INDEX($AD$18:$AD$21,MATCH(F22,$AC$18:$AC$21,1))</f>
        <v>460/3/60</v>
      </c>
      <c r="J31" s="209" t="str">
        <f t="array" ref="J31">INDEX(J$3:J$23,MATCH(1,($H31=$H$3:$H$23)*($I31=$I$3:$I$23),0))</f>
        <v>DSH140A4</v>
      </c>
      <c r="K31" s="209" t="str">
        <f t="array" ref="K31">INDEX(K$3:K$23,MATCH(1,($H31=$H$3:$H$23)*($I31=$I$3:$I$23),0))</f>
        <v>DSH140A4</v>
      </c>
      <c r="L31" s="209" t="str">
        <f t="array" ref="L31">IF(INDEX(L$3:L$23,MATCH(1,($H31=$H$3:$H$23)*($I31=$I$3:$I$23),0))=0," ",INDEX(L$3:L$23,MATCH(1,($H31=$H$3:$H$23)*($I31=$I$3:$I$23),0)))</f>
        <v>DSH295A4</v>
      </c>
      <c r="M31" s="209">
        <f t="array" ref="M31">INDEX(M$3:M$23,MATCH(1,($H31=$H$3:$H$23)*($I31=$I$3:$I$23),0))</f>
        <v>147</v>
      </c>
      <c r="N31" s="209">
        <f t="array" ref="N31">INDEX(N$3:N$23,MATCH(1,($H31=$H$3:$H$23)*($I31=$I$3:$I$23),0))</f>
        <v>147</v>
      </c>
      <c r="O31" s="209">
        <f t="array" ref="O31">IF(INDEX(O$3:O$23,MATCH(1,($H31=$H$3:$H$23)*($I31=$I$3:$I$23),0)) = 0," ",INDEX(O$3:O$23,MATCH(1,($H31=$H$3:$H$23)*($I31=$I$3:$I$23),0)))</f>
        <v>260</v>
      </c>
      <c r="P31" s="209">
        <f t="array" ref="P31">INDEX(P$3:P$23,MATCH(1,($H31=$H$3:$H$23)*($I31=$I$3:$I$23),0))</f>
        <v>19.23076923076923</v>
      </c>
      <c r="Q31" s="209">
        <f t="array" ref="Q31">INDEX(Q$3:Q$23,MATCH(1,($H31=$H$3:$H$23)*($I31=$I$3:$I$23),0))</f>
        <v>19.23076923076923</v>
      </c>
      <c r="R31" s="209">
        <f t="array" ref="R31">IF(INDEX(R$3:R$23,MATCH(1,($H31=$H$3:$H$23)*($I31=$I$3:$I$23),0)) = 0," ",INDEX(R$3:R$23,MATCH(1,($H31=$H$3:$H$23)*($I31=$I$3:$I$23),0)))</f>
        <v>40</v>
      </c>
      <c r="S31" s="209">
        <f t="array" ref="S31">INDEX(S$3:S$23,MATCH(1,($H31=$H$3:$H$23)*($I31=$I$3:$I$23),0))</f>
        <v>88.141025641025635</v>
      </c>
      <c r="T31" s="209">
        <f t="array" ref="T31">INDEX(T$3:T$23,MATCH(1,($H31=$H$3:$H$23)*($I31=$I$3:$I$23),0))</f>
        <v>125</v>
      </c>
      <c r="U31" s="209">
        <f t="array" ref="U31">INDEX(U$3:U$23,MATCH(1,($H31=$H$3:$H$23)*($I31=$I$3:$I$23),0))</f>
        <v>100</v>
      </c>
      <c r="V31" s="209" t="str">
        <f t="array" ref="V31">INDEX(Y$3:Y$26,MATCH(1,($G31=$W$3:$W$26)*($H31=$X$3:$X$26),0))</f>
        <v>N/A</v>
      </c>
      <c r="W31" s="209">
        <f t="array" ref="W31">INDEX(Z$3:Z$26,MATCH(1,($G31=$W$3:$W$26)*($H31=$X$3:$X$26),0))</f>
        <v>0</v>
      </c>
      <c r="X31" s="209">
        <f t="array" ref="X31">INDEX(AA$3:AA$26,MATCH(1,($G31=$W$3:$W$26)*($H31=$X$3:$X$26),0))</f>
        <v>230</v>
      </c>
    </row>
    <row r="32" spans="2:32" x14ac:dyDescent="0.25">
      <c r="B32" s="229" t="s">
        <v>161</v>
      </c>
      <c r="C32" s="150" t="s">
        <v>341</v>
      </c>
      <c r="D32" s="152" t="str">
        <f>'Auto Populate CGWR-CCAR Jetson'!Q$9</f>
        <v>0 - Std 5 kA</v>
      </c>
      <c r="H32" s="47"/>
      <c r="K32" s="312"/>
      <c r="L32" s="312"/>
      <c r="M32" s="312"/>
    </row>
    <row r="33" spans="2:28" x14ac:dyDescent="0.25">
      <c r="B33" s="229" t="s">
        <v>162</v>
      </c>
      <c r="C33" s="150" t="s">
        <v>342</v>
      </c>
      <c r="D33" s="152" t="str">
        <f>'Auto Populate CGWR-CCAR Jetson'!R$9</f>
        <v>0  -  No enclosure</v>
      </c>
      <c r="G33" s="230"/>
      <c r="M33" s="9"/>
      <c r="P33" s="195"/>
      <c r="S33" s="196" t="s">
        <v>312</v>
      </c>
      <c r="T33" s="317" t="s">
        <v>282</v>
      </c>
      <c r="U33" s="318"/>
    </row>
    <row r="34" spans="2:28" x14ac:dyDescent="0.25">
      <c r="B34" s="229" t="s">
        <v>163</v>
      </c>
      <c r="C34" s="150" t="s">
        <v>343</v>
      </c>
      <c r="D34" s="152" t="str">
        <f>'Auto Populate CGWR-CCAR Jetson'!S$9</f>
        <v>0 - Keypad</v>
      </c>
      <c r="G34" s="230"/>
      <c r="L34" s="229"/>
      <c r="M34" s="229"/>
      <c r="N34" s="229"/>
      <c r="O34" s="45"/>
      <c r="S34" s="5"/>
      <c r="T34" s="319"/>
      <c r="U34" s="320"/>
    </row>
    <row r="35" spans="2:28" x14ac:dyDescent="0.25">
      <c r="B35" s="229" t="s">
        <v>164</v>
      </c>
      <c r="C35" s="150" t="s">
        <v>344</v>
      </c>
      <c r="D35" s="152" t="str">
        <f>'Auto Populate CGWR-CCAR Jetson'!T$9</f>
        <v>0  -  None</v>
      </c>
      <c r="G35" s="230"/>
      <c r="L35" s="2"/>
      <c r="M35" s="2"/>
      <c r="N35" s="229"/>
      <c r="O35" s="43"/>
      <c r="S35" s="6"/>
      <c r="T35" s="321"/>
      <c r="U35" s="322"/>
    </row>
    <row r="36" spans="2:28" x14ac:dyDescent="0.25">
      <c r="B36" s="229" t="s">
        <v>165</v>
      </c>
      <c r="C36" s="150" t="s">
        <v>348</v>
      </c>
      <c r="D36" s="152" t="str">
        <f>'Auto Populate CGWR-CCAR Jetson'!U$9</f>
        <v>0  -  No PWM</v>
      </c>
      <c r="G36" s="44"/>
      <c r="L36" s="2"/>
      <c r="M36" s="2"/>
      <c r="N36" s="229"/>
      <c r="O36" s="44"/>
    </row>
    <row r="37" spans="2:28" x14ac:dyDescent="0.25">
      <c r="B37" s="229" t="s">
        <v>207</v>
      </c>
      <c r="C37" s="150" t="s">
        <v>349</v>
      </c>
      <c r="D37" s="152" t="str">
        <f>'Auto Populate CGWR-CCAR Jetson'!V$9</f>
        <v>0  -  No Iso Pads</v>
      </c>
      <c r="L37" s="2"/>
      <c r="M37" s="42"/>
      <c r="N37" s="229"/>
      <c r="O37" s="43"/>
    </row>
    <row r="38" spans="2:28" x14ac:dyDescent="0.25">
      <c r="B38" s="229" t="s">
        <v>289</v>
      </c>
      <c r="C38" s="150" t="s">
        <v>350</v>
      </c>
      <c r="D38" s="152" t="str">
        <f>'Auto Populate CGWR-CCAR Jetson'!W$9</f>
        <v>1  -  With Flow Swtch</v>
      </c>
      <c r="G38" s="230"/>
      <c r="L38" s="2"/>
      <c r="M38" s="2"/>
      <c r="N38" s="229"/>
      <c r="O38" s="43"/>
    </row>
    <row r="39" spans="2:28" x14ac:dyDescent="0.25">
      <c r="B39" s="229" t="s">
        <v>345</v>
      </c>
      <c r="C39" s="150" t="s">
        <v>220</v>
      </c>
      <c r="D39" s="205" t="str">
        <f>'Auto Populate CGWR-CCAR Jetson'!X$9</f>
        <v>0  -  Water Evap</v>
      </c>
      <c r="G39" s="230"/>
      <c r="L39" s="2"/>
      <c r="M39" s="2"/>
      <c r="N39" s="229"/>
      <c r="O39" s="43"/>
      <c r="V39" s="87"/>
      <c r="W39" s="87"/>
      <c r="X39" s="87"/>
      <c r="Y39" s="87"/>
      <c r="Z39" s="87"/>
      <c r="AA39" s="87"/>
      <c r="AB39" s="87"/>
    </row>
    <row r="40" spans="2:28" x14ac:dyDescent="0.25">
      <c r="B40" s="229" t="s">
        <v>346</v>
      </c>
      <c r="C40" s="150" t="s">
        <v>351</v>
      </c>
      <c r="D40" s="205" t="str">
        <f>'Auto Populate CGWR-CCAR Jetson'!Y$9</f>
        <v>0  - Water Cond</v>
      </c>
      <c r="G40" s="230"/>
      <c r="L40" s="2"/>
      <c r="M40" s="2"/>
      <c r="N40" s="229"/>
      <c r="O40" s="43"/>
      <c r="V40" s="87"/>
      <c r="W40" s="87"/>
      <c r="X40" s="87"/>
      <c r="Y40" s="87"/>
      <c r="Z40" s="87"/>
      <c r="AA40" s="87"/>
      <c r="AB40" s="87"/>
    </row>
    <row r="41" spans="2:28" ht="15.75" thickBot="1" x14ac:dyDescent="0.3">
      <c r="B41" s="229" t="s">
        <v>347</v>
      </c>
      <c r="C41" s="235" t="s">
        <v>352</v>
      </c>
      <c r="D41" s="234" t="str">
        <f>'Auto Populate CGWR-CCAR Jetson'!Z$9</f>
        <v>0    - No special design</v>
      </c>
      <c r="G41" s="44"/>
      <c r="L41" s="2"/>
      <c r="M41" s="2"/>
      <c r="N41" s="229"/>
      <c r="O41" s="43"/>
      <c r="V41" s="87"/>
      <c r="W41" s="87"/>
      <c r="X41" s="87"/>
      <c r="Y41" s="87"/>
      <c r="Z41" s="87"/>
      <c r="AA41" s="87"/>
      <c r="AB41" s="87"/>
    </row>
    <row r="42" spans="2:28" x14ac:dyDescent="0.25">
      <c r="L42" s="2"/>
      <c r="M42" s="2"/>
      <c r="N42" s="229"/>
      <c r="O42" s="43"/>
      <c r="T42" s="87"/>
    </row>
    <row r="43" spans="2:28" ht="16.5" thickBot="1" x14ac:dyDescent="0.3">
      <c r="B43" s="229"/>
      <c r="C43" s="316" t="s">
        <v>358</v>
      </c>
      <c r="D43" s="316"/>
      <c r="G43" s="230"/>
      <c r="L43" s="2"/>
      <c r="M43" s="2"/>
      <c r="N43" s="229"/>
      <c r="O43" s="43"/>
    </row>
    <row r="44" spans="2:28" x14ac:dyDescent="0.25">
      <c r="B44" s="82" t="s">
        <v>151</v>
      </c>
      <c r="C44" s="148" t="s">
        <v>210</v>
      </c>
      <c r="D44" s="149" t="str">
        <f>'Auto Populate CGWR-CCAR DB'!G$9</f>
        <v>WCCU</v>
      </c>
      <c r="G44" s="230"/>
      <c r="L44" s="2"/>
      <c r="M44" s="2"/>
      <c r="N44" s="229"/>
      <c r="O44" s="43"/>
      <c r="S44" s="155"/>
      <c r="T44" s="155"/>
    </row>
    <row r="45" spans="2:28" x14ac:dyDescent="0.25">
      <c r="B45" s="233" t="s">
        <v>152</v>
      </c>
      <c r="C45" s="150" t="s">
        <v>211</v>
      </c>
      <c r="D45" s="205" t="str">
        <f>CONCATENATE('Auto Populate CGWR-CCAR DB'!H$9,'Auto Populate CGWR-CCAR DB'!I$9)</f>
        <v>050</v>
      </c>
      <c r="G45" s="230"/>
      <c r="L45" s="2"/>
      <c r="M45" s="2"/>
      <c r="N45" s="229"/>
      <c r="O45" s="43"/>
    </row>
    <row r="46" spans="2:28" x14ac:dyDescent="0.25">
      <c r="B46" s="229" t="s">
        <v>153</v>
      </c>
      <c r="C46" s="150" t="s">
        <v>212</v>
      </c>
      <c r="D46" s="152" t="str">
        <f>'Auto Populate CGWR-CCAR DB'!J$9</f>
        <v>F - 460-3-60</v>
      </c>
      <c r="G46" s="44"/>
      <c r="L46" s="8"/>
      <c r="M46" s="8"/>
      <c r="N46" s="229"/>
      <c r="O46" s="43"/>
    </row>
    <row r="47" spans="2:28" x14ac:dyDescent="0.25">
      <c r="B47" s="229" t="s">
        <v>339</v>
      </c>
      <c r="C47" s="150" t="s">
        <v>217</v>
      </c>
      <c r="D47" s="152" t="str">
        <f>'Auto Populate CGWR-CCAR DB'!K$9</f>
        <v>A 0</v>
      </c>
      <c r="L47" s="8"/>
      <c r="M47" s="2"/>
      <c r="N47" s="229"/>
      <c r="O47" s="229"/>
    </row>
    <row r="48" spans="2:28" x14ac:dyDescent="0.25">
      <c r="B48" s="229" t="s">
        <v>156</v>
      </c>
      <c r="C48" s="150" t="s">
        <v>336</v>
      </c>
      <c r="D48" s="152" t="str">
        <f>'Auto Populate CGWR-CCAR DB'!L$9</f>
        <v>N  -  No ETL listing</v>
      </c>
      <c r="L48" s="8"/>
      <c r="M48" s="2"/>
      <c r="N48" s="229"/>
      <c r="O48" s="229"/>
    </row>
    <row r="49" spans="2:15" x14ac:dyDescent="0.25">
      <c r="B49" s="229" t="s">
        <v>157</v>
      </c>
      <c r="C49" s="150" t="s">
        <v>337</v>
      </c>
      <c r="D49" s="152" t="str">
        <f>'Auto Populate CGWR-CCAR DB'!M$9</f>
        <v>1  -  With valve(s) installed</v>
      </c>
      <c r="L49" s="8"/>
      <c r="M49" s="42"/>
      <c r="N49" s="229"/>
      <c r="O49" s="229"/>
    </row>
    <row r="50" spans="2:15" x14ac:dyDescent="0.25">
      <c r="B50" s="229" t="s">
        <v>158</v>
      </c>
      <c r="C50" s="150" t="s">
        <v>338</v>
      </c>
      <c r="D50" s="152" t="str">
        <f>'Auto Populate CGWR-CCAR DB'!N$9</f>
        <v>0 - No Strainer</v>
      </c>
      <c r="L50" s="8"/>
      <c r="M50" s="2"/>
      <c r="N50" s="229"/>
      <c r="O50" s="229"/>
    </row>
    <row r="51" spans="2:15" x14ac:dyDescent="0.25">
      <c r="B51" s="229" t="s">
        <v>159</v>
      </c>
      <c r="C51" s="150" t="s">
        <v>222</v>
      </c>
      <c r="D51" s="152" t="str">
        <f>'Auto Populate CGWR-CCAR DB'!O$9</f>
        <v>0  -  Std cooling 42-60F(5.6-15.6C)</v>
      </c>
      <c r="L51" s="8"/>
      <c r="M51" s="2"/>
      <c r="N51" s="229"/>
      <c r="O51" s="229"/>
    </row>
    <row r="52" spans="2:15" x14ac:dyDescent="0.25">
      <c r="B52" s="229" t="s">
        <v>160</v>
      </c>
      <c r="C52" s="150" t="s">
        <v>340</v>
      </c>
      <c r="D52" s="152" t="str">
        <f>'Auto Populate CGWR-CCAR DB'!P$9</f>
        <v>T  -  Std Terminal Block</v>
      </c>
      <c r="L52" s="8"/>
      <c r="M52" s="2"/>
      <c r="N52" s="229"/>
      <c r="O52" s="229"/>
    </row>
    <row r="53" spans="2:15" x14ac:dyDescent="0.25">
      <c r="B53" s="229" t="s">
        <v>161</v>
      </c>
      <c r="C53" s="150" t="s">
        <v>341</v>
      </c>
      <c r="D53" s="152" t="str">
        <f>'Auto Populate CGWR-CCAR DB'!Q$9</f>
        <v>0 - Std 5 kA</v>
      </c>
      <c r="L53" s="8"/>
      <c r="M53" s="2"/>
      <c r="N53" s="229"/>
      <c r="O53" s="229"/>
    </row>
    <row r="54" spans="2:15" x14ac:dyDescent="0.25">
      <c r="B54" s="229" t="s">
        <v>162</v>
      </c>
      <c r="C54" s="150" t="s">
        <v>342</v>
      </c>
      <c r="D54" s="152" t="str">
        <f>'Auto Populate CGWR-CCAR DB'!R$9</f>
        <v>0  -  No enclosure</v>
      </c>
      <c r="L54" s="8"/>
      <c r="M54" s="2"/>
      <c r="N54" s="229"/>
      <c r="O54" s="229"/>
    </row>
    <row r="55" spans="2:15" x14ac:dyDescent="0.25">
      <c r="B55" s="229" t="s">
        <v>163</v>
      </c>
      <c r="C55" s="150" t="s">
        <v>343</v>
      </c>
      <c r="D55" s="152" t="str">
        <f>'Auto Populate CGWR-CCAR DB'!S$9</f>
        <v>0 - Keypad</v>
      </c>
      <c r="L55" s="8"/>
      <c r="M55" s="2"/>
      <c r="N55" s="229"/>
      <c r="O55" s="229"/>
    </row>
    <row r="56" spans="2:15" x14ac:dyDescent="0.25">
      <c r="B56" s="229" t="s">
        <v>164</v>
      </c>
      <c r="C56" s="150" t="s">
        <v>344</v>
      </c>
      <c r="D56" s="152" t="str">
        <f>'Auto Populate CGWR-CCAR DB'!T$9</f>
        <v>4  -  BACnet MS/TP</v>
      </c>
      <c r="L56" s="8"/>
      <c r="M56" s="2"/>
      <c r="N56" s="229"/>
      <c r="O56" s="229"/>
    </row>
    <row r="57" spans="2:15" x14ac:dyDescent="0.25">
      <c r="B57" s="229" t="s">
        <v>165</v>
      </c>
      <c r="C57" s="150" t="s">
        <v>348</v>
      </c>
      <c r="D57" s="152" t="str">
        <f>'Auto Populate CGWR-CCAR DB'!U$9</f>
        <v>1  -  With PWM</v>
      </c>
      <c r="L57" s="8"/>
      <c r="M57" s="2"/>
      <c r="N57" s="229"/>
      <c r="O57" s="229"/>
    </row>
    <row r="58" spans="2:15" x14ac:dyDescent="0.25">
      <c r="B58" s="229" t="s">
        <v>207</v>
      </c>
      <c r="C58" s="150" t="s">
        <v>349</v>
      </c>
      <c r="D58" s="152" t="str">
        <f>'Auto Populate CGWR-CCAR DB'!V$9</f>
        <v>0  -  No Iso Pads</v>
      </c>
      <c r="L58" s="8"/>
      <c r="M58" s="8"/>
      <c r="N58" s="229"/>
      <c r="O58" s="229"/>
    </row>
    <row r="59" spans="2:15" x14ac:dyDescent="0.25">
      <c r="B59" s="229" t="s">
        <v>289</v>
      </c>
      <c r="C59" s="150" t="s">
        <v>350</v>
      </c>
      <c r="D59" s="152" t="str">
        <f>'Auto Populate CGWR-CCAR DB'!W$9</f>
        <v>1  -  With Flow Swtch</v>
      </c>
      <c r="M59" s="229"/>
      <c r="N59" s="229"/>
    </row>
    <row r="60" spans="2:15" x14ac:dyDescent="0.25">
      <c r="B60" s="229" t="s">
        <v>345</v>
      </c>
      <c r="C60" s="150" t="s">
        <v>220</v>
      </c>
      <c r="D60" s="205" t="str">
        <f>'Auto Populate CGWR-CCAR DB'!X$9</f>
        <v>0  -  Water Evap</v>
      </c>
      <c r="M60" s="229"/>
      <c r="N60" s="229"/>
    </row>
    <row r="61" spans="2:15" x14ac:dyDescent="0.25">
      <c r="B61" s="229" t="s">
        <v>346</v>
      </c>
      <c r="C61" s="150" t="s">
        <v>351</v>
      </c>
      <c r="D61" s="205" t="str">
        <f>'Auto Populate CGWR-CCAR DB'!Y$9</f>
        <v>0  - Water Cond</v>
      </c>
      <c r="M61" s="229"/>
      <c r="N61" s="229"/>
    </row>
    <row r="62" spans="2:15" ht="15.75" thickBot="1" x14ac:dyDescent="0.3">
      <c r="B62" s="229" t="s">
        <v>347</v>
      </c>
      <c r="C62" s="235" t="s">
        <v>352</v>
      </c>
      <c r="D62" s="234" t="str">
        <f>'Auto Populate CGWR-CCAR DB'!Z$9</f>
        <v>1    -  With special design</v>
      </c>
      <c r="M62" s="229"/>
      <c r="N62" s="229"/>
    </row>
    <row r="63" spans="2:15" x14ac:dyDescent="0.25">
      <c r="M63" s="229"/>
      <c r="N63" s="229"/>
    </row>
    <row r="64" spans="2:15" x14ac:dyDescent="0.25">
      <c r="M64" s="229"/>
      <c r="N64" s="229"/>
    </row>
    <row r="65" spans="13:14" x14ac:dyDescent="0.25">
      <c r="M65" s="229"/>
      <c r="N65" s="229"/>
    </row>
  </sheetData>
  <mergeCells count="6">
    <mergeCell ref="C43:D43"/>
    <mergeCell ref="T33:U35"/>
    <mergeCell ref="F28:F29"/>
    <mergeCell ref="K32:M32"/>
    <mergeCell ref="C1:D1"/>
    <mergeCell ref="C22:D22"/>
  </mergeCells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BC68"/>
  <sheetViews>
    <sheetView topLeftCell="F19" workbookViewId="0">
      <selection activeCell="G27" sqref="G27:G28"/>
    </sheetView>
  </sheetViews>
  <sheetFormatPr defaultRowHeight="15" x14ac:dyDescent="0.25"/>
  <cols>
    <col min="1" max="1" width="9.140625" style="201"/>
    <col min="2" max="2" width="10.28515625" style="201" bestFit="1" customWidth="1"/>
    <col min="3" max="3" width="20.5703125" style="201" bestFit="1" customWidth="1"/>
    <col min="4" max="4" width="27.7109375" style="201" customWidth="1"/>
    <col min="5" max="5" width="9.140625" style="201"/>
    <col min="6" max="6" width="30" bestFit="1" customWidth="1"/>
    <col min="7" max="8" width="24.28515625" customWidth="1"/>
    <col min="9" max="9" width="19.85546875" bestFit="1" customWidth="1"/>
    <col min="10" max="11" width="13.7109375" customWidth="1"/>
    <col min="12" max="15" width="8.7109375" customWidth="1"/>
    <col min="16" max="16" width="5.5703125" bestFit="1" customWidth="1"/>
    <col min="17" max="17" width="10" customWidth="1"/>
    <col min="18" max="18" width="9.28515625" bestFit="1" customWidth="1"/>
    <col min="19" max="19" width="12" customWidth="1"/>
    <col min="20" max="20" width="10" bestFit="1" customWidth="1"/>
    <col min="21" max="22" width="9.28515625" customWidth="1"/>
    <col min="23" max="24" width="11" customWidth="1"/>
    <col min="25" max="25" width="15.140625" bestFit="1" customWidth="1"/>
    <col min="26" max="26" width="8.7109375" customWidth="1"/>
    <col min="27" max="27" width="15.7109375" bestFit="1" customWidth="1"/>
    <col min="28" max="30" width="9" customWidth="1"/>
    <col min="31" max="31" width="8.7109375" customWidth="1"/>
    <col min="32" max="32" width="10.28515625" bestFit="1" customWidth="1"/>
    <col min="33" max="33" width="16.5703125" style="47" bestFit="1" customWidth="1"/>
    <col min="34" max="34" width="12.140625" bestFit="1" customWidth="1"/>
    <col min="35" max="36" width="12.140625" style="47" customWidth="1"/>
    <col min="37" max="37" width="41.140625" bestFit="1" customWidth="1"/>
    <col min="38" max="38" width="18.28515625" style="170" bestFit="1" customWidth="1"/>
    <col min="39" max="39" width="15.42578125" bestFit="1" customWidth="1"/>
    <col min="40" max="40" width="15.7109375" bestFit="1" customWidth="1"/>
    <col min="41" max="41" width="15.7109375" customWidth="1"/>
    <col min="42" max="42" width="26.42578125" bestFit="1" customWidth="1"/>
    <col min="43" max="43" width="18.7109375" bestFit="1" customWidth="1"/>
    <col min="44" max="44" width="20.7109375" bestFit="1" customWidth="1"/>
    <col min="45" max="45" width="15.140625" bestFit="1" customWidth="1"/>
    <col min="46" max="46" width="19.28515625" bestFit="1" customWidth="1"/>
    <col min="47" max="47" width="24.28515625" bestFit="1" customWidth="1"/>
    <col min="48" max="48" width="33.28515625" bestFit="1" customWidth="1"/>
    <col min="49" max="49" width="19.7109375" bestFit="1" customWidth="1"/>
    <col min="50" max="50" width="21.42578125" bestFit="1" customWidth="1"/>
    <col min="51" max="51" width="21.42578125" customWidth="1"/>
    <col min="52" max="52" width="25.5703125" style="147" bestFit="1" customWidth="1"/>
    <col min="53" max="53" width="45.28515625" bestFit="1" customWidth="1"/>
  </cols>
  <sheetData>
    <row r="2" spans="2:55" ht="15.75" thickBot="1" x14ac:dyDescent="0.3">
      <c r="H2" s="110"/>
      <c r="AF2" s="74" t="s">
        <v>1</v>
      </c>
      <c r="AG2" s="169" t="s">
        <v>166</v>
      </c>
      <c r="AH2" s="74" t="s">
        <v>53</v>
      </c>
      <c r="AI2" s="74" t="s">
        <v>21</v>
      </c>
      <c r="AJ2" s="74" t="s">
        <v>21</v>
      </c>
      <c r="AK2" s="74" t="s">
        <v>167</v>
      </c>
      <c r="AL2" s="169" t="s">
        <v>297</v>
      </c>
      <c r="AM2" s="74" t="s">
        <v>168</v>
      </c>
      <c r="AN2" s="74" t="s">
        <v>169</v>
      </c>
      <c r="AO2" s="74" t="s">
        <v>169</v>
      </c>
      <c r="AP2" s="74" t="s">
        <v>170</v>
      </c>
      <c r="AQ2" s="74" t="s">
        <v>54</v>
      </c>
      <c r="AR2" s="74" t="s">
        <v>171</v>
      </c>
      <c r="AS2" s="74" t="s">
        <v>172</v>
      </c>
      <c r="AT2" s="74" t="s">
        <v>173</v>
      </c>
      <c r="AU2" s="74" t="s">
        <v>174</v>
      </c>
      <c r="AV2" s="74" t="s">
        <v>175</v>
      </c>
      <c r="AW2" s="74" t="s">
        <v>176</v>
      </c>
      <c r="AX2" s="74" t="s">
        <v>177</v>
      </c>
      <c r="AY2" s="74" t="s">
        <v>177</v>
      </c>
      <c r="AZ2" s="146" t="s">
        <v>288</v>
      </c>
      <c r="BA2" s="74" t="s">
        <v>208</v>
      </c>
      <c r="BB2" s="74" t="s">
        <v>259</v>
      </c>
      <c r="BC2" s="154" t="s">
        <v>24</v>
      </c>
    </row>
    <row r="3" spans="2:55" ht="16.5" thickBot="1" x14ac:dyDescent="0.3">
      <c r="C3" s="316" t="s">
        <v>315</v>
      </c>
      <c r="D3" s="316"/>
      <c r="G3" s="106"/>
      <c r="H3" s="106"/>
      <c r="I3" s="106"/>
      <c r="J3" s="106"/>
      <c r="K3" s="106"/>
      <c r="L3" s="106"/>
      <c r="M3" s="106"/>
      <c r="N3" s="106"/>
      <c r="O3" s="106"/>
      <c r="U3" s="331" t="s">
        <v>271</v>
      </c>
      <c r="V3" s="332"/>
      <c r="W3" s="333"/>
      <c r="AC3" s="312"/>
      <c r="AD3" s="312"/>
      <c r="AE3" s="87"/>
      <c r="AF3" s="74" t="s">
        <v>151</v>
      </c>
      <c r="AG3" s="169" t="s">
        <v>152</v>
      </c>
      <c r="AH3" s="74" t="s">
        <v>153</v>
      </c>
      <c r="AI3" s="74" t="s">
        <v>256</v>
      </c>
      <c r="AJ3" s="74" t="s">
        <v>257</v>
      </c>
      <c r="AK3" s="74" t="s">
        <v>154</v>
      </c>
      <c r="AL3" s="169"/>
      <c r="AM3" s="74" t="s">
        <v>155</v>
      </c>
      <c r="AN3" s="74" t="s">
        <v>156</v>
      </c>
      <c r="AO3" s="74" t="s">
        <v>268</v>
      </c>
      <c r="AP3" s="74" t="s">
        <v>157</v>
      </c>
      <c r="AQ3" s="74" t="s">
        <v>158</v>
      </c>
      <c r="AR3" s="74" t="s">
        <v>159</v>
      </c>
      <c r="AS3" s="74" t="s">
        <v>160</v>
      </c>
      <c r="AT3" s="74" t="s">
        <v>161</v>
      </c>
      <c r="AU3" s="74" t="s">
        <v>162</v>
      </c>
      <c r="AV3" s="74" t="s">
        <v>163</v>
      </c>
      <c r="AW3" s="74" t="s">
        <v>164</v>
      </c>
      <c r="AX3" s="74" t="s">
        <v>165</v>
      </c>
      <c r="AY3" s="74" t="s">
        <v>268</v>
      </c>
      <c r="AZ3" s="146" t="s">
        <v>207</v>
      </c>
      <c r="BA3" s="74" t="s">
        <v>289</v>
      </c>
      <c r="BB3" s="74" t="s">
        <v>260</v>
      </c>
      <c r="BC3" s="154" t="s">
        <v>295</v>
      </c>
    </row>
    <row r="4" spans="2:55" ht="30" customHeight="1" x14ac:dyDescent="0.25">
      <c r="B4" s="82" t="s">
        <v>151</v>
      </c>
      <c r="C4" s="148" t="s">
        <v>210</v>
      </c>
      <c r="D4" s="149" t="str">
        <f>'Auto Populate (FWCD)'!C$9</f>
        <v>FWCD</v>
      </c>
      <c r="G4" s="40"/>
      <c r="H4" s="117" t="s">
        <v>228</v>
      </c>
      <c r="I4" s="53" t="s">
        <v>21</v>
      </c>
      <c r="J4" s="118" t="s">
        <v>229</v>
      </c>
      <c r="K4" s="118" t="s">
        <v>230</v>
      </c>
      <c r="L4" s="118" t="s">
        <v>231</v>
      </c>
      <c r="M4" s="118" t="s">
        <v>232</v>
      </c>
      <c r="N4" s="118" t="s">
        <v>233</v>
      </c>
      <c r="O4" s="118" t="s">
        <v>234</v>
      </c>
      <c r="P4" s="118" t="s">
        <v>235</v>
      </c>
      <c r="Q4" s="118" t="s">
        <v>236</v>
      </c>
      <c r="R4" s="118" t="s">
        <v>237</v>
      </c>
      <c r="S4" s="334" t="s">
        <v>325</v>
      </c>
      <c r="T4" s="330"/>
      <c r="U4" s="129" t="s">
        <v>263</v>
      </c>
      <c r="V4" s="129" t="s">
        <v>264</v>
      </c>
      <c r="W4" s="198" t="s">
        <v>265</v>
      </c>
      <c r="AE4" s="87"/>
      <c r="AF4" s="12" t="s">
        <v>149</v>
      </c>
      <c r="AG4" s="171" t="s">
        <v>178</v>
      </c>
      <c r="AH4" s="31" t="s">
        <v>323</v>
      </c>
      <c r="AI4" s="111">
        <v>208</v>
      </c>
      <c r="AJ4" s="111" t="s">
        <v>36</v>
      </c>
      <c r="AK4" s="51" t="s">
        <v>183</v>
      </c>
      <c r="AL4" s="111" t="s">
        <v>298</v>
      </c>
      <c r="AM4" s="12" t="s">
        <v>186</v>
      </c>
      <c r="AN4" t="s">
        <v>188</v>
      </c>
      <c r="AO4" s="47">
        <v>1</v>
      </c>
      <c r="AP4" t="s">
        <v>190</v>
      </c>
      <c r="AQ4" s="12" t="s">
        <v>187</v>
      </c>
      <c r="AR4" s="12" t="s">
        <v>192</v>
      </c>
      <c r="AS4" s="12" t="s">
        <v>194</v>
      </c>
      <c r="AT4" s="12" t="s">
        <v>86</v>
      </c>
      <c r="AU4" s="12" t="s">
        <v>197</v>
      </c>
      <c r="AV4" s="12" t="s">
        <v>199</v>
      </c>
      <c r="AW4" s="12" t="s">
        <v>202</v>
      </c>
      <c r="AX4" s="12" t="s">
        <v>194</v>
      </c>
      <c r="AY4" s="12" t="s">
        <v>263</v>
      </c>
      <c r="AZ4" s="12" t="s">
        <v>86</v>
      </c>
      <c r="BA4" s="12" t="s">
        <v>206</v>
      </c>
      <c r="BB4" s="122">
        <v>5</v>
      </c>
      <c r="BC4" s="122">
        <v>150</v>
      </c>
    </row>
    <row r="5" spans="2:55" x14ac:dyDescent="0.25">
      <c r="B5" s="44" t="s">
        <v>152</v>
      </c>
      <c r="C5" s="150" t="s">
        <v>211</v>
      </c>
      <c r="D5" s="205" t="str">
        <f>'Auto Populate (FWCD)'!D9</f>
        <v>055</v>
      </c>
      <c r="G5" s="79"/>
      <c r="H5" s="107" t="s">
        <v>178</v>
      </c>
      <c r="I5" s="89" t="s">
        <v>36</v>
      </c>
      <c r="J5" s="113" t="s">
        <v>238</v>
      </c>
      <c r="K5" s="113" t="s">
        <v>238</v>
      </c>
      <c r="L5" s="90">
        <v>267</v>
      </c>
      <c r="M5" s="90">
        <v>267</v>
      </c>
      <c r="N5" s="91">
        <v>39.102564102564102</v>
      </c>
      <c r="O5" s="91">
        <v>39.102564102564102</v>
      </c>
      <c r="P5" s="91">
        <v>87.980769230769226</v>
      </c>
      <c r="Q5" s="92">
        <v>125</v>
      </c>
      <c r="R5" s="92">
        <v>100</v>
      </c>
      <c r="S5" s="92"/>
      <c r="T5" s="92">
        <v>20</v>
      </c>
      <c r="U5" s="91">
        <v>1525</v>
      </c>
      <c r="V5" s="91">
        <v>1688</v>
      </c>
      <c r="W5" s="216">
        <v>1320</v>
      </c>
      <c r="AE5" s="44"/>
      <c r="AF5" s="14" t="s">
        <v>314</v>
      </c>
      <c r="AG5" s="172" t="s">
        <v>150</v>
      </c>
      <c r="AH5" s="16" t="s">
        <v>322</v>
      </c>
      <c r="AI5" s="112">
        <v>230</v>
      </c>
      <c r="AJ5" s="47" t="s">
        <v>36</v>
      </c>
      <c r="AK5" s="17" t="s">
        <v>184</v>
      </c>
      <c r="AL5" s="112" t="s">
        <v>299</v>
      </c>
      <c r="AM5" s="14"/>
      <c r="AN5" t="s">
        <v>189</v>
      </c>
      <c r="AO5" s="47">
        <v>2</v>
      </c>
      <c r="AP5" t="s">
        <v>191</v>
      </c>
      <c r="AQ5" s="14"/>
      <c r="AR5" s="14" t="s">
        <v>193</v>
      </c>
      <c r="AS5" s="14"/>
      <c r="AT5" s="14" t="s">
        <v>196</v>
      </c>
      <c r="AU5" s="14" t="s">
        <v>198</v>
      </c>
      <c r="AV5" s="14" t="s">
        <v>200</v>
      </c>
      <c r="AW5" s="14" t="s">
        <v>203</v>
      </c>
      <c r="AX5" s="14" t="s">
        <v>204</v>
      </c>
      <c r="AY5" s="14" t="s">
        <v>264</v>
      </c>
      <c r="AZ5" s="14" t="s">
        <v>196</v>
      </c>
      <c r="BA5" s="14"/>
      <c r="BB5" s="80">
        <v>100</v>
      </c>
      <c r="BC5" s="80">
        <v>300</v>
      </c>
    </row>
    <row r="6" spans="2:55" x14ac:dyDescent="0.25">
      <c r="B6" s="201" t="s">
        <v>153</v>
      </c>
      <c r="C6" s="150" t="s">
        <v>212</v>
      </c>
      <c r="D6" s="152" t="str">
        <f>'Auto Populate (FWCD)'!E9</f>
        <v>B - 230-3-60</v>
      </c>
      <c r="G6" s="2"/>
      <c r="H6" s="108" t="s">
        <v>178</v>
      </c>
      <c r="I6" s="93" t="s">
        <v>37</v>
      </c>
      <c r="J6" s="114" t="s">
        <v>239</v>
      </c>
      <c r="K6" s="114" t="s">
        <v>239</v>
      </c>
      <c r="L6" s="94">
        <v>142</v>
      </c>
      <c r="M6" s="94">
        <v>142</v>
      </c>
      <c r="N6" s="95">
        <v>18.589743589743588</v>
      </c>
      <c r="O6" s="95">
        <v>18.589743589743588</v>
      </c>
      <c r="P6" s="95">
        <v>41.826923076923073</v>
      </c>
      <c r="Q6" s="96">
        <v>60</v>
      </c>
      <c r="R6" s="96">
        <v>50</v>
      </c>
      <c r="S6" s="96"/>
      <c r="T6" s="96">
        <v>20</v>
      </c>
      <c r="U6" s="95">
        <v>1525</v>
      </c>
      <c r="V6" s="95">
        <v>1688</v>
      </c>
      <c r="W6" s="217">
        <v>1320</v>
      </c>
      <c r="AE6" s="44"/>
      <c r="AF6" s="14"/>
      <c r="AG6" s="172" t="s">
        <v>179</v>
      </c>
      <c r="AH6" s="16" t="s">
        <v>321</v>
      </c>
      <c r="AI6" s="112">
        <v>460</v>
      </c>
      <c r="AJ6" s="112" t="s">
        <v>37</v>
      </c>
      <c r="AK6" s="17" t="s">
        <v>185</v>
      </c>
      <c r="AL6" s="112" t="s">
        <v>299</v>
      </c>
      <c r="AM6" s="14"/>
      <c r="AN6" s="14"/>
      <c r="AO6" s="80"/>
      <c r="AP6" s="14"/>
      <c r="AQ6" s="14"/>
      <c r="AR6" s="14"/>
      <c r="AS6" s="14"/>
      <c r="AT6" s="14" t="s">
        <v>195</v>
      </c>
      <c r="AU6" s="14"/>
      <c r="AV6" s="14" t="s">
        <v>201</v>
      </c>
      <c r="AW6" s="14"/>
      <c r="AX6" s="14" t="s">
        <v>205</v>
      </c>
      <c r="AY6" s="14" t="s">
        <v>265</v>
      </c>
      <c r="AZ6" s="14" t="s">
        <v>195</v>
      </c>
      <c r="BA6" s="14"/>
      <c r="BB6" s="14"/>
      <c r="BC6" s="14"/>
    </row>
    <row r="7" spans="2:55" x14ac:dyDescent="0.25">
      <c r="B7" s="201" t="s">
        <v>154</v>
      </c>
      <c r="C7" s="150" t="s">
        <v>213</v>
      </c>
      <c r="D7" s="152" t="str">
        <f>'Auto Populate (FWCD)'!F9</f>
        <v>A - Water Cooled Chiller</v>
      </c>
      <c r="G7" s="2"/>
      <c r="H7" s="109" t="s">
        <v>178</v>
      </c>
      <c r="I7" s="97" t="s">
        <v>38</v>
      </c>
      <c r="J7" s="115" t="s">
        <v>240</v>
      </c>
      <c r="K7" s="115" t="s">
        <v>240</v>
      </c>
      <c r="L7" s="98">
        <v>103</v>
      </c>
      <c r="M7" s="98">
        <v>103</v>
      </c>
      <c r="N7" s="99">
        <v>15.384615384615383</v>
      </c>
      <c r="O7" s="99">
        <v>15.384615384615383</v>
      </c>
      <c r="P7" s="99">
        <v>34.615384615384613</v>
      </c>
      <c r="Q7" s="100">
        <v>50</v>
      </c>
      <c r="R7" s="100">
        <v>40</v>
      </c>
      <c r="S7" s="100"/>
      <c r="T7" s="100">
        <v>20</v>
      </c>
      <c r="U7" s="99">
        <v>1525</v>
      </c>
      <c r="V7" s="99">
        <v>1688</v>
      </c>
      <c r="W7" s="218">
        <v>1320</v>
      </c>
      <c r="AE7" s="47"/>
      <c r="AF7" s="14"/>
      <c r="AG7" s="172" t="s">
        <v>180</v>
      </c>
      <c r="AH7" s="16" t="s">
        <v>320</v>
      </c>
      <c r="AI7" s="112">
        <v>575</v>
      </c>
      <c r="AJ7" s="112" t="s">
        <v>38</v>
      </c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 t="s">
        <v>287</v>
      </c>
      <c r="BA7" s="14"/>
      <c r="BB7" s="14"/>
      <c r="BC7" s="14"/>
    </row>
    <row r="8" spans="2:55" x14ac:dyDescent="0.25">
      <c r="B8" s="201" t="s">
        <v>155</v>
      </c>
      <c r="C8" s="150" t="s">
        <v>214</v>
      </c>
      <c r="D8" s="152" t="str">
        <f>'Auto Populate (FWCD)'!G9</f>
        <v>A - R-410A Scroll</v>
      </c>
      <c r="G8" s="2"/>
      <c r="H8" s="107" t="s">
        <v>150</v>
      </c>
      <c r="I8" s="89" t="s">
        <v>36</v>
      </c>
      <c r="J8" s="113" t="s">
        <v>241</v>
      </c>
      <c r="K8" s="113" t="s">
        <v>241</v>
      </c>
      <c r="L8" s="90">
        <v>351</v>
      </c>
      <c r="M8" s="90">
        <v>351</v>
      </c>
      <c r="N8" s="91">
        <v>48.076923076923073</v>
      </c>
      <c r="O8" s="91">
        <v>48.076923076923073</v>
      </c>
      <c r="P8" s="91">
        <v>108.17307692307691</v>
      </c>
      <c r="Q8" s="92">
        <v>150</v>
      </c>
      <c r="R8" s="92">
        <v>125</v>
      </c>
      <c r="S8" s="92"/>
      <c r="T8" s="92">
        <v>26</v>
      </c>
      <c r="U8" s="91">
        <v>1720</v>
      </c>
      <c r="V8" s="91">
        <v>2025</v>
      </c>
      <c r="W8" s="216">
        <v>1320</v>
      </c>
      <c r="AE8" s="83"/>
      <c r="AF8" s="14"/>
      <c r="AG8" s="172" t="s">
        <v>181</v>
      </c>
      <c r="AH8" s="14"/>
      <c r="AI8" s="80"/>
      <c r="AJ8" s="80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</row>
    <row r="9" spans="2:55" x14ac:dyDescent="0.25">
      <c r="B9" s="201" t="s">
        <v>156</v>
      </c>
      <c r="C9" s="150" t="s">
        <v>215</v>
      </c>
      <c r="D9" s="152" t="str">
        <f>'Auto Populate (FWCD)'!H9</f>
        <v>2  - Dual Circuit</v>
      </c>
      <c r="G9" s="2"/>
      <c r="H9" s="108" t="s">
        <v>150</v>
      </c>
      <c r="I9" s="93" t="s">
        <v>37</v>
      </c>
      <c r="J9" s="114" t="s">
        <v>242</v>
      </c>
      <c r="K9" s="114" t="s">
        <v>242</v>
      </c>
      <c r="L9" s="94">
        <v>197</v>
      </c>
      <c r="M9" s="94">
        <v>197</v>
      </c>
      <c r="N9" s="95">
        <v>24.743589743589745</v>
      </c>
      <c r="O9" s="95">
        <v>24.743589743589745</v>
      </c>
      <c r="P9" s="95">
        <v>55.673076923076927</v>
      </c>
      <c r="Q9" s="96">
        <v>80</v>
      </c>
      <c r="R9" s="96">
        <v>60</v>
      </c>
      <c r="S9" s="96"/>
      <c r="T9" s="96">
        <v>26</v>
      </c>
      <c r="U9" s="95">
        <v>1720</v>
      </c>
      <c r="V9" s="95">
        <v>2025</v>
      </c>
      <c r="W9" s="217">
        <v>1320</v>
      </c>
      <c r="AE9" s="84"/>
      <c r="AF9" s="14"/>
      <c r="AG9" s="172" t="s">
        <v>182</v>
      </c>
      <c r="AH9" s="14"/>
      <c r="AI9" s="80"/>
      <c r="AJ9" s="80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</row>
    <row r="10" spans="2:55" ht="15" customHeight="1" x14ac:dyDescent="0.25">
      <c r="B10" s="201" t="s">
        <v>157</v>
      </c>
      <c r="C10" s="150" t="s">
        <v>216</v>
      </c>
      <c r="D10" s="152" t="str">
        <f>'Auto Populate (FWCD)'!I9</f>
        <v>1  - Standard Efficiency</v>
      </c>
      <c r="G10" s="2"/>
      <c r="H10" s="109" t="s">
        <v>150</v>
      </c>
      <c r="I10" s="97" t="s">
        <v>38</v>
      </c>
      <c r="J10" s="115" t="s">
        <v>243</v>
      </c>
      <c r="K10" s="115" t="s">
        <v>243</v>
      </c>
      <c r="L10" s="98">
        <v>135</v>
      </c>
      <c r="M10" s="98">
        <v>135</v>
      </c>
      <c r="N10" s="99">
        <v>22.435897435897434</v>
      </c>
      <c r="O10" s="99">
        <v>22.435897435897434</v>
      </c>
      <c r="P10" s="99">
        <v>50.480769230769226</v>
      </c>
      <c r="Q10" s="100">
        <v>70</v>
      </c>
      <c r="R10" s="100">
        <v>60</v>
      </c>
      <c r="S10" s="100"/>
      <c r="T10" s="100">
        <v>26</v>
      </c>
      <c r="U10" s="99">
        <v>1720</v>
      </c>
      <c r="V10" s="99">
        <v>2025</v>
      </c>
      <c r="W10" s="218">
        <v>1320</v>
      </c>
      <c r="AE10" s="87"/>
      <c r="AF10" s="14"/>
      <c r="AG10" s="172" t="s">
        <v>324</v>
      </c>
      <c r="AH10" s="14"/>
      <c r="AI10" s="80"/>
      <c r="AJ10" s="80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85" t="s">
        <v>209</v>
      </c>
      <c r="BB10" s="85"/>
      <c r="BC10" s="85"/>
    </row>
    <row r="11" spans="2:55" x14ac:dyDescent="0.25">
      <c r="B11" s="201" t="s">
        <v>158</v>
      </c>
      <c r="C11" s="150" t="s">
        <v>217</v>
      </c>
      <c r="D11" s="152" t="str">
        <f>'Auto Populate (FWCD)'!J9</f>
        <v>0 - Factory Assigned</v>
      </c>
      <c r="G11" s="2"/>
      <c r="H11" s="107" t="s">
        <v>179</v>
      </c>
      <c r="I11" s="89" t="s">
        <v>36</v>
      </c>
      <c r="J11" s="113" t="s">
        <v>244</v>
      </c>
      <c r="K11" s="113" t="s">
        <v>244</v>
      </c>
      <c r="L11" s="90">
        <v>485</v>
      </c>
      <c r="M11" s="90">
        <v>485</v>
      </c>
      <c r="N11" s="91">
        <v>67.307692307692307</v>
      </c>
      <c r="O11" s="91">
        <v>67.307692307692307</v>
      </c>
      <c r="P11" s="91">
        <v>151.44230769230768</v>
      </c>
      <c r="Q11" s="92">
        <v>200</v>
      </c>
      <c r="R11" s="92">
        <v>175</v>
      </c>
      <c r="S11" s="92">
        <v>27</v>
      </c>
      <c r="T11" s="92">
        <v>34</v>
      </c>
      <c r="U11" s="91">
        <v>2040</v>
      </c>
      <c r="V11" s="91">
        <v>2265</v>
      </c>
      <c r="W11" s="216">
        <v>1550</v>
      </c>
      <c r="AE11" s="87"/>
      <c r="AF11" s="14"/>
      <c r="AG11" s="80"/>
      <c r="AH11" s="14"/>
      <c r="AI11" s="80"/>
      <c r="AJ11" s="80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85"/>
      <c r="BB11" s="85"/>
      <c r="BC11" s="85"/>
    </row>
    <row r="12" spans="2:55" x14ac:dyDescent="0.25">
      <c r="B12" s="201" t="s">
        <v>159</v>
      </c>
      <c r="C12" s="150" t="s">
        <v>218</v>
      </c>
      <c r="D12" s="152" t="str">
        <f>'Auto Populate (FWCD)'!K9</f>
        <v>1  - Array System</v>
      </c>
      <c r="G12" s="2"/>
      <c r="H12" s="108" t="s">
        <v>179</v>
      </c>
      <c r="I12" s="93" t="s">
        <v>37</v>
      </c>
      <c r="J12" s="114" t="s">
        <v>245</v>
      </c>
      <c r="K12" s="114" t="s">
        <v>245</v>
      </c>
      <c r="L12" s="94">
        <v>215</v>
      </c>
      <c r="M12" s="94">
        <v>215</v>
      </c>
      <c r="N12" s="95">
        <v>32.692307692307693</v>
      </c>
      <c r="O12" s="95">
        <v>32.692307692307693</v>
      </c>
      <c r="P12" s="95">
        <v>73.557692307692307</v>
      </c>
      <c r="Q12" s="96">
        <v>100</v>
      </c>
      <c r="R12" s="96">
        <v>80</v>
      </c>
      <c r="S12" s="96">
        <v>27</v>
      </c>
      <c r="T12" s="96">
        <v>34</v>
      </c>
      <c r="U12" s="95">
        <v>2040</v>
      </c>
      <c r="V12" s="95">
        <v>2265</v>
      </c>
      <c r="W12" s="217">
        <v>1550</v>
      </c>
      <c r="AE12" s="87"/>
      <c r="AF12" s="14"/>
      <c r="AG12" s="80"/>
      <c r="AH12" s="14"/>
      <c r="AI12" s="80"/>
      <c r="AJ12" s="80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85"/>
      <c r="BB12" s="85"/>
      <c r="BC12" s="85"/>
    </row>
    <row r="13" spans="2:55" x14ac:dyDescent="0.25">
      <c r="B13" s="201" t="s">
        <v>160</v>
      </c>
      <c r="C13" s="150" t="s">
        <v>219</v>
      </c>
      <c r="D13" s="152" t="str">
        <f>'Auto Populate (FWCD)'!L9</f>
        <v>0  - Brazed Plate</v>
      </c>
      <c r="G13" s="2"/>
      <c r="H13" s="109" t="s">
        <v>179</v>
      </c>
      <c r="I13" s="97" t="s">
        <v>38</v>
      </c>
      <c r="J13" s="115" t="s">
        <v>246</v>
      </c>
      <c r="K13" s="115" t="s">
        <v>246</v>
      </c>
      <c r="L13" s="98">
        <v>175</v>
      </c>
      <c r="M13" s="98">
        <v>175</v>
      </c>
      <c r="N13" s="99">
        <v>26.282051282051281</v>
      </c>
      <c r="O13" s="99">
        <v>26.282051282051281</v>
      </c>
      <c r="P13" s="99">
        <v>59.134615384615387</v>
      </c>
      <c r="Q13" s="100">
        <v>80</v>
      </c>
      <c r="R13" s="100">
        <v>70</v>
      </c>
      <c r="S13" s="100">
        <v>27</v>
      </c>
      <c r="T13" s="100">
        <v>34</v>
      </c>
      <c r="U13" s="99">
        <v>2040</v>
      </c>
      <c r="V13" s="99">
        <v>2265</v>
      </c>
      <c r="W13" s="218">
        <v>1550</v>
      </c>
      <c r="AE13" s="87"/>
      <c r="AF13" s="13"/>
      <c r="AG13" s="81"/>
      <c r="AH13" s="13"/>
      <c r="AI13" s="81"/>
      <c r="AJ13" s="81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86"/>
      <c r="BB13" s="86"/>
      <c r="BC13" s="86"/>
    </row>
    <row r="14" spans="2:55" x14ac:dyDescent="0.25">
      <c r="B14" s="201" t="s">
        <v>161</v>
      </c>
      <c r="C14" s="150" t="s">
        <v>220</v>
      </c>
      <c r="D14" s="152" t="str">
        <f>'Auto Populate (FWCD)'!M9</f>
        <v>0  - Water</v>
      </c>
      <c r="G14" s="2"/>
      <c r="H14" s="107" t="s">
        <v>180</v>
      </c>
      <c r="I14" s="89" t="s">
        <v>36</v>
      </c>
      <c r="J14" s="113" t="s">
        <v>247</v>
      </c>
      <c r="K14" s="113" t="s">
        <v>247</v>
      </c>
      <c r="L14" s="90">
        <v>560</v>
      </c>
      <c r="M14" s="90">
        <v>560</v>
      </c>
      <c r="N14" s="91">
        <v>82.051282051282044</v>
      </c>
      <c r="O14" s="91">
        <v>82.051282051282044</v>
      </c>
      <c r="P14" s="91">
        <v>184.61538461538458</v>
      </c>
      <c r="Q14" s="92">
        <v>250</v>
      </c>
      <c r="R14" s="92">
        <v>225</v>
      </c>
      <c r="S14" s="92">
        <v>31</v>
      </c>
      <c r="T14" s="92">
        <v>42</v>
      </c>
      <c r="U14" s="91">
        <v>2065</v>
      </c>
      <c r="V14" s="91">
        <v>2265</v>
      </c>
      <c r="W14" s="216">
        <v>1545</v>
      </c>
      <c r="AE14" s="87"/>
    </row>
    <row r="15" spans="2:55" x14ac:dyDescent="0.25">
      <c r="B15" s="201" t="s">
        <v>162</v>
      </c>
      <c r="C15" s="150" t="s">
        <v>221</v>
      </c>
      <c r="D15" s="152" t="str">
        <f>'Auto Populate (FWCD)'!N9</f>
        <v>0  - Constant Flow Primary</v>
      </c>
      <c r="G15" s="2"/>
      <c r="H15" s="108" t="s">
        <v>180</v>
      </c>
      <c r="I15" s="93" t="s">
        <v>37</v>
      </c>
      <c r="J15" s="114" t="s">
        <v>248</v>
      </c>
      <c r="K15" s="114" t="s">
        <v>248</v>
      </c>
      <c r="L15" s="94">
        <v>260</v>
      </c>
      <c r="M15" s="94">
        <v>260</v>
      </c>
      <c r="N15" s="95">
        <v>39.743589743589745</v>
      </c>
      <c r="O15" s="95">
        <v>39.743589743589745</v>
      </c>
      <c r="P15" s="95">
        <v>89.423076923076934</v>
      </c>
      <c r="Q15" s="96">
        <v>125</v>
      </c>
      <c r="R15" s="96">
        <v>100</v>
      </c>
      <c r="S15" s="96">
        <v>31</v>
      </c>
      <c r="T15" s="96">
        <v>42</v>
      </c>
      <c r="U15" s="95">
        <v>2065</v>
      </c>
      <c r="V15" s="95">
        <v>2265</v>
      </c>
      <c r="W15" s="217">
        <v>1545</v>
      </c>
      <c r="AE15" s="87"/>
      <c r="AG15" s="326"/>
      <c r="AH15" s="326"/>
      <c r="AI15" s="88"/>
      <c r="AJ15" s="88"/>
    </row>
    <row r="16" spans="2:55" x14ac:dyDescent="0.25">
      <c r="B16" s="201" t="s">
        <v>163</v>
      </c>
      <c r="C16" s="150" t="s">
        <v>222</v>
      </c>
      <c r="D16" s="152" t="str">
        <f>'Auto Populate (FWCD)'!O9</f>
        <v>0  - Standard Cooling</v>
      </c>
      <c r="G16" s="2"/>
      <c r="H16" s="109" t="s">
        <v>180</v>
      </c>
      <c r="I16" s="97" t="s">
        <v>38</v>
      </c>
      <c r="J16" s="115" t="s">
        <v>249</v>
      </c>
      <c r="K16" s="115" t="s">
        <v>249</v>
      </c>
      <c r="L16" s="98">
        <v>210</v>
      </c>
      <c r="M16" s="98">
        <v>210</v>
      </c>
      <c r="N16" s="99">
        <v>28.846153846153847</v>
      </c>
      <c r="O16" s="99">
        <v>28.846153846153847</v>
      </c>
      <c r="P16" s="99">
        <v>64.90384615384616</v>
      </c>
      <c r="Q16" s="100">
        <v>90</v>
      </c>
      <c r="R16" s="100">
        <v>70</v>
      </c>
      <c r="S16" s="100">
        <v>31</v>
      </c>
      <c r="T16" s="100">
        <v>42</v>
      </c>
      <c r="U16" s="99">
        <v>2065</v>
      </c>
      <c r="V16" s="99">
        <v>2265</v>
      </c>
      <c r="W16" s="218">
        <v>1545</v>
      </c>
      <c r="AE16" s="87"/>
      <c r="AG16" s="173"/>
      <c r="AH16" s="88"/>
      <c r="AI16" s="88"/>
      <c r="AJ16" s="88"/>
    </row>
    <row r="17" spans="2:43" x14ac:dyDescent="0.25">
      <c r="B17" s="201" t="s">
        <v>164</v>
      </c>
      <c r="C17" s="150" t="s">
        <v>223</v>
      </c>
      <c r="D17" s="152" t="str">
        <f>'Auto Populate (FWCD)'!P9</f>
        <v>0  - Manual Valves</v>
      </c>
      <c r="G17" s="2"/>
      <c r="H17" s="107" t="s">
        <v>181</v>
      </c>
      <c r="I17" s="89" t="s">
        <v>36</v>
      </c>
      <c r="J17" s="113" t="s">
        <v>250</v>
      </c>
      <c r="K17" s="113" t="s">
        <v>250</v>
      </c>
      <c r="L17" s="90">
        <v>717</v>
      </c>
      <c r="M17" s="90">
        <v>717</v>
      </c>
      <c r="N17" s="91">
        <v>108.97</v>
      </c>
      <c r="O17" s="91">
        <v>108.97435897435896</v>
      </c>
      <c r="P17" s="91">
        <v>245.1879487179487</v>
      </c>
      <c r="Q17" s="92">
        <v>350</v>
      </c>
      <c r="R17" s="92">
        <v>250</v>
      </c>
      <c r="S17" s="92"/>
      <c r="T17" s="92">
        <v>45</v>
      </c>
      <c r="U17" s="91">
        <v>2565</v>
      </c>
      <c r="V17" s="91">
        <v>3035</v>
      </c>
      <c r="W17" s="216">
        <v>1940</v>
      </c>
      <c r="AE17" s="87"/>
      <c r="AG17" s="173"/>
      <c r="AH17" s="88"/>
      <c r="AI17" s="88"/>
      <c r="AJ17" s="88"/>
    </row>
    <row r="18" spans="2:43" x14ac:dyDescent="0.25">
      <c r="B18" s="201" t="s">
        <v>165</v>
      </c>
      <c r="C18" s="150" t="s">
        <v>224</v>
      </c>
      <c r="D18" s="152" t="str">
        <f>'Auto Populate (FWCD)'!Q9</f>
        <v>0  - Brazed Plate</v>
      </c>
      <c r="G18" s="2"/>
      <c r="H18" s="108" t="s">
        <v>181</v>
      </c>
      <c r="I18" s="93" t="s">
        <v>37</v>
      </c>
      <c r="J18" s="114" t="s">
        <v>251</v>
      </c>
      <c r="K18" s="114" t="s">
        <v>251</v>
      </c>
      <c r="L18" s="94">
        <v>320</v>
      </c>
      <c r="M18" s="94">
        <v>320</v>
      </c>
      <c r="N18" s="95">
        <v>50.641025641025642</v>
      </c>
      <c r="O18" s="95">
        <v>50.641025641025642</v>
      </c>
      <c r="P18" s="95">
        <v>113.94230769230769</v>
      </c>
      <c r="Q18" s="96">
        <v>150</v>
      </c>
      <c r="R18" s="96">
        <v>125</v>
      </c>
      <c r="S18" s="96"/>
      <c r="T18" s="96">
        <v>45</v>
      </c>
      <c r="U18" s="95">
        <v>2565</v>
      </c>
      <c r="V18" s="95">
        <v>3035</v>
      </c>
      <c r="W18" s="217">
        <v>1940</v>
      </c>
      <c r="AE18" s="87"/>
      <c r="AG18" s="173"/>
      <c r="AH18" s="88"/>
      <c r="AI18" s="88"/>
      <c r="AJ18" s="88"/>
    </row>
    <row r="19" spans="2:43" ht="15.75" thickBot="1" x14ac:dyDescent="0.3">
      <c r="B19" s="258" t="s">
        <v>207</v>
      </c>
      <c r="C19" s="156" t="s">
        <v>288</v>
      </c>
      <c r="D19" s="153" t="str">
        <f>'Auto Populate (FWCD)'!R9</f>
        <v>0  - Water</v>
      </c>
      <c r="H19" s="109" t="s">
        <v>181</v>
      </c>
      <c r="I19" s="97" t="s">
        <v>38</v>
      </c>
      <c r="J19" s="115" t="s">
        <v>252</v>
      </c>
      <c r="K19" s="115" t="s">
        <v>252</v>
      </c>
      <c r="L19" s="98">
        <v>235</v>
      </c>
      <c r="M19" s="98">
        <v>235</v>
      </c>
      <c r="N19" s="99">
        <v>38.46153846153846</v>
      </c>
      <c r="O19" s="99">
        <v>38.46153846153846</v>
      </c>
      <c r="P19" s="99">
        <v>86.538461538461533</v>
      </c>
      <c r="Q19" s="100">
        <v>125</v>
      </c>
      <c r="R19" s="100">
        <v>100</v>
      </c>
      <c r="S19" s="100"/>
      <c r="T19" s="100">
        <v>45</v>
      </c>
      <c r="U19" s="99">
        <v>2565</v>
      </c>
      <c r="V19" s="99">
        <v>3035</v>
      </c>
      <c r="W19" s="218">
        <v>1940</v>
      </c>
      <c r="AE19" s="87"/>
      <c r="AF19" s="44"/>
      <c r="AG19" s="173"/>
      <c r="AH19" s="44"/>
      <c r="AI19" s="44"/>
      <c r="AJ19" s="44"/>
      <c r="AK19" s="44"/>
      <c r="AL19" s="44"/>
      <c r="AM19" s="44"/>
      <c r="AN19" s="44"/>
      <c r="AO19" s="44"/>
      <c r="AP19" s="44"/>
      <c r="AQ19" s="44"/>
    </row>
    <row r="20" spans="2:43" x14ac:dyDescent="0.25">
      <c r="H20" s="107" t="s">
        <v>182</v>
      </c>
      <c r="I20" s="89" t="s">
        <v>36</v>
      </c>
      <c r="J20" s="113" t="s">
        <v>253</v>
      </c>
      <c r="K20" s="113" t="s">
        <v>250</v>
      </c>
      <c r="L20" s="90">
        <v>1010</v>
      </c>
      <c r="M20" s="90">
        <v>717</v>
      </c>
      <c r="N20" s="91">
        <v>121.7948717948718</v>
      </c>
      <c r="O20" s="91">
        <v>108.97435897435896</v>
      </c>
      <c r="P20" s="91">
        <v>261.21794871794873</v>
      </c>
      <c r="Q20" s="101">
        <v>350</v>
      </c>
      <c r="R20" s="101">
        <v>300</v>
      </c>
      <c r="S20" s="101"/>
      <c r="T20" s="101">
        <v>48</v>
      </c>
      <c r="U20" s="91">
        <v>2570</v>
      </c>
      <c r="V20" s="91">
        <v>3035</v>
      </c>
      <c r="W20" s="216">
        <v>1945</v>
      </c>
      <c r="AE20" s="87"/>
    </row>
    <row r="21" spans="2:43" x14ac:dyDescent="0.25">
      <c r="H21" s="108" t="s">
        <v>182</v>
      </c>
      <c r="I21" s="93" t="s">
        <v>37</v>
      </c>
      <c r="J21" s="114" t="s">
        <v>254</v>
      </c>
      <c r="K21" s="114" t="s">
        <v>251</v>
      </c>
      <c r="L21" s="94">
        <v>344</v>
      </c>
      <c r="M21" s="94">
        <v>320</v>
      </c>
      <c r="N21" s="95">
        <v>67.948717948717942</v>
      </c>
      <c r="O21" s="95">
        <v>50.641025641025642</v>
      </c>
      <c r="P21" s="95">
        <v>135.57692307692309</v>
      </c>
      <c r="Q21" s="102">
        <v>200</v>
      </c>
      <c r="R21" s="102">
        <v>150</v>
      </c>
      <c r="S21" s="102"/>
      <c r="T21" s="102">
        <v>48</v>
      </c>
      <c r="U21" s="95">
        <v>2570</v>
      </c>
      <c r="V21" s="95">
        <v>3035</v>
      </c>
      <c r="W21" s="217">
        <v>1945</v>
      </c>
      <c r="AE21" s="87"/>
    </row>
    <row r="22" spans="2:43" ht="16.5" thickBot="1" x14ac:dyDescent="0.3">
      <c r="B22"/>
      <c r="C22" s="316" t="s">
        <v>225</v>
      </c>
      <c r="D22" s="316"/>
      <c r="H22" s="109" t="s">
        <v>182</v>
      </c>
      <c r="I22" s="97" t="s">
        <v>38</v>
      </c>
      <c r="J22" s="114" t="s">
        <v>255</v>
      </c>
      <c r="K22" s="114" t="s">
        <v>252</v>
      </c>
      <c r="L22" s="94">
        <v>327</v>
      </c>
      <c r="M22" s="94">
        <v>235</v>
      </c>
      <c r="N22" s="95">
        <v>45.512820512820511</v>
      </c>
      <c r="O22" s="95">
        <v>38.46153846153846</v>
      </c>
      <c r="P22" s="95">
        <v>95.352564102564102</v>
      </c>
      <c r="Q22" s="102">
        <v>125</v>
      </c>
      <c r="R22" s="102">
        <v>110</v>
      </c>
      <c r="S22" s="102"/>
      <c r="T22" s="102">
        <v>48</v>
      </c>
      <c r="U22" s="95">
        <v>2570</v>
      </c>
      <c r="V22" s="95">
        <v>3035</v>
      </c>
      <c r="W22" s="217">
        <v>1945</v>
      </c>
      <c r="AE22" s="87"/>
    </row>
    <row r="23" spans="2:43" x14ac:dyDescent="0.25">
      <c r="B23" s="82" t="s">
        <v>151</v>
      </c>
      <c r="C23" s="148" t="s">
        <v>210</v>
      </c>
      <c r="D23" s="149" t="str">
        <f>'Auto Populate (CICD)'!C$9</f>
        <v>CICD</v>
      </c>
      <c r="G23" s="212"/>
      <c r="H23" s="107" t="s">
        <v>324</v>
      </c>
      <c r="I23" s="89" t="s">
        <v>36</v>
      </c>
      <c r="J23" s="214" t="s">
        <v>253</v>
      </c>
      <c r="K23" s="113" t="s">
        <v>253</v>
      </c>
      <c r="L23" s="90">
        <v>1010</v>
      </c>
      <c r="M23" s="90">
        <v>1010</v>
      </c>
      <c r="N23" s="91">
        <v>121.7948717948718</v>
      </c>
      <c r="O23" s="91">
        <v>121.7948717948718</v>
      </c>
      <c r="P23" s="91">
        <v>274</v>
      </c>
      <c r="Q23" s="101">
        <v>350</v>
      </c>
      <c r="R23" s="101">
        <v>300</v>
      </c>
      <c r="S23" s="101"/>
      <c r="T23" s="101">
        <v>56</v>
      </c>
      <c r="U23" s="91">
        <v>2860</v>
      </c>
      <c r="V23" s="91" t="s">
        <v>106</v>
      </c>
      <c r="W23" s="216">
        <v>2152</v>
      </c>
      <c r="Y23" s="213">
        <v>1902</v>
      </c>
      <c r="Z23" s="87"/>
      <c r="AB23" s="87"/>
      <c r="AC23" s="87"/>
      <c r="AD23" s="87"/>
      <c r="AE23" s="87"/>
    </row>
    <row r="24" spans="2:43" x14ac:dyDescent="0.25">
      <c r="B24" s="44" t="s">
        <v>152</v>
      </c>
      <c r="C24" s="150" t="s">
        <v>211</v>
      </c>
      <c r="D24" s="151" t="str">
        <f>'Auto Populate (CICD)'!D$9</f>
        <v>055</v>
      </c>
      <c r="G24" s="212"/>
      <c r="H24" s="108" t="s">
        <v>324</v>
      </c>
      <c r="I24" s="93" t="s">
        <v>37</v>
      </c>
      <c r="J24" s="114" t="s">
        <v>254</v>
      </c>
      <c r="K24" s="114" t="s">
        <v>254</v>
      </c>
      <c r="L24" s="94">
        <v>344</v>
      </c>
      <c r="M24" s="94">
        <v>344</v>
      </c>
      <c r="N24" s="95">
        <v>67.948717948717942</v>
      </c>
      <c r="O24" s="95">
        <v>67.948717948717942</v>
      </c>
      <c r="P24" s="95">
        <v>153</v>
      </c>
      <c r="Q24" s="102">
        <v>200</v>
      </c>
      <c r="R24" s="102">
        <v>175</v>
      </c>
      <c r="S24" s="102"/>
      <c r="T24" s="102">
        <v>56</v>
      </c>
      <c r="U24" s="95">
        <v>2860</v>
      </c>
      <c r="V24" s="95" t="s">
        <v>106</v>
      </c>
      <c r="W24" s="217">
        <v>2152</v>
      </c>
      <c r="AB24" s="87"/>
      <c r="AC24" s="87"/>
      <c r="AD24" s="87"/>
      <c r="AE24" s="87"/>
    </row>
    <row r="25" spans="2:43" ht="15.75" thickBot="1" x14ac:dyDescent="0.3">
      <c r="B25" t="s">
        <v>153</v>
      </c>
      <c r="C25" s="150" t="s">
        <v>212</v>
      </c>
      <c r="D25" s="152" t="str">
        <f>'Auto Populate (CICD)'!E$9</f>
        <v>F - 460-3-60</v>
      </c>
      <c r="G25" s="212"/>
      <c r="H25" s="215" t="s">
        <v>324</v>
      </c>
      <c r="I25" s="180" t="s">
        <v>38</v>
      </c>
      <c r="J25" s="116" t="s">
        <v>255</v>
      </c>
      <c r="K25" s="116" t="s">
        <v>255</v>
      </c>
      <c r="L25" s="103">
        <v>327</v>
      </c>
      <c r="M25" s="103">
        <v>327</v>
      </c>
      <c r="N25" s="105">
        <v>45.512820512820511</v>
      </c>
      <c r="O25" s="105">
        <v>45.512820512820511</v>
      </c>
      <c r="P25" s="105">
        <v>102</v>
      </c>
      <c r="Q25" s="104">
        <v>125</v>
      </c>
      <c r="R25" s="104">
        <v>125</v>
      </c>
      <c r="S25" s="104"/>
      <c r="T25" s="104">
        <v>56</v>
      </c>
      <c r="U25" s="105">
        <v>2860</v>
      </c>
      <c r="V25" s="105" t="s">
        <v>106</v>
      </c>
      <c r="W25" s="219">
        <v>2152</v>
      </c>
      <c r="X25" s="197"/>
      <c r="Y25" s="155"/>
      <c r="Z25" s="155"/>
      <c r="AB25" s="87"/>
      <c r="AC25" s="87"/>
      <c r="AD25" s="87"/>
      <c r="AE25" s="87"/>
    </row>
    <row r="26" spans="2:43" s="201" customFormat="1" ht="26.25" customHeight="1" thickBot="1" x14ac:dyDescent="0.3">
      <c r="B26" t="s">
        <v>154</v>
      </c>
      <c r="C26" s="150" t="s">
        <v>213</v>
      </c>
      <c r="D26" s="152" t="str">
        <f>'Auto Populate (CICD)'!F$9</f>
        <v>B - Remote Condenser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 s="197"/>
      <c r="Y26" s="155"/>
      <c r="Z26" s="155"/>
      <c r="AB26" s="87"/>
      <c r="AC26" s="87"/>
      <c r="AD26" s="87"/>
      <c r="AE26" s="87"/>
      <c r="AG26" s="47"/>
      <c r="AI26" s="47"/>
      <c r="AJ26" s="47"/>
    </row>
    <row r="27" spans="2:43" ht="30" x14ac:dyDescent="0.25">
      <c r="B27" t="s">
        <v>155</v>
      </c>
      <c r="C27" s="150" t="s">
        <v>214</v>
      </c>
      <c r="D27" s="152" t="str">
        <f>'Auto Populate (CICD)'!G$9</f>
        <v>A - R-410A Scroll</v>
      </c>
      <c r="G27" s="327" t="s">
        <v>316</v>
      </c>
      <c r="H27" s="117" t="s">
        <v>228</v>
      </c>
      <c r="I27" s="118" t="s">
        <v>258</v>
      </c>
      <c r="J27" s="118" t="s">
        <v>229</v>
      </c>
      <c r="K27" s="118" t="s">
        <v>230</v>
      </c>
      <c r="L27" s="118" t="s">
        <v>231</v>
      </c>
      <c r="M27" s="118" t="s">
        <v>232</v>
      </c>
      <c r="N27" s="118" t="s">
        <v>233</v>
      </c>
      <c r="O27" s="118" t="s">
        <v>234</v>
      </c>
      <c r="P27" s="118" t="s">
        <v>235</v>
      </c>
      <c r="Q27" s="118" t="s">
        <v>236</v>
      </c>
      <c r="R27" s="124" t="s">
        <v>237</v>
      </c>
      <c r="S27" s="118" t="s">
        <v>270</v>
      </c>
      <c r="T27" s="118" t="s">
        <v>269</v>
      </c>
      <c r="U27" s="329" t="s">
        <v>262</v>
      </c>
      <c r="V27" s="329"/>
      <c r="W27" s="330"/>
    </row>
    <row r="28" spans="2:43" ht="15.75" customHeight="1" thickBot="1" x14ac:dyDescent="0.3">
      <c r="B28" t="s">
        <v>156</v>
      </c>
      <c r="C28" s="150" t="s">
        <v>215</v>
      </c>
      <c r="D28" s="152" t="str">
        <f>'Auto Populate (CICD)'!H$9</f>
        <v>2  - Dual Circuit</v>
      </c>
      <c r="G28" s="328"/>
      <c r="H28" s="126" t="str">
        <f>D24</f>
        <v>055</v>
      </c>
      <c r="I28" s="120">
        <f>INDEX(AI4:AI7,MATCH(D25,AH4:AH7,0))</f>
        <v>460</v>
      </c>
      <c r="J28" s="119" t="str">
        <f t="array" ref="J28">INDEX(CICD_Comp1,MATCH(1,($H$28=CICD_UNIT_SIZE)*($G$32=CICD_VOLT),0))</f>
        <v>DSH295A4</v>
      </c>
      <c r="K28" s="119" t="str">
        <f t="array" ref="K28">INDEX(CICD_Comp2,MATCH(1,($H$28=CICD_UNIT_SIZE)*($G$32=CICD_VOLT),0))</f>
        <v>DSH295A4</v>
      </c>
      <c r="L28" s="120">
        <f t="array" ref="L28">INDEX(CICD_LRA_1,MATCH(1,($H$28=CICD_UNIT_SIZE)*($G$32=CICD_VOLT),0))</f>
        <v>260</v>
      </c>
      <c r="M28" s="120">
        <f t="array" ref="M28">INDEX(CICD_LRA_2,MATCH(1,($H$28=CICD_UNIT_SIZE)*($G$32=CICD_VOLT),0))</f>
        <v>260</v>
      </c>
      <c r="N28" s="120">
        <f t="array" ref="N28">INDEX(CICD_RLA_1,MATCH(1,($H$28=CICD_UNIT_SIZE)*($G$32=CICD_VOLT),0))</f>
        <v>39.743589743589745</v>
      </c>
      <c r="O28" s="120">
        <f t="array" ref="O28">INDEX(CICD_RLA_2,MATCH(1,($H$28=CICD_UNIT_SIZE)*($G$32=CICD_VOLT),0))</f>
        <v>39.743589743589745</v>
      </c>
      <c r="P28" s="120">
        <f t="array" ref="P28">INDEX(CICD_MCA,MATCH(1,($H$28=CICD_UNIT_SIZE)*($G$32=CICD_VOLT),0))</f>
        <v>89.423076923076934</v>
      </c>
      <c r="Q28" s="120">
        <f t="array" ref="Q28">INDEX(CICD_MOP,MATCH(1,($H$28=CICD_UNIT_SIZE)*($G$32=CICD_VOLT),0))</f>
        <v>125</v>
      </c>
      <c r="R28" s="125">
        <f t="array" ref="R28">INDEX(CICD_RFS,MATCH(1,($H$28=CICD_UNIT_SIZE)*($G$32=CICD_VOLT),0))</f>
        <v>100</v>
      </c>
      <c r="S28" s="120" t="str">
        <f>IF(G35="YES",IF(G33="Brazed Plate",IF(G34=1,INDEX(CICD_BP_Refr_TOTAL_Charge,MATCH(H28,CICD_UNIT_SIZE,0)),(INDEX(CICD_BP_Refr_TOTAL_Charge,MATCH(H28,CICD_UNIT_SIZE,0))/2)),IF(G34=1,INDEX(CICD_ST_Refr_TOTAL_Charge,MATCH(H28,CICD_UNIT_SIZE,0)),(INDEX(CICD_ST_Refr_TOTAL_Charge,MATCH(H28,CICD_UNIT_SIZE,0))/2))),"NA")</f>
        <v>NA</v>
      </c>
      <c r="T28" s="120" t="str">
        <f>IF(G35="Yes",IF(G33="Brazed Plate",IF(G34=1,"NA",(INDEX(CICD_BP_Refr_TOTAL_Charge,MATCH(H28,CICD_UNIT_SIZE,0))/2)),IF(G34=1,"NA",(INDEX(CICD_ST_Refr_TOTAL_Charge,MATCH(H28,CICD_UNIT_SIZE,0))/2))),"NA")</f>
        <v>NA</v>
      </c>
      <c r="U28" s="123"/>
      <c r="V28" s="123">
        <f>IF(G33="Brazed Plate",INDEX(CICD_WEIGHT_BZPL,MATCH(H28,CICD_UNIT_SIZE,0)),IF(G33="Shell and Tube",INDEX(CICD_WEIGHT_ST,MATCH(H28,CICD_UNIT_SIZE,0)),INDEX(CICD_WEIGHT_Remote_Cond,MATCH(H28,CICD_UNIT_SIZE,0))))</f>
        <v>1545</v>
      </c>
      <c r="W28" s="220"/>
    </row>
    <row r="29" spans="2:43" ht="15.75" thickBot="1" x14ac:dyDescent="0.3">
      <c r="B29" t="s">
        <v>157</v>
      </c>
      <c r="C29" s="150" t="s">
        <v>216</v>
      </c>
      <c r="D29" s="152" t="str">
        <f>'Auto Populate (CICD)'!I$9</f>
        <v>1  - Standard Efficiency</v>
      </c>
      <c r="G29" s="327" t="s">
        <v>317</v>
      </c>
      <c r="H29" s="206" t="str">
        <f>'Auto Populate (FWCD)'!D9</f>
        <v>055</v>
      </c>
      <c r="I29" s="209">
        <f>INDEX(AI4:AI7,MATCH(D6,AH4:AH7,0))</f>
        <v>230</v>
      </c>
      <c r="J29" s="208" t="str">
        <f t="array" ref="J29">INDEX(CICD_Comp1,MATCH(1,($H$29=CICD_UNIT_SIZE)*($G$38=CICD_VOLT),0))</f>
        <v>DSH295A3</v>
      </c>
      <c r="K29" s="208" t="str">
        <f t="array" ref="K29">INDEX(CICD_Comp2,MATCH(1,($H$29=CICD_UNIT_SIZE)*($G$38=CICD_VOLT),0))</f>
        <v>DSH295A3</v>
      </c>
      <c r="L29" s="209">
        <f t="array" ref="L29">INDEX(CICD_LRA_1,MATCH(1,($H$29=CICD_UNIT_SIZE)*($G$38=CICD_VOLT),0))</f>
        <v>560</v>
      </c>
      <c r="M29" s="209">
        <f t="array" ref="M29">INDEX(CICD_LRA_2,MATCH(1,($H$29=CICD_UNIT_SIZE)*($G$38=CICD_VOLT),0))</f>
        <v>560</v>
      </c>
      <c r="N29" s="209">
        <f t="array" ref="N29">INDEX(CICD_RLA_1,MATCH(1,($H$29=CICD_UNIT_SIZE)*($G$38=CICD_VOLT),0))</f>
        <v>82.051282051282044</v>
      </c>
      <c r="O29" s="209">
        <f t="array" ref="O29">INDEX(CICD_RLA_2,MATCH(1,($H$29=CICD_UNIT_SIZE)*($G$38=CICD_VOLT),0))</f>
        <v>82.051282051282044</v>
      </c>
      <c r="P29" s="209">
        <f t="array" ref="P29">INDEX(CICD_MCA,MATCH(1,($H$29=CICD_UNIT_SIZE)*($G$38=CICD_VOLT),0))</f>
        <v>184.61538461538458</v>
      </c>
      <c r="Q29" s="209">
        <f t="array" ref="Q29">INDEX(CICD_MOP,MATCH(1,($H$29=CICD_UNIT_SIZE)*($G$38=CICD_VOLT),0))</f>
        <v>250</v>
      </c>
      <c r="R29" s="210">
        <f t="array" ref="R29">INDEX(CICD_RFS,MATCH(1,($H$29=CICD_UNIT_SIZE)*($G$38=CICD_VOLT),0))</f>
        <v>225</v>
      </c>
      <c r="S29" s="120">
        <f>IF(G41="YES",IF(G39="Brazed Plate",IF(G40=1,INDEX(CICD_BP_Refr_TOTAL_Charge,MATCH(H29,CICD_UNIT_SIZE,0)),(INDEX(CICD_BP_Refr_TOTAL_Charge,MATCH(H29,CICD_UNIT_SIZE,0))/2)),IF(G40=1,INDEX(CICD_ST_Refr_TOTAL_Charge,MATCH(H29,CICD_UNIT_SIZE,0)),(INDEX(CICD_ST_Refr_TOTAL_Charge,MATCH(H29,CICD_UNIT_SIZE,0))/2))),"NA")</f>
        <v>15.5</v>
      </c>
      <c r="T29" s="120">
        <f>IF(G41="Yes",IF(G39="Brazed Plate",IF(G40=1,"NA",(INDEX(CICD_BP_Refr_TOTAL_Charge,MATCH(H29,CICD_UNIT_SIZE,0))/2)),IF(G40=1,"NA",(INDEX(CICD_ST_Refr_TOTAL_Charge,MATCH(H29,CICD_UNIT_SIZE,0))/2))),"NA")</f>
        <v>15.5</v>
      </c>
      <c r="U29" s="207"/>
      <c r="V29" s="207">
        <f t="array" ref="V29">IF(G39="Brazed Plate",INDEX(CICD_WEIGHT_BZPL,MATCH(H29,CICD_UNIT_SIZE,0)),IF(G39="Shell and Tube",INDEX(CICD_WEIGHT_ST,MATCH(H29,CICD_UNIT_SIZE,0)),INDEX(CICD_WEIGHT_Remote_Cond,MATCH(H29,CICD_UNIT_SIZE,0))))</f>
        <v>2065</v>
      </c>
      <c r="W29" s="211"/>
    </row>
    <row r="30" spans="2:43" ht="15.75" thickBot="1" x14ac:dyDescent="0.3">
      <c r="B30" t="s">
        <v>158</v>
      </c>
      <c r="C30" s="150" t="s">
        <v>217</v>
      </c>
      <c r="D30" s="152" t="str">
        <f>'Auto Populate (CICD)'!J$9</f>
        <v>0 - Factory Assigned</v>
      </c>
      <c r="G30" s="328"/>
      <c r="H30" s="47"/>
    </row>
    <row r="31" spans="2:43" ht="15.75" thickBot="1" x14ac:dyDescent="0.3">
      <c r="B31" t="s">
        <v>159</v>
      </c>
      <c r="C31" s="150" t="s">
        <v>218</v>
      </c>
      <c r="D31" s="152" t="str">
        <f>'Auto Populate (CICD)'!K$9</f>
        <v xml:space="preserve">0  - Non-Array System </v>
      </c>
      <c r="G31" s="127" t="s">
        <v>266</v>
      </c>
      <c r="J31" s="147"/>
      <c r="K31" s="325" t="s">
        <v>318</v>
      </c>
      <c r="L31" s="325"/>
      <c r="O31" s="325" t="s">
        <v>319</v>
      </c>
      <c r="P31" s="325"/>
      <c r="U31" s="168" t="s">
        <v>281</v>
      </c>
      <c r="V31" s="317" t="s">
        <v>282</v>
      </c>
      <c r="W31" s="318"/>
    </row>
    <row r="32" spans="2:43" x14ac:dyDescent="0.25">
      <c r="B32" t="s">
        <v>160</v>
      </c>
      <c r="C32" s="150" t="s">
        <v>219</v>
      </c>
      <c r="D32" s="152" t="str">
        <f>'Auto Populate (CICD)'!L$9</f>
        <v>0  - Brazed Plate</v>
      </c>
      <c r="F32" s="1" t="s">
        <v>21</v>
      </c>
      <c r="G32" s="128" t="str">
        <f>INDEX(AJ4:AJ7,MATCH(D25,AH4:AH7,0))</f>
        <v>460/3/60</v>
      </c>
      <c r="J32" s="147"/>
      <c r="K32" s="164" t="s">
        <v>283</v>
      </c>
      <c r="L32" s="335"/>
      <c r="M32" s="9"/>
      <c r="O32" s="164" t="s">
        <v>283</v>
      </c>
      <c r="P32" s="335"/>
      <c r="U32" s="5"/>
      <c r="V32" s="319"/>
      <c r="W32" s="320"/>
    </row>
    <row r="33" spans="2:23" x14ac:dyDescent="0.25">
      <c r="B33" t="s">
        <v>161</v>
      </c>
      <c r="C33" s="150" t="s">
        <v>220</v>
      </c>
      <c r="D33" s="152" t="str">
        <f>'Auto Populate (CICD)'!M$9</f>
        <v>0  - Water</v>
      </c>
      <c r="F33" s="1" t="s">
        <v>177</v>
      </c>
      <c r="G33" s="128" t="str">
        <f>INDEX(AY4:AY6,MATCH(D37,AX4:AX6,0))</f>
        <v>Remote Condenser</v>
      </c>
      <c r="J33" s="147"/>
      <c r="K33" s="165" t="s">
        <v>284</v>
      </c>
      <c r="L33" s="336"/>
      <c r="M33" s="9"/>
      <c r="O33" s="165" t="s">
        <v>284</v>
      </c>
      <c r="P33" s="336"/>
      <c r="U33" s="6"/>
      <c r="V33" s="321"/>
      <c r="W33" s="322"/>
    </row>
    <row r="34" spans="2:23" ht="15.75" thickBot="1" x14ac:dyDescent="0.3">
      <c r="B34" t="s">
        <v>162</v>
      </c>
      <c r="C34" s="150" t="s">
        <v>221</v>
      </c>
      <c r="D34" s="152" t="str">
        <f>'Auto Populate (CICD)'!N$9</f>
        <v>0  - Constant Flow Primary</v>
      </c>
      <c r="F34" s="1" t="s">
        <v>267</v>
      </c>
      <c r="G34" s="121">
        <f>INDEX(AO4:AO5,MATCH(D28,AN4:AN5,0))</f>
        <v>2</v>
      </c>
      <c r="J34" s="147"/>
      <c r="K34" s="157" t="s">
        <v>285</v>
      </c>
      <c r="L34" s="159">
        <f>IF(AND(G33="Shell and Tube",G34=1),"NA",IF(G34=K37,M42,M53))</f>
        <v>710</v>
      </c>
      <c r="M34" s="9"/>
      <c r="O34" s="157" t="s">
        <v>285</v>
      </c>
      <c r="P34" s="159">
        <f>IF(AND(G39="Shell and Tube",G40=1),"NA",IF(G40=K37,M42,M53))</f>
        <v>710</v>
      </c>
    </row>
    <row r="35" spans="2:23" ht="15.75" thickBot="1" x14ac:dyDescent="0.3">
      <c r="B35" t="s">
        <v>163</v>
      </c>
      <c r="C35" s="150" t="s">
        <v>222</v>
      </c>
      <c r="D35" s="152" t="str">
        <f>'Auto Populate (CICD)'!O$9</f>
        <v>0  - Standard Cooling</v>
      </c>
      <c r="F35" s="174" t="s">
        <v>296</v>
      </c>
      <c r="G35" s="175" t="str">
        <f>INDEX(AL4:AL6,MATCH(D26,AK4:AK6,0))</f>
        <v>No</v>
      </c>
      <c r="J35" s="147"/>
      <c r="K35" s="158" t="s">
        <v>286</v>
      </c>
      <c r="L35" s="160" t="str">
        <f>IF(AND(G33=K38,G34=K37),N42,IF(AND(G33=K49,G34=K48),N53,IF(AND(G33=K60,G34=K59,H28=J64),N64,IF(AND(G33=K60,G34=K59),N65,"NA"))))</f>
        <v>NA</v>
      </c>
      <c r="M35" s="9"/>
      <c r="O35" s="158" t="s">
        <v>286</v>
      </c>
      <c r="P35" s="160">
        <f>IF(AND(G39=K38,G40=K37),N42,IF(AND(G39=K49,G40=K48),N53,IF(AND(G39=K60,G40=K59,H28=J64),N64,IF(AND(G39=K60,G40=K59),N65,"NA"))))</f>
        <v>652</v>
      </c>
    </row>
    <row r="36" spans="2:23" ht="15.75" thickBot="1" x14ac:dyDescent="0.3">
      <c r="B36" t="s">
        <v>164</v>
      </c>
      <c r="C36" s="150" t="s">
        <v>223</v>
      </c>
      <c r="D36" s="152" t="str">
        <f>'Auto Populate (CICD)'!P$9</f>
        <v>0  - Manual Valves</v>
      </c>
      <c r="F36" s="174" t="s">
        <v>300</v>
      </c>
      <c r="G36" s="175" t="str">
        <f>IF(D26=AK4,"Yes","No")</f>
        <v>No</v>
      </c>
      <c r="L36" s="147"/>
    </row>
    <row r="37" spans="2:23" ht="15.75" thickBot="1" x14ac:dyDescent="0.3">
      <c r="B37" t="s">
        <v>165</v>
      </c>
      <c r="C37" s="150" t="s">
        <v>224</v>
      </c>
      <c r="D37" s="152" t="str">
        <f>'Auto Populate (CICD)'!Q$9</f>
        <v>5  - Remote Condenser</v>
      </c>
      <c r="J37" s="162" t="s">
        <v>169</v>
      </c>
      <c r="K37" s="139">
        <v>1</v>
      </c>
      <c r="L37" s="147"/>
      <c r="M37" s="147"/>
      <c r="N37" s="147"/>
    </row>
    <row r="38" spans="2:23" ht="15.75" thickBot="1" x14ac:dyDescent="0.3">
      <c r="B38" s="258" t="s">
        <v>207</v>
      </c>
      <c r="C38" s="156" t="str">
        <f>AZ2</f>
        <v>Condenser Fluid Type</v>
      </c>
      <c r="D38" s="153" t="str">
        <f>'Auto Populate (CICD)'!R9</f>
        <v>0  - Water</v>
      </c>
      <c r="F38" s="1" t="s">
        <v>21</v>
      </c>
      <c r="G38" s="204" t="str">
        <f>INDEX(AJ4:AJ13,MATCH(D6,AH4:AH13,0))</f>
        <v>200-230/3/60</v>
      </c>
      <c r="J38" s="163" t="s">
        <v>279</v>
      </c>
      <c r="K38" s="18" t="s">
        <v>263</v>
      </c>
      <c r="L38" s="161"/>
      <c r="M38" s="7"/>
      <c r="N38" s="7"/>
    </row>
    <row r="39" spans="2:23" ht="30" x14ac:dyDescent="0.25">
      <c r="F39" s="1" t="s">
        <v>177</v>
      </c>
      <c r="G39" s="128" t="str">
        <f>INDEX(AY4:AY13,MATCH(D18,AX4:AX13,0))</f>
        <v>Brazed Plate</v>
      </c>
      <c r="J39" s="130" t="s">
        <v>227</v>
      </c>
      <c r="K39" s="144" t="s">
        <v>290</v>
      </c>
      <c r="L39" s="144" t="s">
        <v>291</v>
      </c>
      <c r="M39" s="142" t="s">
        <v>292</v>
      </c>
      <c r="N39" s="143" t="s">
        <v>293</v>
      </c>
    </row>
    <row r="40" spans="2:23" ht="15.75" thickBot="1" x14ac:dyDescent="0.3">
      <c r="F40" s="1" t="s">
        <v>267</v>
      </c>
      <c r="G40" s="121">
        <f>INDEX(AO4:AO13,MATCH(D9,AN4:AN13,0))</f>
        <v>2</v>
      </c>
      <c r="J40" s="140"/>
      <c r="K40" s="141" t="s">
        <v>278</v>
      </c>
      <c r="L40" s="141" t="s">
        <v>278</v>
      </c>
      <c r="M40" s="141" t="s">
        <v>278</v>
      </c>
      <c r="N40" s="145" t="s">
        <v>278</v>
      </c>
    </row>
    <row r="41" spans="2:23" ht="15.75" thickBot="1" x14ac:dyDescent="0.3">
      <c r="F41" s="174" t="s">
        <v>296</v>
      </c>
      <c r="G41" s="175" t="str">
        <f>INDEX(AL4:AL13,MATCH(D7,AK4:AK13,0))</f>
        <v>Yes</v>
      </c>
      <c r="J41" s="133" t="s">
        <v>272</v>
      </c>
      <c r="K41" s="131"/>
      <c r="L41" s="131"/>
      <c r="M41" s="131"/>
      <c r="N41" s="132"/>
    </row>
    <row r="42" spans="2:23" ht="15.75" thickBot="1" x14ac:dyDescent="0.3">
      <c r="F42" s="174" t="s">
        <v>300</v>
      </c>
      <c r="G42" s="175" t="str">
        <f>IF(D7=AK4,"Yes","No")</f>
        <v>Yes</v>
      </c>
      <c r="J42" s="133" t="s">
        <v>273</v>
      </c>
      <c r="K42" s="166">
        <v>400</v>
      </c>
      <c r="L42" s="166">
        <v>400</v>
      </c>
      <c r="M42" s="134">
        <v>725</v>
      </c>
      <c r="N42" s="135">
        <v>725</v>
      </c>
    </row>
    <row r="43" spans="2:23" x14ac:dyDescent="0.25">
      <c r="J43" s="133" t="s">
        <v>274</v>
      </c>
      <c r="K43" s="166">
        <v>400</v>
      </c>
      <c r="L43" s="166">
        <v>400</v>
      </c>
      <c r="M43" s="134">
        <v>725</v>
      </c>
      <c r="N43" s="135">
        <v>725</v>
      </c>
    </row>
    <row r="44" spans="2:23" x14ac:dyDescent="0.25">
      <c r="J44" s="133" t="s">
        <v>275</v>
      </c>
      <c r="K44" s="166">
        <v>400</v>
      </c>
      <c r="L44" s="166">
        <v>400</v>
      </c>
      <c r="M44" s="134">
        <v>725</v>
      </c>
      <c r="N44" s="135">
        <v>725</v>
      </c>
    </row>
    <row r="45" spans="2:23" x14ac:dyDescent="0.25">
      <c r="J45" s="133" t="s">
        <v>276</v>
      </c>
      <c r="K45" s="166">
        <v>400</v>
      </c>
      <c r="L45" s="166">
        <v>400</v>
      </c>
      <c r="M45" s="134">
        <v>725</v>
      </c>
      <c r="N45" s="135">
        <v>725</v>
      </c>
    </row>
    <row r="46" spans="2:23" x14ac:dyDescent="0.25">
      <c r="J46" s="136" t="s">
        <v>277</v>
      </c>
      <c r="K46" s="167">
        <v>400</v>
      </c>
      <c r="L46" s="167">
        <v>400</v>
      </c>
      <c r="M46" s="137">
        <v>725</v>
      </c>
      <c r="N46" s="138">
        <v>725</v>
      </c>
    </row>
    <row r="48" spans="2:23" x14ac:dyDescent="0.25">
      <c r="J48" s="162" t="s">
        <v>169</v>
      </c>
      <c r="K48" s="139">
        <v>2</v>
      </c>
      <c r="L48" s="147"/>
      <c r="M48" s="147"/>
      <c r="N48" s="147"/>
    </row>
    <row r="49" spans="10:14" x14ac:dyDescent="0.25">
      <c r="J49" s="163" t="s">
        <v>279</v>
      </c>
      <c r="K49" s="18" t="s">
        <v>263</v>
      </c>
      <c r="L49" s="161"/>
      <c r="M49" s="7"/>
      <c r="N49" s="7"/>
    </row>
    <row r="50" spans="10:14" ht="30" x14ac:dyDescent="0.25">
      <c r="J50" s="130" t="s">
        <v>227</v>
      </c>
      <c r="K50" s="144" t="s">
        <v>290</v>
      </c>
      <c r="L50" s="144" t="s">
        <v>291</v>
      </c>
      <c r="M50" s="142" t="s">
        <v>292</v>
      </c>
      <c r="N50" s="143" t="s">
        <v>293</v>
      </c>
    </row>
    <row r="51" spans="10:14" x14ac:dyDescent="0.25">
      <c r="J51" s="140"/>
      <c r="K51" s="141" t="s">
        <v>278</v>
      </c>
      <c r="L51" s="141" t="s">
        <v>278</v>
      </c>
      <c r="M51" s="141" t="s">
        <v>278</v>
      </c>
      <c r="N51" s="145" t="s">
        <v>278</v>
      </c>
    </row>
    <row r="52" spans="10:14" x14ac:dyDescent="0.25">
      <c r="J52" s="133" t="s">
        <v>272</v>
      </c>
      <c r="K52" s="131"/>
      <c r="L52" s="131"/>
      <c r="M52" s="131"/>
      <c r="N52" s="132"/>
    </row>
    <row r="53" spans="10:14" x14ac:dyDescent="0.25">
      <c r="J53" s="133" t="s">
        <v>273</v>
      </c>
      <c r="K53" s="166">
        <v>333</v>
      </c>
      <c r="L53" s="166">
        <v>362</v>
      </c>
      <c r="M53" s="134">
        <v>710</v>
      </c>
      <c r="N53" s="135">
        <v>652</v>
      </c>
    </row>
    <row r="54" spans="10:14" x14ac:dyDescent="0.25">
      <c r="J54" s="133" t="s">
        <v>274</v>
      </c>
      <c r="K54" s="166">
        <v>333</v>
      </c>
      <c r="L54" s="166">
        <v>362</v>
      </c>
      <c r="M54" s="134">
        <v>710</v>
      </c>
      <c r="N54" s="135">
        <v>652</v>
      </c>
    </row>
    <row r="55" spans="10:14" x14ac:dyDescent="0.25">
      <c r="J55" s="133" t="s">
        <v>275</v>
      </c>
      <c r="K55" s="166">
        <v>333</v>
      </c>
      <c r="L55" s="166">
        <v>362</v>
      </c>
      <c r="M55" s="134">
        <v>710</v>
      </c>
      <c r="N55" s="135">
        <v>652</v>
      </c>
    </row>
    <row r="56" spans="10:14" x14ac:dyDescent="0.25">
      <c r="J56" s="133" t="s">
        <v>276</v>
      </c>
      <c r="K56" s="166">
        <v>333</v>
      </c>
      <c r="L56" s="166">
        <v>362</v>
      </c>
      <c r="M56" s="134">
        <v>710</v>
      </c>
      <c r="N56" s="135">
        <v>652</v>
      </c>
    </row>
    <row r="57" spans="10:14" x14ac:dyDescent="0.25">
      <c r="J57" s="136" t="s">
        <v>277</v>
      </c>
      <c r="K57" s="167">
        <v>333</v>
      </c>
      <c r="L57" s="167">
        <v>362</v>
      </c>
      <c r="M57" s="137">
        <v>710</v>
      </c>
      <c r="N57" s="138">
        <v>652</v>
      </c>
    </row>
    <row r="59" spans="10:14" x14ac:dyDescent="0.25">
      <c r="J59" s="162" t="s">
        <v>169</v>
      </c>
      <c r="K59" s="139">
        <v>2</v>
      </c>
      <c r="L59" s="147"/>
      <c r="M59" s="147"/>
      <c r="N59" s="147"/>
    </row>
    <row r="60" spans="10:14" x14ac:dyDescent="0.25">
      <c r="J60" s="163" t="s">
        <v>279</v>
      </c>
      <c r="K60" s="18" t="s">
        <v>264</v>
      </c>
      <c r="L60" s="161"/>
      <c r="M60" s="7"/>
      <c r="N60" s="7"/>
    </row>
    <row r="61" spans="10:14" ht="30" x14ac:dyDescent="0.25">
      <c r="J61" s="130" t="s">
        <v>227</v>
      </c>
      <c r="K61" s="144" t="s">
        <v>290</v>
      </c>
      <c r="L61" s="144" t="s">
        <v>291</v>
      </c>
      <c r="M61" s="142" t="s">
        <v>292</v>
      </c>
      <c r="N61" s="143" t="s">
        <v>293</v>
      </c>
    </row>
    <row r="62" spans="10:14" x14ac:dyDescent="0.25">
      <c r="J62" s="140"/>
      <c r="K62" s="141" t="s">
        <v>278</v>
      </c>
      <c r="L62" s="141" t="s">
        <v>278</v>
      </c>
      <c r="M62" s="141" t="s">
        <v>278</v>
      </c>
      <c r="N62" s="145" t="s">
        <v>278</v>
      </c>
    </row>
    <row r="63" spans="10:14" x14ac:dyDescent="0.25">
      <c r="J63" s="133" t="s">
        <v>178</v>
      </c>
      <c r="K63" s="131"/>
      <c r="L63" s="131"/>
      <c r="M63" s="131"/>
      <c r="N63" s="132"/>
    </row>
    <row r="64" spans="10:14" x14ac:dyDescent="0.25">
      <c r="J64" s="133" t="s">
        <v>150</v>
      </c>
      <c r="K64" s="166">
        <v>333</v>
      </c>
      <c r="L64" s="166">
        <v>300</v>
      </c>
      <c r="M64" s="134" t="s">
        <v>280</v>
      </c>
      <c r="N64" s="135">
        <v>600</v>
      </c>
    </row>
    <row r="65" spans="10:14" x14ac:dyDescent="0.25">
      <c r="J65" s="133" t="s">
        <v>179</v>
      </c>
      <c r="K65" s="166">
        <v>333</v>
      </c>
      <c r="L65" s="166">
        <v>180</v>
      </c>
      <c r="M65" s="134" t="s">
        <v>280</v>
      </c>
      <c r="N65" s="135">
        <v>650</v>
      </c>
    </row>
    <row r="66" spans="10:14" x14ac:dyDescent="0.25">
      <c r="J66" s="133" t="s">
        <v>180</v>
      </c>
      <c r="K66" s="166">
        <v>333</v>
      </c>
      <c r="L66" s="166">
        <v>180</v>
      </c>
      <c r="M66" s="134" t="s">
        <v>280</v>
      </c>
      <c r="N66" s="135">
        <v>650</v>
      </c>
    </row>
    <row r="67" spans="10:14" x14ac:dyDescent="0.25">
      <c r="J67" s="133" t="s">
        <v>181</v>
      </c>
      <c r="K67" s="166">
        <v>333</v>
      </c>
      <c r="L67" s="166">
        <v>180</v>
      </c>
      <c r="M67" s="134" t="s">
        <v>280</v>
      </c>
      <c r="N67" s="135">
        <v>650</v>
      </c>
    </row>
    <row r="68" spans="10:14" x14ac:dyDescent="0.25">
      <c r="J68" s="136" t="s">
        <v>182</v>
      </c>
      <c r="K68" s="167">
        <v>333</v>
      </c>
      <c r="L68" s="167">
        <v>180</v>
      </c>
      <c r="M68" s="137" t="s">
        <v>280</v>
      </c>
      <c r="N68" s="138">
        <v>650</v>
      </c>
    </row>
  </sheetData>
  <mergeCells count="14">
    <mergeCell ref="V31:W33"/>
    <mergeCell ref="K31:L31"/>
    <mergeCell ref="C22:D22"/>
    <mergeCell ref="AG15:AH15"/>
    <mergeCell ref="AC3:AD3"/>
    <mergeCell ref="G27:G28"/>
    <mergeCell ref="U27:W27"/>
    <mergeCell ref="U3:W3"/>
    <mergeCell ref="S4:T4"/>
    <mergeCell ref="C3:D3"/>
    <mergeCell ref="G29:G30"/>
    <mergeCell ref="O31:P31"/>
    <mergeCell ref="P32:P33"/>
    <mergeCell ref="L32:L33"/>
  </mergeCells>
  <phoneticPr fontId="6" type="noConversion"/>
  <pageMargins left="0.7" right="0.7" top="0.75" bottom="0.75" header="0.3" footer="0.3"/>
  <pageSetup orientation="portrait" horizontalDpi="1200" verticalDpi="1200" r:id="rId1"/>
  <ignoredErrors>
    <ignoredError sqref="H5:H19 J63:J68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2"/>
  <sheetViews>
    <sheetView topLeftCell="D1" workbookViewId="0">
      <selection activeCell="E3" sqref="E3:E4"/>
    </sheetView>
  </sheetViews>
  <sheetFormatPr defaultColWidth="9.140625" defaultRowHeight="15" x14ac:dyDescent="0.25"/>
  <cols>
    <col min="1" max="1" width="10.28515625" style="252" bestFit="1" customWidth="1"/>
    <col min="2" max="2" width="19.42578125" style="252" bestFit="1" customWidth="1"/>
    <col min="3" max="3" width="62.140625" style="252" bestFit="1" customWidth="1"/>
    <col min="4" max="4" width="4.42578125" style="267" customWidth="1"/>
    <col min="5" max="5" width="21.42578125" style="252" customWidth="1"/>
    <col min="6" max="6" width="18.140625" style="252" bestFit="1" customWidth="1"/>
    <col min="7" max="7" width="24.28515625" style="252" customWidth="1"/>
    <col min="8" max="8" width="19.85546875" style="252" bestFit="1" customWidth="1"/>
    <col min="9" max="11" width="13.7109375" style="252" customWidth="1"/>
    <col min="12" max="12" width="13.7109375" style="267" customWidth="1"/>
    <col min="13" max="13" width="10.28515625" style="252" customWidth="1"/>
    <col min="14" max="14" width="15.42578125" style="272" customWidth="1"/>
    <col min="15" max="15" width="21" style="252" bestFit="1" customWidth="1"/>
    <col min="16" max="16" width="11" style="252" customWidth="1"/>
    <col min="17" max="17" width="12" style="252" bestFit="1" customWidth="1"/>
    <col min="18" max="18" width="34.42578125" style="252" bestFit="1" customWidth="1"/>
    <col min="19" max="19" width="62.140625" style="252" bestFit="1" customWidth="1"/>
    <col min="20" max="20" width="26.28515625" style="252" bestFit="1" customWidth="1"/>
    <col min="21" max="21" width="21" style="252" bestFit="1" customWidth="1"/>
    <col min="22" max="22" width="24.7109375" style="252" bestFit="1" customWidth="1"/>
    <col min="23" max="23" width="38.42578125" style="252" bestFit="1" customWidth="1"/>
    <col min="24" max="24" width="52.42578125" style="252" bestFit="1" customWidth="1"/>
    <col min="25" max="25" width="62.42578125" style="252" bestFit="1" customWidth="1"/>
    <col min="26" max="26" width="44" style="252" bestFit="1" customWidth="1"/>
    <col min="27" max="27" width="21.42578125" style="252" bestFit="1" customWidth="1"/>
    <col min="28" max="28" width="34.7109375" style="252" bestFit="1" customWidth="1"/>
    <col min="29" max="29" width="38.42578125" style="252" bestFit="1" customWidth="1"/>
    <col min="30" max="30" width="52.7109375" style="252" bestFit="1" customWidth="1"/>
    <col min="31" max="31" width="53.85546875" style="252" bestFit="1" customWidth="1"/>
    <col min="32" max="32" width="44.28515625" style="252" bestFit="1" customWidth="1"/>
    <col min="33" max="33" width="19" style="252" bestFit="1" customWidth="1"/>
    <col min="34" max="34" width="21" style="252" bestFit="1" customWidth="1"/>
    <col min="35" max="35" width="34.5703125" style="252" bestFit="1" customWidth="1"/>
    <col min="36" max="36" width="37.42578125" style="252" bestFit="1" customWidth="1"/>
    <col min="37" max="37" width="42.5703125" style="252" bestFit="1" customWidth="1"/>
    <col min="38" max="38" width="55.140625" style="252" bestFit="1" customWidth="1"/>
    <col min="39" max="39" width="52.42578125" style="252" bestFit="1" customWidth="1"/>
    <col min="40" max="40" width="30.85546875" style="252" bestFit="1" customWidth="1"/>
    <col min="41" max="41" width="18" style="252" bestFit="1" customWidth="1"/>
    <col min="42" max="42" width="14.140625" style="252" bestFit="1" customWidth="1"/>
    <col min="43" max="16384" width="9.140625" style="252"/>
  </cols>
  <sheetData>
    <row r="1" spans="1:36" ht="15.75" x14ac:dyDescent="0.25">
      <c r="E1" s="106"/>
      <c r="F1" s="106"/>
      <c r="G1" s="106"/>
      <c r="H1" s="106"/>
      <c r="I1" s="106"/>
      <c r="J1" s="106"/>
      <c r="K1" s="106"/>
      <c r="L1" s="106"/>
      <c r="M1" s="106"/>
    </row>
    <row r="2" spans="1:36" ht="30" customHeight="1" thickBot="1" x14ac:dyDescent="0.3">
      <c r="B2" s="316" t="s">
        <v>478</v>
      </c>
      <c r="C2" s="316"/>
      <c r="D2" s="106"/>
      <c r="G2" s="240"/>
      <c r="H2" s="241"/>
      <c r="I2" s="241"/>
      <c r="J2" s="241"/>
      <c r="K2" s="241"/>
      <c r="L2" s="241"/>
      <c r="M2" s="242"/>
      <c r="O2" s="3"/>
      <c r="P2" s="12"/>
      <c r="Q2" s="4" t="s">
        <v>153</v>
      </c>
      <c r="R2" s="12"/>
      <c r="S2" s="4"/>
      <c r="T2" s="12" t="s">
        <v>156</v>
      </c>
      <c r="U2" s="12" t="s">
        <v>157</v>
      </c>
      <c r="V2" s="4"/>
      <c r="W2" s="12"/>
      <c r="X2" s="4"/>
      <c r="Y2" s="4"/>
      <c r="Z2" s="4" t="s">
        <v>162</v>
      </c>
      <c r="AA2" s="12" t="s">
        <v>403</v>
      </c>
      <c r="AB2" s="264" t="s">
        <v>405</v>
      </c>
      <c r="AC2" s="265" t="s">
        <v>407</v>
      </c>
      <c r="AD2" s="16"/>
      <c r="AE2" s="16"/>
      <c r="AF2" s="16"/>
      <c r="AG2" s="12"/>
      <c r="AH2" s="49" t="s">
        <v>347</v>
      </c>
      <c r="AI2" s="266" t="s">
        <v>414</v>
      </c>
      <c r="AJ2" s="49"/>
    </row>
    <row r="3" spans="1:36" ht="30.75" thickBot="1" x14ac:dyDescent="0.3">
      <c r="A3" s="257" t="s">
        <v>488</v>
      </c>
      <c r="B3" s="148" t="s">
        <v>210</v>
      </c>
      <c r="C3" s="149" t="str">
        <f>'Auto Populate (ACCA)'!D9</f>
        <v>S - Stand Alone</v>
      </c>
      <c r="D3" s="40"/>
      <c r="E3" s="323" t="s">
        <v>226</v>
      </c>
      <c r="F3" s="236" t="s">
        <v>335</v>
      </c>
      <c r="G3" s="236" t="s">
        <v>228</v>
      </c>
      <c r="H3" s="236" t="s">
        <v>258</v>
      </c>
      <c r="I3" s="236" t="s">
        <v>235</v>
      </c>
      <c r="J3" s="236" t="s">
        <v>546</v>
      </c>
      <c r="K3" s="236" t="s">
        <v>236</v>
      </c>
      <c r="L3" s="236" t="s">
        <v>552</v>
      </c>
      <c r="M3" s="237" t="s">
        <v>237</v>
      </c>
      <c r="O3" s="6" t="s">
        <v>359</v>
      </c>
      <c r="P3" s="13" t="s">
        <v>18</v>
      </c>
      <c r="Q3" s="7" t="s">
        <v>53</v>
      </c>
      <c r="R3" s="13" t="s">
        <v>395</v>
      </c>
      <c r="S3" s="7" t="s">
        <v>396</v>
      </c>
      <c r="T3" s="15" t="s">
        <v>379</v>
      </c>
      <c r="U3" s="15" t="s">
        <v>380</v>
      </c>
      <c r="V3" s="11" t="s">
        <v>397</v>
      </c>
      <c r="W3" s="15" t="s">
        <v>398</v>
      </c>
      <c r="X3" s="11" t="s">
        <v>399</v>
      </c>
      <c r="Y3" s="11" t="s">
        <v>400</v>
      </c>
      <c r="Z3" s="11" t="s">
        <v>401</v>
      </c>
      <c r="AA3" s="15" t="s">
        <v>402</v>
      </c>
      <c r="AB3" s="15" t="s">
        <v>404</v>
      </c>
      <c r="AC3" s="15" t="s">
        <v>406</v>
      </c>
      <c r="AD3" s="15" t="s">
        <v>408</v>
      </c>
      <c r="AE3" s="15" t="s">
        <v>409</v>
      </c>
      <c r="AF3" s="15" t="s">
        <v>410</v>
      </c>
      <c r="AG3" s="15" t="s">
        <v>411</v>
      </c>
      <c r="AH3" s="50" t="s">
        <v>412</v>
      </c>
      <c r="AI3" s="50" t="s">
        <v>413</v>
      </c>
      <c r="AJ3" s="50" t="s">
        <v>415</v>
      </c>
    </row>
    <row r="4" spans="1:36" ht="15.75" thickBot="1" x14ac:dyDescent="0.3">
      <c r="A4" s="257" t="s">
        <v>152</v>
      </c>
      <c r="B4" s="150" t="s">
        <v>211</v>
      </c>
      <c r="C4" s="205" t="str">
        <f>'Auto Populate (ACCA)'!E9</f>
        <v>050</v>
      </c>
      <c r="D4" s="2"/>
      <c r="E4" s="324"/>
      <c r="F4" s="238" t="str">
        <f>E12</f>
        <v>ACCS - Stand Alone</v>
      </c>
      <c r="G4" s="209" t="str">
        <f>E13</f>
        <v>050</v>
      </c>
      <c r="H4" s="209" t="str">
        <f>INDEX($P$18:$P$21,MATCH(E14,$O$18:$O$21,1))</f>
        <v>200-230/3/60</v>
      </c>
      <c r="I4" s="209">
        <f>1.25*MAX(M7:M10,M14)+(SUM(M7:M10,L14*M14)-MAX(M7:M10,M14))</f>
        <v>184.25</v>
      </c>
      <c r="J4" s="209">
        <f>2.25*MAX(M7:M10,M14)+(SUM(M7:M10,L14*M14)-MAX(M7:M10,M14))</f>
        <v>225.25</v>
      </c>
      <c r="K4" s="209">
        <f>INDEX('General Look Up Tables'!$F$3:$F$43,MATCH(LARGE('General Look Up Tables'!$F$3:$F$43,COUNTIF('General Look Up Tables'!$F$3:$F$43,"&gt; "&amp;J4)+1),'General Look Up Tables'!$F$3:$F$43,0))</f>
        <v>225</v>
      </c>
      <c r="L4" s="209">
        <f>1.75*MAX(M7:M10,M14)+(SUM(M7:M10,L14*M14)-MAX(M7:M10,M14))</f>
        <v>204.75</v>
      </c>
      <c r="M4" s="359">
        <f t="array" ref="M4">INDEX('General Look Up Tables'!$F$3:$F$43,MATCH(MIN(ABS('General Look Up Tables'!$F$3:$F$43-L4)),ABS('General Look Up Tables'!$F$3:$F$43-L4),0))</f>
        <v>200</v>
      </c>
      <c r="O4" s="12" t="s">
        <v>490</v>
      </c>
      <c r="P4" s="262" t="s">
        <v>372</v>
      </c>
      <c r="Q4" s="31" t="s">
        <v>323</v>
      </c>
      <c r="R4" s="12" t="s">
        <v>381</v>
      </c>
      <c r="S4" s="31" t="s">
        <v>526</v>
      </c>
      <c r="T4" s="31" t="s">
        <v>416</v>
      </c>
      <c r="U4" s="31" t="s">
        <v>417</v>
      </c>
      <c r="V4" s="31" t="s">
        <v>187</v>
      </c>
      <c r="W4" s="31" t="s">
        <v>418</v>
      </c>
      <c r="X4" s="31" t="s">
        <v>419</v>
      </c>
      <c r="Y4" s="31" t="s">
        <v>420</v>
      </c>
      <c r="Z4" s="31" t="s">
        <v>421</v>
      </c>
      <c r="AA4" s="31" t="s">
        <v>422</v>
      </c>
      <c r="AB4" s="31" t="s">
        <v>423</v>
      </c>
      <c r="AC4" s="31" t="s">
        <v>424</v>
      </c>
      <c r="AD4" s="31" t="s">
        <v>425</v>
      </c>
      <c r="AE4" s="31" t="s">
        <v>426</v>
      </c>
      <c r="AF4" s="31" t="s">
        <v>424</v>
      </c>
      <c r="AG4" s="51" t="s">
        <v>427</v>
      </c>
      <c r="AH4" s="51" t="s">
        <v>428</v>
      </c>
      <c r="AI4" s="51" t="s">
        <v>424</v>
      </c>
      <c r="AJ4" s="51" t="s">
        <v>429</v>
      </c>
    </row>
    <row r="5" spans="1:36" x14ac:dyDescent="0.25">
      <c r="A5" s="257" t="s">
        <v>153</v>
      </c>
      <c r="B5" s="150" t="s">
        <v>212</v>
      </c>
      <c r="C5" s="152" t="str">
        <f>'Auto Populate (ACCA)'!F9</f>
        <v>B - 230-3-60</v>
      </c>
      <c r="D5" s="2"/>
      <c r="E5" s="47"/>
      <c r="G5" s="47"/>
      <c r="J5" s="9"/>
      <c r="K5" s="9"/>
      <c r="L5" s="9"/>
      <c r="M5" s="9"/>
      <c r="O5" s="14" t="s">
        <v>491</v>
      </c>
      <c r="P5" s="263" t="s">
        <v>373</v>
      </c>
      <c r="Q5" s="16" t="s">
        <v>322</v>
      </c>
      <c r="R5" s="14" t="s">
        <v>382</v>
      </c>
      <c r="S5" s="16" t="s">
        <v>386</v>
      </c>
      <c r="T5" s="16" t="s">
        <v>430</v>
      </c>
      <c r="U5" s="16" t="s">
        <v>431</v>
      </c>
      <c r="V5" s="16"/>
      <c r="W5" s="16" t="s">
        <v>204</v>
      </c>
      <c r="X5" s="16" t="s">
        <v>432</v>
      </c>
      <c r="Y5" s="16" t="s">
        <v>433</v>
      </c>
      <c r="Z5" s="16" t="s">
        <v>434</v>
      </c>
      <c r="AA5" s="16" t="s">
        <v>435</v>
      </c>
      <c r="AB5" s="16" t="s">
        <v>436</v>
      </c>
      <c r="AC5" s="16" t="s">
        <v>437</v>
      </c>
      <c r="AD5" s="16" t="s">
        <v>438</v>
      </c>
      <c r="AE5" s="16" t="s">
        <v>439</v>
      </c>
      <c r="AF5" s="16" t="s">
        <v>440</v>
      </c>
      <c r="AG5" s="17" t="s">
        <v>441</v>
      </c>
      <c r="AH5" s="17" t="s">
        <v>442</v>
      </c>
      <c r="AI5" s="17" t="s">
        <v>443</v>
      </c>
      <c r="AJ5" s="17"/>
    </row>
    <row r="6" spans="1:36" ht="15" customHeight="1" x14ac:dyDescent="0.25">
      <c r="A6" s="257" t="s">
        <v>154</v>
      </c>
      <c r="B6" s="150" t="s">
        <v>213</v>
      </c>
      <c r="C6" s="152" t="str">
        <f>'Auto Populate (ACCA)'!G9</f>
        <v>A - Air-Cooled Chiller</v>
      </c>
      <c r="D6" s="2"/>
      <c r="E6" s="269" t="s">
        <v>312</v>
      </c>
      <c r="F6" s="268"/>
      <c r="H6" s="252" t="s">
        <v>550</v>
      </c>
      <c r="I6" s="252" t="s">
        <v>549</v>
      </c>
      <c r="J6" s="252" t="s">
        <v>548</v>
      </c>
      <c r="K6" s="252" t="s">
        <v>547</v>
      </c>
      <c r="L6" s="267" t="s">
        <v>12</v>
      </c>
      <c r="M6" s="252" t="s">
        <v>14</v>
      </c>
      <c r="O6" s="14" t="s">
        <v>492</v>
      </c>
      <c r="P6" s="263" t="s">
        <v>178</v>
      </c>
      <c r="Q6" s="16" t="s">
        <v>321</v>
      </c>
      <c r="R6" s="14" t="s">
        <v>383</v>
      </c>
      <c r="S6" s="16" t="s">
        <v>387</v>
      </c>
      <c r="T6" s="14"/>
      <c r="U6" s="14" t="s">
        <v>444</v>
      </c>
      <c r="V6" s="16"/>
      <c r="W6" s="14" t="s">
        <v>445</v>
      </c>
      <c r="X6" s="14"/>
      <c r="Y6" s="16" t="s">
        <v>446</v>
      </c>
      <c r="Z6" s="16" t="s">
        <v>447</v>
      </c>
      <c r="AA6" s="16" t="s">
        <v>448</v>
      </c>
      <c r="AB6" s="16"/>
      <c r="AC6" s="14" t="s">
        <v>449</v>
      </c>
      <c r="AD6" s="14" t="s">
        <v>450</v>
      </c>
      <c r="AE6" s="16" t="s">
        <v>451</v>
      </c>
      <c r="AF6" s="16" t="s">
        <v>452</v>
      </c>
      <c r="AG6" s="14" t="s">
        <v>453</v>
      </c>
      <c r="AH6" s="16" t="s">
        <v>454</v>
      </c>
      <c r="AI6" s="16" t="s">
        <v>455</v>
      </c>
      <c r="AJ6" s="16"/>
    </row>
    <row r="7" spans="1:36" ht="15" customHeight="1" x14ac:dyDescent="0.25">
      <c r="A7" s="257" t="s">
        <v>155</v>
      </c>
      <c r="B7" s="150" t="s">
        <v>479</v>
      </c>
      <c r="C7" s="152" t="str">
        <f>'Auto Populate (ACCA)'!H9</f>
        <v>F - Circuit A - Tandem Compressors; Circuit B - Tandem Compressors</v>
      </c>
      <c r="D7" s="2"/>
      <c r="E7" s="344" t="s">
        <v>282</v>
      </c>
      <c r="F7" s="268"/>
      <c r="G7" s="347" t="s">
        <v>500</v>
      </c>
      <c r="H7" s="347" t="str">
        <f>CONCATENATE(IF(OR($E$16=P23,$E$16=P24,$E$16=P25),"Single ",""),(IF(OR($E$16=P23,$E$16=P26,$E$16=P23),"Single",IF(OR($E$16=P24,$E$16=P27,$E$16=P28),"Tandem",IF(OR($E$16=P25,$E$16=P29,$E$16=P30,$E$16=P31),"Variable")))))</f>
        <v>Tandem</v>
      </c>
      <c r="I7" s="252" t="s">
        <v>13</v>
      </c>
      <c r="J7" s="252" t="str">
        <f t="array" ref="J7">INDEX($I$14:$I$52,MATCH(1,(E13=G14:G52)*(H7=H14:H52),0))</f>
        <v>DSH140A</v>
      </c>
      <c r="K7" s="272" t="str">
        <f>IF(NOT(OR(J7="N/A",J7="")),CONCATENATE(J7,VLOOKUP($E$14,$O$18:$S$21,IF(LEFT(J7)="D",4,5))),"")</f>
        <v>DSH140A3</v>
      </c>
      <c r="L7" s="267">
        <f>IF($K7="","",VLOOKUP($K7,'General Look Up Tables'!$B$3:$D$37,2,FALSE))</f>
        <v>304</v>
      </c>
      <c r="M7" s="272">
        <f>IF($K7="","",ROUND(VLOOKUP($K7,'General Look Up Tables'!$B$3:$D$37,3,FALSE),1))</f>
        <v>41</v>
      </c>
      <c r="O7" s="14" t="s">
        <v>493</v>
      </c>
      <c r="P7" s="263" t="s">
        <v>374</v>
      </c>
      <c r="Q7" s="16" t="s">
        <v>320</v>
      </c>
      <c r="R7" s="14" t="s">
        <v>384</v>
      </c>
      <c r="S7" s="14" t="s">
        <v>388</v>
      </c>
      <c r="T7" s="14"/>
      <c r="U7" s="14"/>
      <c r="V7" s="14"/>
      <c r="W7" s="14" t="s">
        <v>456</v>
      </c>
      <c r="X7" s="14"/>
      <c r="Y7" s="14"/>
      <c r="Z7" s="16" t="s">
        <v>457</v>
      </c>
      <c r="AA7" s="16" t="s">
        <v>458</v>
      </c>
      <c r="AB7" s="14"/>
      <c r="AC7" s="14"/>
      <c r="AD7" s="14" t="s">
        <v>459</v>
      </c>
      <c r="AE7" s="16" t="s">
        <v>460</v>
      </c>
      <c r="AF7" s="14" t="s">
        <v>461</v>
      </c>
      <c r="AG7" s="14" t="s">
        <v>462</v>
      </c>
      <c r="AH7" s="16"/>
      <c r="AI7" s="16" t="s">
        <v>463</v>
      </c>
      <c r="AJ7" s="16"/>
    </row>
    <row r="8" spans="1:36" ht="15" customHeight="1" x14ac:dyDescent="0.25">
      <c r="A8" s="252" t="s">
        <v>156</v>
      </c>
      <c r="B8" s="150" t="s">
        <v>480</v>
      </c>
      <c r="C8" s="152" t="str">
        <f>'Auto Populate (ACCA)'!I9</f>
        <v>0 - R-410A</v>
      </c>
      <c r="D8" s="2"/>
      <c r="E8" s="345"/>
      <c r="F8" s="268"/>
      <c r="G8" s="347"/>
      <c r="H8" s="347"/>
      <c r="I8" s="267" t="str">
        <f>IF(H9="None","Comp. #2",IF(OR(H7="Variable",H7="Single"),"","Comp. #3"))</f>
        <v>Comp. #3</v>
      </c>
      <c r="J8" s="252" t="str">
        <f t="array" ref="J8">IF(H7="Tandem",INDEX($I$14:$I$52,MATCH(1,(E13=G14:G52)*(H7=H14:H52),0)),IF(H7="Single Tandem",INDEX($I$14:$I$52,MATCH(1,(E13=G14:G52)*(H7=H14:H52),0)),""))</f>
        <v>DSH140A</v>
      </c>
      <c r="K8" s="272" t="str">
        <f t="shared" ref="K8:K10" si="0">IF(NOT(OR(J8="N/A",J8="")),CONCATENATE(J8,VLOOKUP($E$14,$O$18:$S$21,IF(LEFT(J8)="D",4,5))),"")</f>
        <v>DSH140A3</v>
      </c>
      <c r="L8" s="272">
        <f>IF($K8="","",VLOOKUP($K8,'General Look Up Tables'!$B$3:$D$37,2,FALSE))</f>
        <v>304</v>
      </c>
      <c r="M8" s="272">
        <f>IF($K8="","",ROUND(VLOOKUP($K8,'General Look Up Tables'!$B$3:$D$37,3,FALSE),1))</f>
        <v>41</v>
      </c>
      <c r="O8" s="14"/>
      <c r="P8" s="263" t="s">
        <v>150</v>
      </c>
      <c r="Q8" s="14"/>
      <c r="R8" s="14" t="s">
        <v>385</v>
      </c>
      <c r="S8" s="14" t="s">
        <v>389</v>
      </c>
      <c r="T8" s="14"/>
      <c r="U8" s="14"/>
      <c r="V8" s="14"/>
      <c r="W8" s="14" t="s">
        <v>464</v>
      </c>
      <c r="X8" s="14"/>
      <c r="Y8" s="14"/>
      <c r="Z8" s="14" t="s">
        <v>465</v>
      </c>
      <c r="AA8" s="16"/>
      <c r="AB8" s="14"/>
      <c r="AC8" s="14"/>
      <c r="AD8" s="14" t="s">
        <v>466</v>
      </c>
      <c r="AE8" s="14"/>
      <c r="AF8" s="16" t="s">
        <v>467</v>
      </c>
      <c r="AG8" s="14"/>
      <c r="AH8" s="16"/>
      <c r="AI8" s="16" t="s">
        <v>468</v>
      </c>
      <c r="AJ8" s="16"/>
    </row>
    <row r="9" spans="1:36" x14ac:dyDescent="0.25">
      <c r="A9" s="252" t="s">
        <v>157</v>
      </c>
      <c r="B9" s="150" t="s">
        <v>481</v>
      </c>
      <c r="C9" s="152" t="str">
        <f>'Auto Populate (ACCA)'!J9</f>
        <v>0 - Standard Efficiency</v>
      </c>
      <c r="D9" s="2"/>
      <c r="E9" s="346"/>
      <c r="F9" s="44"/>
      <c r="G9" s="347" t="s">
        <v>501</v>
      </c>
      <c r="H9" s="347" t="str">
        <f>IF(OR($E$16=P26,$E$16=P27,$E$16=P29),"Single",IF(OR($E$16=P28,$E$16=P30),"Tandem",IF($E$16=P31,"Variable","None")))</f>
        <v>Tandem</v>
      </c>
      <c r="I9" s="267" t="str">
        <f>IF(H9="None","","Comp. #2")</f>
        <v>Comp. #2</v>
      </c>
      <c r="J9" s="252" t="str">
        <f t="array" ref="J9">IF(E13="070",IF(H9="None","",INDEX($J$14:$J$52,MATCH(1,(E13=G14:G52)*(H9=H14:H52),0))),IF(H9="None","",INDEX($I$14:$I$52,MATCH(1,(E13=G14:G52)*(H9=H14:H52),0))))</f>
        <v>DSH140A</v>
      </c>
      <c r="K9" s="272" t="str">
        <f t="shared" si="0"/>
        <v>DSH140A3</v>
      </c>
      <c r="L9" s="272">
        <f>IF($K9="","",VLOOKUP($K9,'General Look Up Tables'!$B$3:$D$37,2,FALSE))</f>
        <v>304</v>
      </c>
      <c r="M9" s="272">
        <f>IF($K9="","",ROUND(VLOOKUP($K9,'General Look Up Tables'!$B$3:$D$37,3,FALSE),1))</f>
        <v>41</v>
      </c>
      <c r="O9" s="14"/>
      <c r="P9" s="263" t="s">
        <v>375</v>
      </c>
      <c r="Q9" s="14"/>
      <c r="R9" s="14"/>
      <c r="S9" s="14" t="s">
        <v>390</v>
      </c>
      <c r="T9" s="14"/>
      <c r="U9" s="14"/>
      <c r="V9" s="14"/>
      <c r="W9" s="14" t="s">
        <v>469</v>
      </c>
      <c r="X9" s="14"/>
      <c r="Y9" s="14"/>
      <c r="Z9" s="14" t="s">
        <v>470</v>
      </c>
      <c r="AA9" s="14"/>
      <c r="AB9" s="14"/>
      <c r="AC9" s="14"/>
      <c r="AD9" s="14" t="s">
        <v>471</v>
      </c>
      <c r="AE9" s="14"/>
      <c r="AF9" s="14" t="s">
        <v>472</v>
      </c>
      <c r="AG9" s="14"/>
      <c r="AH9" s="16"/>
      <c r="AI9" s="16" t="s">
        <v>473</v>
      </c>
      <c r="AJ9" s="16"/>
    </row>
    <row r="10" spans="1:36" ht="15.75" thickBot="1" x14ac:dyDescent="0.3">
      <c r="A10" s="252" t="s">
        <v>158</v>
      </c>
      <c r="B10" s="150" t="s">
        <v>217</v>
      </c>
      <c r="C10" s="152" t="str">
        <f>'Auto Populate (ACCA)'!K9</f>
        <v>0 - Factory Assigned</v>
      </c>
      <c r="D10" s="2"/>
      <c r="G10" s="347"/>
      <c r="H10" s="347"/>
      <c r="I10" s="267" t="str">
        <f>IF(OR(H9="None",H9="Single"),"",IF(H7="Variable","Comp. #3","Comp. #4"))</f>
        <v>Comp. #4</v>
      </c>
      <c r="J10" s="267" t="str">
        <f t="array" ref="J10">IF(E13="070",IF(H9="Tandem",INDEX($J$14:$J$52,MATCH(1,($E$13=$G$14:G52)*(H9=$H$14:H52),0)),""),IF(H9="Tandem",INDEX($I$14:$I$52,MATCH(1,($E$13=$G$14:G52)*(H9=$H$14:H52),0)),""))</f>
        <v>DSH140A</v>
      </c>
      <c r="K10" s="272" t="str">
        <f t="shared" si="0"/>
        <v>DSH140A3</v>
      </c>
      <c r="L10" s="272">
        <f>IF($K10="","",VLOOKUP($K10,'General Look Up Tables'!$B$3:$D$37,2,FALSE))</f>
        <v>304</v>
      </c>
      <c r="M10" s="272">
        <f>IF($K10="","",ROUND(VLOOKUP($K10,'General Look Up Tables'!$B$3:$D$37,3,FALSE),1))</f>
        <v>41</v>
      </c>
      <c r="O10" s="14"/>
      <c r="P10" s="263" t="s">
        <v>369</v>
      </c>
      <c r="Q10" s="14"/>
      <c r="R10" s="14"/>
      <c r="S10" s="14" t="s">
        <v>391</v>
      </c>
      <c r="T10" s="14"/>
      <c r="U10" s="14"/>
      <c r="V10" s="14"/>
      <c r="W10" s="14" t="s">
        <v>474</v>
      </c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6"/>
      <c r="AI10" s="16"/>
      <c r="AJ10" s="16"/>
    </row>
    <row r="11" spans="1:36" ht="15.75" thickBot="1" x14ac:dyDescent="0.3">
      <c r="A11" s="252" t="s">
        <v>159</v>
      </c>
      <c r="B11" s="150" t="s">
        <v>482</v>
      </c>
      <c r="C11" s="152" t="str">
        <f>'Auto Populate (ACCA)'!L9</f>
        <v>0 - Brazed Plate</v>
      </c>
      <c r="D11" s="2"/>
      <c r="E11" s="204" t="s">
        <v>266</v>
      </c>
      <c r="F11" s="253"/>
      <c r="O11" s="14"/>
      <c r="P11" s="263" t="s">
        <v>376</v>
      </c>
      <c r="Q11" s="14"/>
      <c r="R11" s="14"/>
      <c r="S11" s="14" t="s">
        <v>392</v>
      </c>
      <c r="T11" s="14"/>
      <c r="U11" s="14"/>
      <c r="V11" s="14"/>
      <c r="W11" s="14" t="s">
        <v>475</v>
      </c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</row>
    <row r="12" spans="1:36" ht="15.75" thickBot="1" x14ac:dyDescent="0.3">
      <c r="A12" s="252" t="s">
        <v>160</v>
      </c>
      <c r="B12" s="150" t="s">
        <v>222</v>
      </c>
      <c r="C12" s="152" t="str">
        <f>'Auto Populate (ACCA)'!M9</f>
        <v>0 - Standard Cooling 40 to 65°F [4.4 to 18.3°C]</v>
      </c>
      <c r="D12" s="2"/>
      <c r="E12" s="204" t="str">
        <f>CONCATENATE('Auto Populate (ACCA)'!C9,'Auto Populate (ACCA)'!D9)</f>
        <v>ACCS - Stand Alone</v>
      </c>
      <c r="F12" s="253"/>
      <c r="O12" s="14"/>
      <c r="P12" s="263" t="s">
        <v>377</v>
      </c>
      <c r="Q12" s="14"/>
      <c r="R12" s="14"/>
      <c r="S12" s="14" t="s">
        <v>393</v>
      </c>
      <c r="T12" s="14"/>
      <c r="U12" s="14"/>
      <c r="V12" s="14"/>
      <c r="W12" s="14" t="s">
        <v>476</v>
      </c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</row>
    <row r="13" spans="1:36" x14ac:dyDescent="0.25">
      <c r="A13" s="252" t="s">
        <v>161</v>
      </c>
      <c r="B13" s="150" t="s">
        <v>483</v>
      </c>
      <c r="C13" s="152" t="str">
        <f>'Auto Populate (ACCA)'!N9</f>
        <v>0 - No Valve</v>
      </c>
      <c r="D13" s="2"/>
      <c r="E13" s="128" t="str">
        <f>C4</f>
        <v>050</v>
      </c>
      <c r="F13" s="253"/>
      <c r="G13" s="117" t="s">
        <v>505</v>
      </c>
      <c r="H13" s="53" t="s">
        <v>506</v>
      </c>
      <c r="I13" s="118" t="s">
        <v>507</v>
      </c>
      <c r="J13" s="198"/>
      <c r="L13" s="358" t="s">
        <v>569</v>
      </c>
      <c r="M13" s="358" t="s">
        <v>570</v>
      </c>
      <c r="O13" s="14"/>
      <c r="P13" s="263" t="s">
        <v>378</v>
      </c>
      <c r="Q13" s="14"/>
      <c r="R13" s="14"/>
      <c r="S13" s="14" t="s">
        <v>394</v>
      </c>
      <c r="T13" s="14"/>
      <c r="U13" s="14"/>
      <c r="V13" s="14"/>
      <c r="W13" s="14" t="s">
        <v>477</v>
      </c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</row>
    <row r="14" spans="1:36" x14ac:dyDescent="0.25">
      <c r="A14" s="252" t="s">
        <v>162</v>
      </c>
      <c r="B14" s="150" t="s">
        <v>484</v>
      </c>
      <c r="C14" s="152" t="str">
        <f>'Auto Populate (ACCA)'!O9</f>
        <v>0 - Microchannel Heat Exchanger (MCHE)</v>
      </c>
      <c r="D14" s="2"/>
      <c r="E14" s="128" t="str">
        <f>C5</f>
        <v>B - 230-3-60</v>
      </c>
      <c r="F14" s="44"/>
      <c r="G14" s="107" t="s">
        <v>372</v>
      </c>
      <c r="H14" s="89" t="s">
        <v>520</v>
      </c>
      <c r="I14" s="89" t="s">
        <v>512</v>
      </c>
      <c r="J14" s="363"/>
      <c r="K14" s="267"/>
      <c r="L14" s="267">
        <f>VLOOKUP(CONCATENATE(E13," ",E17),L18:M31,2,FALSE)</f>
        <v>2</v>
      </c>
      <c r="M14" s="272">
        <v>5</v>
      </c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</row>
    <row r="15" spans="1:36" x14ac:dyDescent="0.25">
      <c r="A15" s="252" t="s">
        <v>163</v>
      </c>
      <c r="B15" s="150" t="s">
        <v>485</v>
      </c>
      <c r="C15" s="152" t="str">
        <f>'Auto Populate (ACCA)'!P9</f>
        <v>1 - Variable Speed</v>
      </c>
      <c r="D15" s="2"/>
      <c r="E15" s="271">
        <f>VLOOKUP(E14,$O$18:$Q$21,3)</f>
        <v>230</v>
      </c>
      <c r="G15" s="108" t="s">
        <v>372</v>
      </c>
      <c r="H15" s="93" t="s">
        <v>495</v>
      </c>
      <c r="I15" s="93" t="s">
        <v>511</v>
      </c>
      <c r="J15" s="364"/>
      <c r="K15" s="267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</row>
    <row r="16" spans="1:36" x14ac:dyDescent="0.25">
      <c r="A16" s="252" t="s">
        <v>164</v>
      </c>
      <c r="B16" s="150" t="s">
        <v>486</v>
      </c>
      <c r="C16" s="152" t="str">
        <f>'Auto Populate (ACCA)'!Q9</f>
        <v>0 - No Heat Recovery</v>
      </c>
      <c r="D16" s="2"/>
      <c r="E16" s="128" t="str">
        <f>VLOOKUP(C7,O23:P31,2)</f>
        <v>Dual Tandem</v>
      </c>
      <c r="F16" s="253" t="s">
        <v>103</v>
      </c>
      <c r="G16" s="109" t="s">
        <v>372</v>
      </c>
      <c r="H16" s="97" t="s">
        <v>496</v>
      </c>
      <c r="I16" s="97" t="s">
        <v>521</v>
      </c>
      <c r="J16" s="365"/>
      <c r="O16" s="13"/>
      <c r="P16" s="13"/>
      <c r="Q16" s="13"/>
      <c r="R16" s="13"/>
      <c r="S16" s="1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</row>
    <row r="17" spans="1:24" ht="15.75" thickBot="1" x14ac:dyDescent="0.3">
      <c r="A17" s="252" t="s">
        <v>165</v>
      </c>
      <c r="B17" s="235" t="s">
        <v>487</v>
      </c>
      <c r="C17" s="153" t="str">
        <f>'Auto Populate (ACCA)'!R9</f>
        <v>0 - None</v>
      </c>
      <c r="D17" s="2"/>
      <c r="E17" s="121" t="str">
        <f>IF(C9=U5,"HE","SE")</f>
        <v>SE</v>
      </c>
      <c r="F17" s="253"/>
      <c r="G17" s="107" t="s">
        <v>372</v>
      </c>
      <c r="H17" s="89" t="s">
        <v>508</v>
      </c>
      <c r="I17" s="89" t="s">
        <v>511</v>
      </c>
      <c r="J17" s="363"/>
      <c r="K17" s="8"/>
      <c r="L17" s="358" t="s">
        <v>553</v>
      </c>
      <c r="M17" s="358" t="s">
        <v>567</v>
      </c>
      <c r="S17" s="4"/>
    </row>
    <row r="18" spans="1:24" x14ac:dyDescent="0.25">
      <c r="F18" s="253"/>
      <c r="G18" s="108" t="s">
        <v>372</v>
      </c>
      <c r="H18" s="93" t="s">
        <v>509</v>
      </c>
      <c r="I18" s="93" t="s">
        <v>34</v>
      </c>
      <c r="J18" s="364"/>
      <c r="K18" s="8"/>
      <c r="L18" s="241" t="s">
        <v>554</v>
      </c>
      <c r="M18" s="252">
        <v>1</v>
      </c>
      <c r="O18" s="29" t="s">
        <v>323</v>
      </c>
      <c r="P18" s="89" t="s">
        <v>36</v>
      </c>
      <c r="Q18" s="47">
        <v>208</v>
      </c>
      <c r="R18" s="252">
        <v>3</v>
      </c>
      <c r="S18" s="367" t="s">
        <v>572</v>
      </c>
    </row>
    <row r="19" spans="1:24" x14ac:dyDescent="0.25">
      <c r="F19" s="44"/>
      <c r="G19" s="109" t="s">
        <v>372</v>
      </c>
      <c r="H19" s="97" t="s">
        <v>510</v>
      </c>
      <c r="I19" s="97" t="s">
        <v>34</v>
      </c>
      <c r="J19" s="365"/>
      <c r="K19" s="8"/>
      <c r="L19" s="241" t="s">
        <v>555</v>
      </c>
      <c r="M19" s="272">
        <v>1</v>
      </c>
      <c r="O19" s="29" t="s">
        <v>322</v>
      </c>
      <c r="P19" s="89" t="s">
        <v>36</v>
      </c>
      <c r="Q19" s="47">
        <v>230</v>
      </c>
      <c r="R19" s="252">
        <v>3</v>
      </c>
      <c r="S19" s="367" t="s">
        <v>572</v>
      </c>
    </row>
    <row r="20" spans="1:24" x14ac:dyDescent="0.25">
      <c r="G20" s="107" t="s">
        <v>373</v>
      </c>
      <c r="H20" s="89" t="s">
        <v>520</v>
      </c>
      <c r="I20" s="89" t="s">
        <v>513</v>
      </c>
      <c r="J20" s="363"/>
      <c r="K20" s="8"/>
      <c r="L20" s="241" t="s">
        <v>556</v>
      </c>
      <c r="M20" s="272">
        <v>1</v>
      </c>
      <c r="O20" s="29" t="s">
        <v>321</v>
      </c>
      <c r="P20" s="93" t="s">
        <v>37</v>
      </c>
      <c r="Q20" s="47">
        <v>460</v>
      </c>
      <c r="R20" s="252">
        <v>4</v>
      </c>
      <c r="S20" s="367" t="s">
        <v>573</v>
      </c>
    </row>
    <row r="21" spans="1:24" x14ac:dyDescent="0.25">
      <c r="G21" s="108" t="s">
        <v>373</v>
      </c>
      <c r="H21" s="93" t="s">
        <v>495</v>
      </c>
      <c r="I21" s="93" t="s">
        <v>514</v>
      </c>
      <c r="J21" s="364"/>
      <c r="K21" s="8"/>
      <c r="L21" s="241" t="s">
        <v>557</v>
      </c>
      <c r="M21" s="272">
        <v>1</v>
      </c>
      <c r="O21" s="29" t="s">
        <v>320</v>
      </c>
      <c r="P21" s="97" t="s">
        <v>38</v>
      </c>
      <c r="Q21" s="47">
        <v>575</v>
      </c>
      <c r="R21" s="8">
        <v>7</v>
      </c>
      <c r="S21" s="368" t="s">
        <v>574</v>
      </c>
    </row>
    <row r="22" spans="1:24" x14ac:dyDescent="0.25">
      <c r="G22" s="109" t="s">
        <v>373</v>
      </c>
      <c r="H22" s="97" t="s">
        <v>496</v>
      </c>
      <c r="I22" s="97" t="s">
        <v>523</v>
      </c>
      <c r="J22" s="365"/>
      <c r="K22" s="8"/>
      <c r="L22" s="241" t="s">
        <v>568</v>
      </c>
      <c r="M22" s="272">
        <v>2</v>
      </c>
    </row>
    <row r="23" spans="1:24" x14ac:dyDescent="0.25">
      <c r="G23" s="107" t="s">
        <v>373</v>
      </c>
      <c r="H23" s="89" t="s">
        <v>508</v>
      </c>
      <c r="I23" s="89" t="s">
        <v>514</v>
      </c>
      <c r="J23" s="363"/>
      <c r="K23" s="8"/>
      <c r="L23" s="241" t="s">
        <v>558</v>
      </c>
      <c r="M23" s="272">
        <v>1</v>
      </c>
      <c r="O23" s="8" t="s">
        <v>386</v>
      </c>
      <c r="P23" s="270" t="s">
        <v>494</v>
      </c>
      <c r="Q23" s="253"/>
      <c r="R23" s="253"/>
    </row>
    <row r="24" spans="1:24" x14ac:dyDescent="0.25">
      <c r="G24" s="108" t="s">
        <v>373</v>
      </c>
      <c r="H24" s="93" t="s">
        <v>509</v>
      </c>
      <c r="I24" s="93" t="s">
        <v>34</v>
      </c>
      <c r="J24" s="364"/>
      <c r="K24" s="8"/>
      <c r="L24" s="241" t="s">
        <v>559</v>
      </c>
      <c r="M24" s="272">
        <v>2</v>
      </c>
      <c r="O24" s="8" t="s">
        <v>387</v>
      </c>
      <c r="P24" s="270" t="s">
        <v>495</v>
      </c>
      <c r="Q24" s="253"/>
      <c r="R24" s="253"/>
    </row>
    <row r="25" spans="1:24" x14ac:dyDescent="0.25">
      <c r="G25" s="109" t="s">
        <v>373</v>
      </c>
      <c r="H25" s="97" t="s">
        <v>510</v>
      </c>
      <c r="I25" s="97" t="s">
        <v>34</v>
      </c>
      <c r="J25" s="365"/>
      <c r="K25" s="8"/>
      <c r="L25" s="241" t="s">
        <v>560</v>
      </c>
      <c r="M25" s="272">
        <v>2</v>
      </c>
      <c r="O25" s="2" t="s">
        <v>388</v>
      </c>
      <c r="P25" s="270" t="s">
        <v>496</v>
      </c>
      <c r="Q25" s="253"/>
      <c r="R25" s="253"/>
    </row>
    <row r="26" spans="1:24" x14ac:dyDescent="0.25">
      <c r="G26" s="107" t="s">
        <v>178</v>
      </c>
      <c r="H26" s="89" t="s">
        <v>520</v>
      </c>
      <c r="I26" s="89" t="s">
        <v>515</v>
      </c>
      <c r="J26" s="363"/>
      <c r="K26" s="8"/>
      <c r="L26" s="241" t="s">
        <v>561</v>
      </c>
      <c r="M26" s="272">
        <v>2</v>
      </c>
      <c r="N26" s="197"/>
      <c r="O26" s="2" t="s">
        <v>389</v>
      </c>
      <c r="P26" s="270" t="s">
        <v>497</v>
      </c>
      <c r="R26" s="253"/>
    </row>
    <row r="27" spans="1:24" x14ac:dyDescent="0.25">
      <c r="G27" s="108" t="s">
        <v>178</v>
      </c>
      <c r="H27" s="93" t="s">
        <v>495</v>
      </c>
      <c r="I27" s="93" t="s">
        <v>512</v>
      </c>
      <c r="J27" s="364"/>
      <c r="L27" s="241" t="s">
        <v>562</v>
      </c>
      <c r="M27" s="272">
        <v>2</v>
      </c>
      <c r="N27" s="197"/>
      <c r="O27" s="2" t="s">
        <v>390</v>
      </c>
      <c r="P27" s="270" t="s">
        <v>502</v>
      </c>
      <c r="S27" s="173"/>
      <c r="W27" s="253"/>
      <c r="X27" s="173"/>
    </row>
    <row r="28" spans="1:24" x14ac:dyDescent="0.25">
      <c r="G28" s="109" t="s">
        <v>178</v>
      </c>
      <c r="H28" s="97" t="s">
        <v>496</v>
      </c>
      <c r="I28" s="97" t="s">
        <v>522</v>
      </c>
      <c r="J28" s="365"/>
      <c r="L28" s="241" t="s">
        <v>563</v>
      </c>
      <c r="M28" s="272">
        <v>2</v>
      </c>
      <c r="N28" s="197"/>
      <c r="O28" s="2" t="s">
        <v>391</v>
      </c>
      <c r="P28" s="270" t="s">
        <v>498</v>
      </c>
      <c r="W28" s="253"/>
      <c r="X28" s="173"/>
    </row>
    <row r="29" spans="1:24" x14ac:dyDescent="0.25">
      <c r="G29" s="107" t="s">
        <v>178</v>
      </c>
      <c r="H29" s="89" t="s">
        <v>508</v>
      </c>
      <c r="I29" s="89" t="s">
        <v>512</v>
      </c>
      <c r="J29" s="363"/>
      <c r="L29" s="241" t="s">
        <v>564</v>
      </c>
      <c r="M29" s="272">
        <v>4</v>
      </c>
      <c r="N29" s="197"/>
      <c r="O29" s="2" t="s">
        <v>392</v>
      </c>
      <c r="P29" s="270" t="s">
        <v>503</v>
      </c>
    </row>
    <row r="30" spans="1:24" ht="15" customHeight="1" x14ac:dyDescent="0.25">
      <c r="G30" s="108" t="s">
        <v>178</v>
      </c>
      <c r="H30" s="93" t="s">
        <v>509</v>
      </c>
      <c r="I30" s="93" t="s">
        <v>34</v>
      </c>
      <c r="J30" s="364"/>
      <c r="L30" s="241" t="s">
        <v>565</v>
      </c>
      <c r="M30" s="272">
        <v>4</v>
      </c>
      <c r="N30" s="197"/>
      <c r="O30" s="2" t="s">
        <v>393</v>
      </c>
      <c r="P30" s="270" t="s">
        <v>504</v>
      </c>
    </row>
    <row r="31" spans="1:24" x14ac:dyDescent="0.25">
      <c r="G31" s="109" t="s">
        <v>178</v>
      </c>
      <c r="H31" s="97" t="s">
        <v>510</v>
      </c>
      <c r="I31" s="97" t="s">
        <v>521</v>
      </c>
      <c r="J31" s="365"/>
      <c r="L31" s="241" t="s">
        <v>566</v>
      </c>
      <c r="M31" s="252">
        <v>4</v>
      </c>
      <c r="N31" s="197"/>
      <c r="O31" s="2" t="s">
        <v>394</v>
      </c>
      <c r="P31" s="270" t="s">
        <v>499</v>
      </c>
    </row>
    <row r="32" spans="1:24" x14ac:dyDescent="0.25">
      <c r="G32" s="107" t="s">
        <v>374</v>
      </c>
      <c r="H32" s="89" t="s">
        <v>508</v>
      </c>
      <c r="I32" s="89" t="s">
        <v>518</v>
      </c>
      <c r="J32" s="363"/>
      <c r="N32" s="197"/>
      <c r="O32" s="8"/>
      <c r="P32" s="8"/>
    </row>
    <row r="33" spans="7:20" x14ac:dyDescent="0.25">
      <c r="G33" s="108" t="s">
        <v>374</v>
      </c>
      <c r="H33" s="93" t="s">
        <v>509</v>
      </c>
      <c r="I33" s="93" t="s">
        <v>34</v>
      </c>
      <c r="J33" s="364"/>
      <c r="N33" s="197"/>
    </row>
    <row r="34" spans="7:20" x14ac:dyDescent="0.25">
      <c r="G34" s="109" t="s">
        <v>374</v>
      </c>
      <c r="H34" s="97" t="s">
        <v>510</v>
      </c>
      <c r="I34" s="97" t="s">
        <v>524</v>
      </c>
      <c r="J34" s="365"/>
    </row>
    <row r="35" spans="7:20" x14ac:dyDescent="0.25">
      <c r="G35" s="107" t="s">
        <v>150</v>
      </c>
      <c r="H35" s="89" t="s">
        <v>508</v>
      </c>
      <c r="I35" s="89" t="s">
        <v>513</v>
      </c>
      <c r="J35" s="363"/>
    </row>
    <row r="36" spans="7:20" x14ac:dyDescent="0.25">
      <c r="G36" s="108" t="s">
        <v>150</v>
      </c>
      <c r="H36" s="93" t="s">
        <v>509</v>
      </c>
      <c r="I36" s="93" t="s">
        <v>514</v>
      </c>
      <c r="J36" s="364"/>
      <c r="Q36" s="87"/>
      <c r="R36" s="87"/>
      <c r="T36" s="87"/>
    </row>
    <row r="37" spans="7:20" x14ac:dyDescent="0.25">
      <c r="G37" s="109" t="s">
        <v>150</v>
      </c>
      <c r="H37" s="97" t="s">
        <v>510</v>
      </c>
      <c r="I37" s="97" t="s">
        <v>522</v>
      </c>
      <c r="J37" s="365"/>
      <c r="Q37" s="87"/>
      <c r="R37" s="87"/>
      <c r="S37" s="87"/>
      <c r="T37" s="87"/>
    </row>
    <row r="38" spans="7:20" x14ac:dyDescent="0.25">
      <c r="G38" s="107" t="s">
        <v>375</v>
      </c>
      <c r="H38" s="89" t="s">
        <v>508</v>
      </c>
      <c r="I38" s="89" t="s">
        <v>515</v>
      </c>
      <c r="J38" s="363"/>
      <c r="Q38" s="87"/>
      <c r="R38" s="87"/>
      <c r="S38" s="87"/>
      <c r="T38" s="87"/>
    </row>
    <row r="39" spans="7:20" x14ac:dyDescent="0.25">
      <c r="G39" s="108" t="s">
        <v>375</v>
      </c>
      <c r="H39" s="93" t="s">
        <v>509</v>
      </c>
      <c r="I39" s="93" t="s">
        <v>512</v>
      </c>
      <c r="J39" s="364"/>
      <c r="S39" s="87"/>
    </row>
    <row r="40" spans="7:20" x14ac:dyDescent="0.25">
      <c r="G40" s="109" t="s">
        <v>375</v>
      </c>
      <c r="H40" s="97" t="s">
        <v>510</v>
      </c>
      <c r="I40" s="97" t="s">
        <v>525</v>
      </c>
      <c r="J40" s="365"/>
    </row>
    <row r="41" spans="7:20" x14ac:dyDescent="0.25">
      <c r="G41" s="107" t="s">
        <v>369</v>
      </c>
      <c r="H41" s="89" t="s">
        <v>508</v>
      </c>
      <c r="I41" s="89" t="s">
        <v>517</v>
      </c>
      <c r="J41" s="363"/>
    </row>
    <row r="42" spans="7:20" x14ac:dyDescent="0.25">
      <c r="G42" s="108" t="s">
        <v>369</v>
      </c>
      <c r="H42" s="93" t="s">
        <v>509</v>
      </c>
      <c r="I42" s="93" t="s">
        <v>518</v>
      </c>
      <c r="J42" s="364"/>
    </row>
    <row r="43" spans="7:20" x14ac:dyDescent="0.25">
      <c r="G43" s="109" t="s">
        <v>369</v>
      </c>
      <c r="H43" s="97" t="s">
        <v>510</v>
      </c>
      <c r="I43" s="97" t="s">
        <v>525</v>
      </c>
      <c r="J43" s="365"/>
      <c r="N43" s="87"/>
    </row>
    <row r="44" spans="7:20" x14ac:dyDescent="0.25">
      <c r="G44" s="107" t="s">
        <v>376</v>
      </c>
      <c r="H44" s="89" t="s">
        <v>508</v>
      </c>
      <c r="I44" s="89" t="s">
        <v>516</v>
      </c>
      <c r="J44" s="363"/>
      <c r="N44" s="87"/>
    </row>
    <row r="45" spans="7:20" x14ac:dyDescent="0.25">
      <c r="G45" s="108" t="s">
        <v>376</v>
      </c>
      <c r="H45" s="93" t="s">
        <v>509</v>
      </c>
      <c r="I45" s="93" t="s">
        <v>513</v>
      </c>
      <c r="J45" s="364"/>
      <c r="N45" s="87"/>
    </row>
    <row r="46" spans="7:20" x14ac:dyDescent="0.25">
      <c r="G46" s="109" t="s">
        <v>376</v>
      </c>
      <c r="H46" s="97" t="s">
        <v>510</v>
      </c>
      <c r="I46" s="97" t="s">
        <v>34</v>
      </c>
      <c r="J46" s="365"/>
    </row>
    <row r="47" spans="7:20" x14ac:dyDescent="0.25">
      <c r="G47" s="107" t="s">
        <v>377</v>
      </c>
      <c r="H47" s="89" t="s">
        <v>508</v>
      </c>
      <c r="I47" s="89" t="s">
        <v>516</v>
      </c>
      <c r="J47" s="363" t="s">
        <v>519</v>
      </c>
    </row>
    <row r="48" spans="7:20" x14ac:dyDescent="0.25">
      <c r="G48" s="108" t="s">
        <v>377</v>
      </c>
      <c r="H48" s="93" t="s">
        <v>509</v>
      </c>
      <c r="I48" s="93" t="s">
        <v>513</v>
      </c>
      <c r="J48" s="364" t="s">
        <v>515</v>
      </c>
    </row>
    <row r="49" spans="7:10" x14ac:dyDescent="0.25">
      <c r="G49" s="109" t="s">
        <v>377</v>
      </c>
      <c r="H49" s="97" t="s">
        <v>510</v>
      </c>
      <c r="I49" s="97" t="s">
        <v>34</v>
      </c>
      <c r="J49" s="365" t="s">
        <v>34</v>
      </c>
    </row>
    <row r="50" spans="7:10" x14ac:dyDescent="0.25">
      <c r="G50" s="107" t="s">
        <v>378</v>
      </c>
      <c r="H50" s="89" t="s">
        <v>508</v>
      </c>
      <c r="I50" s="89" t="s">
        <v>519</v>
      </c>
      <c r="J50" s="363"/>
    </row>
    <row r="51" spans="7:10" x14ac:dyDescent="0.25">
      <c r="G51" s="108" t="s">
        <v>378</v>
      </c>
      <c r="H51" s="93" t="s">
        <v>509</v>
      </c>
      <c r="I51" s="93" t="s">
        <v>515</v>
      </c>
      <c r="J51" s="364"/>
    </row>
    <row r="52" spans="7:10" ht="15.75" thickBot="1" x14ac:dyDescent="0.3">
      <c r="G52" s="215" t="s">
        <v>378</v>
      </c>
      <c r="H52" s="180" t="s">
        <v>510</v>
      </c>
      <c r="I52" s="180" t="s">
        <v>34</v>
      </c>
      <c r="J52" s="366"/>
    </row>
  </sheetData>
  <mergeCells count="7">
    <mergeCell ref="B2:C2"/>
    <mergeCell ref="E7:E9"/>
    <mergeCell ref="G7:G8"/>
    <mergeCell ref="G9:G10"/>
    <mergeCell ref="H7:H8"/>
    <mergeCell ref="H9:H10"/>
    <mergeCell ref="E3:E4"/>
  </mergeCells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46"/>
  <sheetViews>
    <sheetView topLeftCell="A4" workbookViewId="0">
      <selection activeCell="F2" sqref="F2"/>
    </sheetView>
  </sheetViews>
  <sheetFormatPr defaultRowHeight="15" x14ac:dyDescent="0.25"/>
  <cols>
    <col min="2" max="2" width="9.85546875" bestFit="1" customWidth="1"/>
    <col min="3" max="3" width="11.5703125" customWidth="1"/>
    <col min="4" max="4" width="11.28515625" customWidth="1"/>
    <col min="6" max="6" width="18.28515625" customWidth="1"/>
  </cols>
  <sheetData>
    <row r="1" spans="2:7" ht="15.75" thickBot="1" x14ac:dyDescent="0.3"/>
    <row r="2" spans="2:7" ht="30.75" customHeight="1" thickBot="1" x14ac:dyDescent="0.3">
      <c r="B2" s="355" t="s">
        <v>529</v>
      </c>
      <c r="C2" s="356" t="s">
        <v>530</v>
      </c>
      <c r="D2" s="357" t="s">
        <v>531</v>
      </c>
      <c r="F2" s="361" t="s">
        <v>551</v>
      </c>
      <c r="G2" s="360"/>
    </row>
    <row r="3" spans="2:7" x14ac:dyDescent="0.25">
      <c r="B3" s="348" t="s">
        <v>532</v>
      </c>
      <c r="C3" s="80">
        <v>203</v>
      </c>
      <c r="D3" s="349">
        <v>27.564102564102562</v>
      </c>
      <c r="F3" s="273">
        <v>1</v>
      </c>
      <c r="G3" s="360"/>
    </row>
    <row r="4" spans="2:7" x14ac:dyDescent="0.25">
      <c r="B4" s="348" t="s">
        <v>533</v>
      </c>
      <c r="C4" s="80">
        <v>98</v>
      </c>
      <c r="D4" s="349">
        <v>14.102564102564102</v>
      </c>
      <c r="F4" s="273">
        <v>3</v>
      </c>
      <c r="G4" s="360"/>
    </row>
    <row r="5" spans="2:7" x14ac:dyDescent="0.25">
      <c r="B5" s="350" t="s">
        <v>534</v>
      </c>
      <c r="C5" s="80">
        <v>84</v>
      </c>
      <c r="D5" s="349">
        <v>11.538461538461538</v>
      </c>
      <c r="F5" s="273">
        <v>6</v>
      </c>
      <c r="G5" s="360"/>
    </row>
    <row r="6" spans="2:7" x14ac:dyDescent="0.25">
      <c r="B6" s="348" t="s">
        <v>238</v>
      </c>
      <c r="C6" s="80">
        <v>267</v>
      </c>
      <c r="D6" s="349">
        <v>39.102564102564102</v>
      </c>
      <c r="F6" s="273">
        <v>10</v>
      </c>
      <c r="G6" s="272"/>
    </row>
    <row r="7" spans="2:7" x14ac:dyDescent="0.25">
      <c r="B7" s="348" t="s">
        <v>239</v>
      </c>
      <c r="C7" s="80">
        <v>142</v>
      </c>
      <c r="D7" s="349">
        <v>18.589743589743588</v>
      </c>
      <c r="F7" s="273">
        <v>15</v>
      </c>
      <c r="G7" s="272"/>
    </row>
    <row r="8" spans="2:7" x14ac:dyDescent="0.25">
      <c r="B8" s="348" t="s">
        <v>240</v>
      </c>
      <c r="C8" s="80">
        <v>103</v>
      </c>
      <c r="D8" s="349">
        <v>15.384615384615383</v>
      </c>
      <c r="F8" s="273">
        <v>20</v>
      </c>
      <c r="G8" s="272"/>
    </row>
    <row r="9" spans="2:7" x14ac:dyDescent="0.25">
      <c r="B9" s="348" t="s">
        <v>307</v>
      </c>
      <c r="C9" s="80">
        <v>304</v>
      </c>
      <c r="D9" s="349">
        <v>41.025641025641022</v>
      </c>
      <c r="F9" s="273">
        <v>25</v>
      </c>
      <c r="G9" s="272"/>
    </row>
    <row r="10" spans="2:7" x14ac:dyDescent="0.25">
      <c r="B10" s="348" t="s">
        <v>308</v>
      </c>
      <c r="C10" s="80">
        <v>147</v>
      </c>
      <c r="D10" s="349">
        <v>19.23076923076923</v>
      </c>
      <c r="F10" s="273">
        <v>30</v>
      </c>
      <c r="G10" s="272"/>
    </row>
    <row r="11" spans="2:7" x14ac:dyDescent="0.25">
      <c r="B11" s="348" t="s">
        <v>309</v>
      </c>
      <c r="C11" s="80">
        <v>122</v>
      </c>
      <c r="D11" s="349">
        <v>16.666666666666668</v>
      </c>
      <c r="F11" s="273">
        <v>35</v>
      </c>
      <c r="G11" s="272"/>
    </row>
    <row r="12" spans="2:7" x14ac:dyDescent="0.25">
      <c r="B12" s="348" t="s">
        <v>241</v>
      </c>
      <c r="C12" s="80">
        <v>351</v>
      </c>
      <c r="D12" s="349">
        <v>48.076923076923073</v>
      </c>
      <c r="F12" s="273">
        <v>40</v>
      </c>
      <c r="G12" s="272"/>
    </row>
    <row r="13" spans="2:7" x14ac:dyDescent="0.25">
      <c r="B13" s="348" t="s">
        <v>242</v>
      </c>
      <c r="C13" s="80">
        <v>197</v>
      </c>
      <c r="D13" s="349">
        <v>24.743589743589745</v>
      </c>
      <c r="F13" s="273">
        <v>45</v>
      </c>
      <c r="G13" s="272"/>
    </row>
    <row r="14" spans="2:7" x14ac:dyDescent="0.25">
      <c r="B14" s="348" t="s">
        <v>243</v>
      </c>
      <c r="C14" s="80">
        <v>135</v>
      </c>
      <c r="D14" s="349">
        <v>22.435897435897434</v>
      </c>
      <c r="F14" s="273">
        <v>50</v>
      </c>
      <c r="G14" s="272"/>
    </row>
    <row r="15" spans="2:7" x14ac:dyDescent="0.25">
      <c r="B15" s="348" t="s">
        <v>244</v>
      </c>
      <c r="C15" s="80">
        <v>485</v>
      </c>
      <c r="D15" s="349">
        <v>67.307692307692307</v>
      </c>
      <c r="F15" s="273">
        <v>60</v>
      </c>
      <c r="G15" s="272"/>
    </row>
    <row r="16" spans="2:7" x14ac:dyDescent="0.25">
      <c r="B16" s="348" t="s">
        <v>245</v>
      </c>
      <c r="C16" s="80">
        <v>215</v>
      </c>
      <c r="D16" s="349">
        <v>32.692307692307693</v>
      </c>
      <c r="F16" s="273">
        <v>70</v>
      </c>
      <c r="G16" s="272"/>
    </row>
    <row r="17" spans="2:7" x14ac:dyDescent="0.25">
      <c r="B17" s="348" t="s">
        <v>246</v>
      </c>
      <c r="C17" s="80">
        <v>175</v>
      </c>
      <c r="D17" s="349">
        <v>26.282051282051281</v>
      </c>
      <c r="F17" s="273">
        <v>80</v>
      </c>
      <c r="G17" s="272"/>
    </row>
    <row r="18" spans="2:7" x14ac:dyDescent="0.25">
      <c r="B18" s="348" t="s">
        <v>247</v>
      </c>
      <c r="C18" s="80">
        <v>560</v>
      </c>
      <c r="D18" s="349">
        <v>82.051282051282044</v>
      </c>
      <c r="F18" s="273">
        <v>90</v>
      </c>
      <c r="G18" s="272"/>
    </row>
    <row r="19" spans="2:7" x14ac:dyDescent="0.25">
      <c r="B19" s="348" t="s">
        <v>248</v>
      </c>
      <c r="C19" s="80">
        <v>260</v>
      </c>
      <c r="D19" s="349">
        <v>39.743589743589745</v>
      </c>
      <c r="F19" s="273">
        <v>100</v>
      </c>
      <c r="G19" s="272"/>
    </row>
    <row r="20" spans="2:7" x14ac:dyDescent="0.25">
      <c r="B20" s="348" t="s">
        <v>249</v>
      </c>
      <c r="C20" s="80">
        <v>210</v>
      </c>
      <c r="D20" s="349">
        <v>28.846153846153847</v>
      </c>
      <c r="F20" s="273">
        <v>110</v>
      </c>
      <c r="G20" s="272"/>
    </row>
    <row r="21" spans="2:7" x14ac:dyDescent="0.25">
      <c r="B21" s="348" t="s">
        <v>250</v>
      </c>
      <c r="C21" s="80">
        <v>717</v>
      </c>
      <c r="D21" s="349">
        <v>108.97435897435896</v>
      </c>
      <c r="F21" s="273">
        <v>125</v>
      </c>
      <c r="G21" s="272"/>
    </row>
    <row r="22" spans="2:7" x14ac:dyDescent="0.25">
      <c r="B22" s="348" t="s">
        <v>251</v>
      </c>
      <c r="C22" s="80">
        <v>320</v>
      </c>
      <c r="D22" s="349">
        <v>50.641025641025642</v>
      </c>
      <c r="F22" s="273">
        <v>150</v>
      </c>
      <c r="G22" s="272"/>
    </row>
    <row r="23" spans="2:7" x14ac:dyDescent="0.25">
      <c r="B23" s="348" t="s">
        <v>252</v>
      </c>
      <c r="C23" s="80">
        <v>235</v>
      </c>
      <c r="D23" s="349">
        <v>38.46153846153846</v>
      </c>
      <c r="F23" s="273">
        <v>175</v>
      </c>
      <c r="G23" s="272"/>
    </row>
    <row r="24" spans="2:7" x14ac:dyDescent="0.25">
      <c r="B24" s="348" t="s">
        <v>253</v>
      </c>
      <c r="C24" s="80">
        <v>1010</v>
      </c>
      <c r="D24" s="349">
        <v>121.7948717948718</v>
      </c>
      <c r="F24" s="273">
        <v>200</v>
      </c>
      <c r="G24" s="272"/>
    </row>
    <row r="25" spans="2:7" x14ac:dyDescent="0.25">
      <c r="B25" s="348" t="s">
        <v>254</v>
      </c>
      <c r="C25" s="80">
        <v>344</v>
      </c>
      <c r="D25" s="349">
        <v>67.948717948717942</v>
      </c>
      <c r="F25" s="273">
        <v>225</v>
      </c>
      <c r="G25" s="272"/>
    </row>
    <row r="26" spans="2:7" x14ac:dyDescent="0.25">
      <c r="B26" s="348" t="s">
        <v>255</v>
      </c>
      <c r="C26" s="80">
        <v>327</v>
      </c>
      <c r="D26" s="349">
        <v>45.512820512820511</v>
      </c>
      <c r="F26" s="273">
        <v>250</v>
      </c>
      <c r="G26" s="272"/>
    </row>
    <row r="27" spans="2:7" x14ac:dyDescent="0.25">
      <c r="B27" s="348" t="s">
        <v>535</v>
      </c>
      <c r="C27" s="80"/>
      <c r="D27" s="349">
        <v>74.8</v>
      </c>
      <c r="F27" s="273">
        <v>300</v>
      </c>
      <c r="G27" s="272"/>
    </row>
    <row r="28" spans="2:7" x14ac:dyDescent="0.25">
      <c r="B28" s="348" t="s">
        <v>536</v>
      </c>
      <c r="C28" s="80"/>
      <c r="D28" s="349">
        <v>37.5</v>
      </c>
      <c r="F28" s="273">
        <v>350</v>
      </c>
      <c r="G28" s="272"/>
    </row>
    <row r="29" spans="2:7" x14ac:dyDescent="0.25">
      <c r="B29" s="348" t="s">
        <v>537</v>
      </c>
      <c r="C29" s="80"/>
      <c r="D29" s="349">
        <v>37.5</v>
      </c>
      <c r="F29" s="273">
        <v>400</v>
      </c>
      <c r="G29" s="272"/>
    </row>
    <row r="30" spans="2:7" x14ac:dyDescent="0.25">
      <c r="B30" s="351" t="s">
        <v>538</v>
      </c>
      <c r="C30" s="14"/>
      <c r="D30" s="352">
        <v>88</v>
      </c>
      <c r="F30" s="273">
        <v>450</v>
      </c>
      <c r="G30" s="272"/>
    </row>
    <row r="31" spans="2:7" x14ac:dyDescent="0.25">
      <c r="B31" s="351" t="s">
        <v>539</v>
      </c>
      <c r="C31" s="14"/>
      <c r="D31" s="352">
        <v>44</v>
      </c>
      <c r="F31" s="273">
        <v>500</v>
      </c>
      <c r="G31" s="272"/>
    </row>
    <row r="32" spans="2:7" x14ac:dyDescent="0.25">
      <c r="B32" s="351" t="s">
        <v>540</v>
      </c>
      <c r="C32" s="14"/>
      <c r="D32" s="352">
        <v>44</v>
      </c>
      <c r="F32" s="273">
        <v>600</v>
      </c>
      <c r="G32" s="272"/>
    </row>
    <row r="33" spans="2:7" x14ac:dyDescent="0.25">
      <c r="B33" s="351" t="s">
        <v>541</v>
      </c>
      <c r="C33" s="80">
        <v>170</v>
      </c>
      <c r="D33" s="352">
        <v>19.23076923076923</v>
      </c>
      <c r="F33" s="273">
        <v>700</v>
      </c>
      <c r="G33" s="272"/>
    </row>
    <row r="34" spans="2:7" x14ac:dyDescent="0.25">
      <c r="B34" s="351" t="s">
        <v>542</v>
      </c>
      <c r="C34" s="80">
        <v>82</v>
      </c>
      <c r="D34" s="352">
        <v>9.615384615384615</v>
      </c>
      <c r="F34" s="273">
        <v>800</v>
      </c>
      <c r="G34" s="272"/>
    </row>
    <row r="35" spans="2:7" x14ac:dyDescent="0.25">
      <c r="B35" s="351" t="s">
        <v>543</v>
      </c>
      <c r="C35" s="14"/>
      <c r="D35" s="352">
        <v>115</v>
      </c>
      <c r="F35" s="273">
        <v>1000</v>
      </c>
      <c r="G35" s="272"/>
    </row>
    <row r="36" spans="2:7" x14ac:dyDescent="0.25">
      <c r="B36" s="351" t="s">
        <v>544</v>
      </c>
      <c r="C36" s="14"/>
      <c r="D36" s="352">
        <v>61</v>
      </c>
      <c r="F36" s="273">
        <v>1200</v>
      </c>
      <c r="G36" s="272"/>
    </row>
    <row r="37" spans="2:7" ht="15.75" thickBot="1" x14ac:dyDescent="0.3">
      <c r="B37" s="353" t="s">
        <v>545</v>
      </c>
      <c r="C37" s="22"/>
      <c r="D37" s="354">
        <v>61</v>
      </c>
      <c r="F37" s="273">
        <v>1600</v>
      </c>
      <c r="G37" s="272"/>
    </row>
    <row r="38" spans="2:7" x14ac:dyDescent="0.25">
      <c r="F38" s="273">
        <v>2000</v>
      </c>
      <c r="G38" s="272"/>
    </row>
    <row r="39" spans="2:7" x14ac:dyDescent="0.25">
      <c r="F39" s="273">
        <v>2500</v>
      </c>
      <c r="G39" s="272"/>
    </row>
    <row r="40" spans="2:7" x14ac:dyDescent="0.25">
      <c r="F40" s="273">
        <v>3000</v>
      </c>
      <c r="G40" s="272"/>
    </row>
    <row r="41" spans="2:7" x14ac:dyDescent="0.25">
      <c r="F41" s="273">
        <v>4000</v>
      </c>
      <c r="G41" s="272"/>
    </row>
    <row r="42" spans="2:7" x14ac:dyDescent="0.25">
      <c r="F42" s="273">
        <v>5000</v>
      </c>
      <c r="G42" s="272"/>
    </row>
    <row r="43" spans="2:7" x14ac:dyDescent="0.25">
      <c r="F43" s="273">
        <v>6000</v>
      </c>
      <c r="G43" s="272"/>
    </row>
    <row r="44" spans="2:7" x14ac:dyDescent="0.25">
      <c r="G44" s="272"/>
    </row>
    <row r="45" spans="2:7" x14ac:dyDescent="0.25">
      <c r="G45" s="272"/>
    </row>
    <row r="46" spans="2:7" x14ac:dyDescent="0.25">
      <c r="G46" s="2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33</vt:i4>
      </vt:variant>
    </vt:vector>
  </HeadingPairs>
  <TitlesOfParts>
    <vt:vector size="44" baseType="lpstr">
      <vt:lpstr>Revisions</vt:lpstr>
      <vt:lpstr>Auto Populate CGWR-CCAR</vt:lpstr>
      <vt:lpstr>Auto Populate CGWR-CCAR Jetson</vt:lpstr>
      <vt:lpstr>Auto Populate CGWR-CCAR DB</vt:lpstr>
      <vt:lpstr>Auto Populate (CICD)</vt:lpstr>
      <vt:lpstr>Auto Populate (FWCD)</vt:lpstr>
      <vt:lpstr>Auto Populate (ACCA)</vt:lpstr>
      <vt:lpstr>CGWR Look Up Tables</vt:lpstr>
      <vt:lpstr>CICD Look Up Tables</vt:lpstr>
      <vt:lpstr>ACCA Look Up Tables</vt:lpstr>
      <vt:lpstr>General Look Up Tables</vt:lpstr>
      <vt:lpstr>CICD_BP_Refr_TOTAL_Charge</vt:lpstr>
      <vt:lpstr>'CGWR Look Up Tables'!CICD_Comp1</vt:lpstr>
      <vt:lpstr>CICD_Comp1</vt:lpstr>
      <vt:lpstr>'CGWR Look Up Tables'!CICD_Comp2</vt:lpstr>
      <vt:lpstr>CICD_Comp2</vt:lpstr>
      <vt:lpstr>'CGWR Look Up Tables'!CICD_LRA_1</vt:lpstr>
      <vt:lpstr>CICD_LRA_1</vt:lpstr>
      <vt:lpstr>'CGWR Look Up Tables'!CICD_LRA_2</vt:lpstr>
      <vt:lpstr>CICD_LRA_2</vt:lpstr>
      <vt:lpstr>'CGWR Look Up Tables'!CICD_MCA</vt:lpstr>
      <vt:lpstr>CICD_MCA</vt:lpstr>
      <vt:lpstr>'CGWR Look Up Tables'!CICD_MOP</vt:lpstr>
      <vt:lpstr>CICD_MOP</vt:lpstr>
      <vt:lpstr>'CGWR Look Up Tables'!CICD_RFS</vt:lpstr>
      <vt:lpstr>CICD_RFS</vt:lpstr>
      <vt:lpstr>'CGWR Look Up Tables'!CICD_RLA_1</vt:lpstr>
      <vt:lpstr>CICD_RLA_1</vt:lpstr>
      <vt:lpstr>'CGWR Look Up Tables'!CICD_RLA_2</vt:lpstr>
      <vt:lpstr>CICD_RLA_2</vt:lpstr>
      <vt:lpstr>CICD_ST_Refr_TOTAL_Charge</vt:lpstr>
      <vt:lpstr>'CGWR Look Up Tables'!CICD_UNIT_SIZE</vt:lpstr>
      <vt:lpstr>CICD_UNIT_SIZE</vt:lpstr>
      <vt:lpstr>'CGWR Look Up Tables'!CICD_VOLT</vt:lpstr>
      <vt:lpstr>CICD_VOLT</vt:lpstr>
      <vt:lpstr>CICD_WEIGHT_BZPL</vt:lpstr>
      <vt:lpstr>CICD_WEIGHT_Remote_Cond</vt:lpstr>
      <vt:lpstr>CICD_WEIGHT_ST</vt:lpstr>
      <vt:lpstr>'Auto Populate (ACCA)'!Print_Area</vt:lpstr>
      <vt:lpstr>'Auto Populate (CICD)'!Print_Area</vt:lpstr>
      <vt:lpstr>'Auto Populate (FWCD)'!Print_Area</vt:lpstr>
      <vt:lpstr>'Auto Populate CGWR-CCAR'!Print_Area</vt:lpstr>
      <vt:lpstr>'Auto Populate CGWR-CCAR DB'!Print_Area</vt:lpstr>
      <vt:lpstr>'Auto Populate CGWR-CCAR Jetson'!Print_Area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sonya</dc:creator>
  <cp:lastModifiedBy>Ancel Carson</cp:lastModifiedBy>
  <cp:lastPrinted>2021-11-29T19:06:56Z</cp:lastPrinted>
  <dcterms:created xsi:type="dcterms:W3CDTF">2011-10-11T17:00:52Z</dcterms:created>
  <dcterms:modified xsi:type="dcterms:W3CDTF">2021-11-29T19:07:03Z</dcterms:modified>
</cp:coreProperties>
</file>