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Engineering\Performance Software\"/>
    </mc:Choice>
  </mc:AlternateContent>
  <bookViews>
    <workbookView xWindow="-120" yWindow="-120" windowWidth="25440" windowHeight="15390" activeTab="3"/>
  </bookViews>
  <sheets>
    <sheet name="ACCA Array Rating" sheetId="2" r:id="rId1"/>
    <sheet name="ACCA Primary Unit Rating" sheetId="1" r:id="rId2"/>
    <sheet name="ACCA Secondary Unit Rating" sheetId="10" r:id="rId3"/>
    <sheet name="FWCD Array Rating" sheetId="12" r:id="rId4"/>
    <sheet name="FWCD Primary Unit Rating" sheetId="6" r:id="rId5"/>
    <sheet name="FWCD Secondary Unit Rating " sheetId="11" r:id="rId6"/>
    <sheet name="Air-Water Heat Pump (Cooling)" sheetId="14" r:id="rId7"/>
    <sheet name="Air-Water Heat Pump (Heating)" sheetId="15" r:id="rId8"/>
    <sheet name="Look Up Tables" sheetId="13" r:id="rId9"/>
    <sheet name="Glycol Lookup Tables" sheetId="9" r:id="rId10"/>
  </sheets>
  <externalReferences>
    <externalReference r:id="rId11"/>
  </externalReferences>
  <definedNames>
    <definedName name="FreezePoint__EG" localSheetId="6">'[1]Glycol Lookup Tables'!$E$7:$E$58</definedName>
    <definedName name="FreezePoint__EG" localSheetId="7">'[1]Glycol Lookup Tables'!$E$7:$E$58</definedName>
    <definedName name="FreezePoint__EG">'Glycol Lookup Tables'!$E$7:$E$58</definedName>
    <definedName name="FreezePoint_PG" localSheetId="6">'[1]Glycol Lookup Tables'!$J$7:$J$58</definedName>
    <definedName name="FreezePoint_PG" localSheetId="7">'[1]Glycol Lookup Tables'!$J$7:$J$58</definedName>
    <definedName name="FreezePoint_PG">'Glycol Lookup Tables'!$J$7:$J$58</definedName>
    <definedName name="Percent_EG" localSheetId="6">'[1]Glycol Lookup Tables'!$C$7:$C$58</definedName>
    <definedName name="Percent_EG" localSheetId="7">'[1]Glycol Lookup Tables'!$C$7:$C$58</definedName>
    <definedName name="Percent_EG">'Glycol Lookup Tables'!$C$7:$C$58</definedName>
    <definedName name="Percent_PG" localSheetId="6">'[1]Glycol Lookup Tables'!$H$7:$H$58</definedName>
    <definedName name="Percent_PG" localSheetId="7">'[1]Glycol Lookup Tables'!$H$7:$H$58</definedName>
    <definedName name="Percent_PG">'Glycol Lookup Tables'!$H$7:$H$58</definedName>
    <definedName name="_xlnm.Print_Area" localSheetId="0">'ACCA Array Rating'!$A$1:$J$35</definedName>
    <definedName name="_xlnm.Print_Area" localSheetId="1">'ACCA Primary Unit Rating'!$A$1:$J$47,'ACCA Primary Unit Rating'!$A$50:$J$104</definedName>
    <definedName name="_xlnm.Print_Area" localSheetId="2">'ACCA Secondary Unit Rating'!$A$1:$J$47,'ACCA Secondary Unit Rating'!$A$50:$J$104</definedName>
    <definedName name="_xlnm.Print_Area" localSheetId="6">'Air-Water Heat Pump (Cooling)'!$A$1:$J$44</definedName>
    <definedName name="_xlnm.Print_Area" localSheetId="7">'Air-Water Heat Pump (Heating)'!$A$1:$J$44</definedName>
    <definedName name="_xlnm.Print_Area" localSheetId="3">'FWCD Array Rating'!$A$1:$J$41</definedName>
    <definedName name="_xlnm.Print_Area" localSheetId="4">'FWCD Primary Unit Rating'!$A$1:$J$44,'FWCD Primary Unit Rating'!$A$51:$J$104</definedName>
    <definedName name="_xlnm.Print_Area" localSheetId="5">'FWCD Secondary Unit Rating '!$A$1:$J$47,'FWCD Secondary Unit Rating '!$A$53:$J$105,'FWCD Secondary Unit Rating '!$A$110:$J$162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7" i="2" l="1"/>
  <c r="P36" i="2"/>
  <c r="P34" i="10"/>
  <c r="P33" i="10"/>
  <c r="P34" i="1"/>
  <c r="P33" i="1"/>
  <c r="V18" i="1" l="1" a="1"/>
  <c r="V18" i="1" s="1"/>
  <c r="V17" i="1" a="1"/>
  <c r="V17" i="1" s="1"/>
  <c r="V16" i="1" a="1"/>
  <c r="V16" i="1" s="1"/>
  <c r="V15" i="1" a="1"/>
  <c r="V15" i="1" s="1"/>
  <c r="P32" i="2" l="1"/>
  <c r="C35" i="2" s="1"/>
  <c r="C46" i="10"/>
  <c r="C46" i="1"/>
  <c r="Z19" i="15" l="1"/>
  <c r="AA19" i="15" s="1"/>
  <c r="AB19" i="15" s="1"/>
  <c r="AA18" i="15"/>
  <c r="AB18" i="15" s="1"/>
  <c r="AA17" i="15"/>
  <c r="AB17" i="15" s="1"/>
  <c r="Z19" i="14"/>
  <c r="AA19" i="14" s="1"/>
  <c r="AB19" i="14" s="1"/>
  <c r="AA18" i="14"/>
  <c r="AB18" i="14" s="1"/>
  <c r="AA17" i="14"/>
  <c r="AB17" i="14" s="1"/>
  <c r="Z19" i="10"/>
  <c r="AA19" i="10" s="1"/>
  <c r="AA18" i="10"/>
  <c r="AA17" i="10"/>
  <c r="Z19" i="1"/>
  <c r="AA19" i="1" s="1"/>
  <c r="AB19" i="1" s="1"/>
  <c r="AA18" i="1"/>
  <c r="AB18" i="1" s="1"/>
  <c r="AA17" i="1"/>
  <c r="AB17" i="1" s="1"/>
  <c r="C40" i="12" l="1"/>
  <c r="C39" i="12"/>
  <c r="C34" i="2"/>
  <c r="C33" i="2"/>
  <c r="C40" i="11"/>
  <c r="C39" i="11"/>
  <c r="C39" i="6"/>
  <c r="C38" i="6"/>
  <c r="C40" i="10"/>
  <c r="C39" i="10"/>
  <c r="C40" i="1"/>
  <c r="C39" i="1"/>
  <c r="Y30" i="15" l="1"/>
  <c r="V31" i="15" s="1"/>
  <c r="Y28" i="15"/>
  <c r="V30" i="15" s="1"/>
  <c r="Y30" i="14"/>
  <c r="V27" i="14" s="1"/>
  <c r="Y28" i="14"/>
  <c r="V26" i="14" s="1"/>
  <c r="AA34" i="11"/>
  <c r="V28" i="11" s="1"/>
  <c r="Y34" i="11"/>
  <c r="V25" i="11" s="1"/>
  <c r="AA32" i="11"/>
  <c r="V27" i="11" s="1"/>
  <c r="Y32" i="11"/>
  <c r="V24" i="11" s="1"/>
  <c r="AA34" i="6"/>
  <c r="V28" i="6" s="1"/>
  <c r="Y34" i="6"/>
  <c r="V25" i="6" s="1"/>
  <c r="AA32" i="6"/>
  <c r="V27" i="6" s="1"/>
  <c r="Y32" i="6"/>
  <c r="V24" i="6" s="1"/>
  <c r="Y31" i="10"/>
  <c r="V25" i="10" s="1"/>
  <c r="Y29" i="10"/>
  <c r="V24" i="10" s="1"/>
  <c r="Y31" i="1"/>
  <c r="V25" i="1" s="1"/>
  <c r="Y29" i="1"/>
  <c r="V24" i="1" s="1"/>
  <c r="P33" i="14" l="1"/>
  <c r="P34" i="14"/>
  <c r="P35" i="11"/>
  <c r="P34" i="11"/>
  <c r="P35" i="6"/>
  <c r="P34" i="6"/>
  <c r="P40" i="12"/>
  <c r="P39" i="12"/>
  <c r="J37" i="14" l="1"/>
  <c r="F37" i="14"/>
  <c r="P40" i="10"/>
  <c r="P35" i="14"/>
  <c r="P35" i="15" s="1"/>
  <c r="P32" i="14"/>
  <c r="F38" i="14" s="1"/>
  <c r="P31" i="14"/>
  <c r="P30" i="14"/>
  <c r="F36" i="14" s="1"/>
  <c r="J39" i="11"/>
  <c r="J40" i="11"/>
  <c r="F39" i="11"/>
  <c r="P40" i="11"/>
  <c r="P39" i="11"/>
  <c r="P38" i="11"/>
  <c r="P33" i="11"/>
  <c r="P32" i="11"/>
  <c r="J39" i="6"/>
  <c r="J38" i="6"/>
  <c r="G38" i="6"/>
  <c r="D38" i="6"/>
  <c r="P33" i="6"/>
  <c r="P32" i="6"/>
  <c r="F38" i="6" s="1"/>
  <c r="P38" i="6"/>
  <c r="P38" i="2"/>
  <c r="F35" i="2"/>
  <c r="F34" i="2"/>
  <c r="F33" i="2"/>
  <c r="F39" i="10"/>
  <c r="F41" i="10"/>
  <c r="F40" i="10"/>
  <c r="P32" i="10"/>
  <c r="P31" i="10"/>
  <c r="P30" i="10"/>
  <c r="P39" i="10"/>
  <c r="P38" i="10"/>
  <c r="F40" i="1"/>
  <c r="P32" i="1"/>
  <c r="F41" i="1" s="1"/>
  <c r="P31" i="1"/>
  <c r="P30" i="1"/>
  <c r="F39" i="1" s="1"/>
  <c r="J39" i="10"/>
  <c r="J40" i="10"/>
  <c r="P35" i="10"/>
  <c r="J40" i="1"/>
  <c r="I41" i="1"/>
  <c r="J39" i="1"/>
  <c r="P35" i="1"/>
  <c r="P40" i="14" l="1"/>
  <c r="P40" i="15" s="1"/>
  <c r="P38" i="14"/>
  <c r="J36" i="14"/>
  <c r="P40" i="1"/>
  <c r="P26" i="2" s="1"/>
  <c r="P38" i="1"/>
  <c r="P24" i="2" s="1"/>
  <c r="P25" i="2" s="1"/>
  <c r="P27" i="12"/>
  <c r="P28" i="12" s="1"/>
  <c r="P39" i="6"/>
  <c r="P40" i="6"/>
  <c r="P29" i="12" s="1"/>
  <c r="P39" i="1"/>
  <c r="P38" i="15" l="1"/>
  <c r="P39" i="14"/>
  <c r="P39" i="15" s="1"/>
  <c r="C9" i="14"/>
  <c r="G39" i="11" l="1"/>
  <c r="D39" i="11"/>
  <c r="D40" i="11"/>
  <c r="H25" i="15" l="1"/>
  <c r="C27" i="15"/>
  <c r="C26" i="15"/>
  <c r="C25" i="15"/>
  <c r="H19" i="15"/>
  <c r="C21" i="15"/>
  <c r="C20" i="15"/>
  <c r="C27" i="14"/>
  <c r="C26" i="14"/>
  <c r="C19" i="15"/>
  <c r="P41" i="15"/>
  <c r="P42" i="15"/>
  <c r="Q29" i="15"/>
  <c r="Q28" i="15"/>
  <c r="Q27" i="15"/>
  <c r="P27" i="15"/>
  <c r="P28" i="15"/>
  <c r="P26" i="15"/>
  <c r="H26" i="14"/>
  <c r="H28" i="14"/>
  <c r="H27" i="14"/>
  <c r="C23" i="14"/>
  <c r="U39" i="14"/>
  <c r="H20" i="14"/>
  <c r="C20" i="14"/>
  <c r="C16" i="14"/>
  <c r="H10" i="14"/>
  <c r="H9" i="14"/>
  <c r="J37" i="15" l="1"/>
  <c r="F37" i="15"/>
  <c r="C38" i="15"/>
  <c r="C36" i="15"/>
  <c r="G36" i="15"/>
  <c r="E36" i="15"/>
  <c r="D36" i="15"/>
  <c r="H20" i="15"/>
  <c r="G37" i="15"/>
  <c r="H28" i="15"/>
  <c r="E37" i="15"/>
  <c r="E38" i="15"/>
  <c r="D38" i="15"/>
  <c r="H27" i="15"/>
  <c r="D37" i="15"/>
  <c r="I38" i="15"/>
  <c r="G38" i="15"/>
  <c r="H38" i="15"/>
  <c r="C37" i="15"/>
  <c r="I41" i="10"/>
  <c r="H41" i="10"/>
  <c r="G41" i="10"/>
  <c r="E41" i="10"/>
  <c r="D41" i="10"/>
  <c r="C41" i="10"/>
  <c r="G40" i="10"/>
  <c r="D40" i="10"/>
  <c r="G39" i="10"/>
  <c r="D39" i="10"/>
  <c r="D39" i="1"/>
  <c r="D38" i="14"/>
  <c r="E38" i="14" s="1"/>
  <c r="D37" i="14"/>
  <c r="D36" i="14"/>
  <c r="I38" i="14"/>
  <c r="H38" i="14"/>
  <c r="G38" i="14"/>
  <c r="G37" i="14"/>
  <c r="G36" i="14"/>
  <c r="E37" i="14"/>
  <c r="E36" i="14"/>
  <c r="C38" i="14"/>
  <c r="C37" i="14"/>
  <c r="C36" i="14"/>
  <c r="C31" i="14"/>
  <c r="H33" i="14"/>
  <c r="H32" i="14"/>
  <c r="C28" i="14"/>
  <c r="C22" i="14"/>
  <c r="C21" i="14"/>
  <c r="Z13" i="15"/>
  <c r="AA13" i="15" s="1"/>
  <c r="AA12" i="15"/>
  <c r="AA11" i="15"/>
  <c r="V20" i="15" s="1"/>
  <c r="Z13" i="14"/>
  <c r="AA13" i="14" s="1"/>
  <c r="AB13" i="14" s="1"/>
  <c r="AA12" i="14"/>
  <c r="AB12" i="14" s="1"/>
  <c r="AA11" i="14"/>
  <c r="AB11" i="14" s="1"/>
  <c r="V20" i="14" s="1"/>
  <c r="P48" i="14" l="1"/>
  <c r="P47" i="14"/>
  <c r="P46" i="14"/>
  <c r="P31" i="15"/>
  <c r="Q14" i="14"/>
  <c r="P10" i="14"/>
  <c r="H42" i="14" l="1"/>
  <c r="P47" i="15"/>
  <c r="H41" i="14"/>
  <c r="P46" i="15"/>
  <c r="H43" i="14"/>
  <c r="P48" i="15"/>
  <c r="P32" i="15"/>
  <c r="F38" i="15" s="1"/>
  <c r="P30" i="15"/>
  <c r="F36" i="15" s="1"/>
  <c r="P33" i="15"/>
  <c r="J36" i="15" s="1"/>
  <c r="P34" i="15"/>
  <c r="C19" i="14" l="1"/>
  <c r="P3" i="15"/>
  <c r="A5" i="15" s="1"/>
  <c r="P4" i="15"/>
  <c r="P5" i="15"/>
  <c r="P7" i="15"/>
  <c r="H9" i="15" s="1"/>
  <c r="P8" i="15"/>
  <c r="H10" i="15" s="1"/>
  <c r="P9" i="15"/>
  <c r="C9" i="15" s="1"/>
  <c r="Y9" i="15"/>
  <c r="P11" i="15"/>
  <c r="V11" i="15"/>
  <c r="V12" i="15"/>
  <c r="Q14" i="15"/>
  <c r="C24" i="15" s="1"/>
  <c r="Y15" i="15"/>
  <c r="C16" i="15"/>
  <c r="Y24" i="15"/>
  <c r="H26" i="15"/>
  <c r="C31" i="15"/>
  <c r="U33" i="15"/>
  <c r="H31" i="15"/>
  <c r="H32" i="15"/>
  <c r="V37" i="15"/>
  <c r="H33" i="15"/>
  <c r="U39" i="15"/>
  <c r="V43" i="15"/>
  <c r="A5" i="14"/>
  <c r="Y9" i="14"/>
  <c r="H8" i="14"/>
  <c r="H13" i="14"/>
  <c r="H14" i="14"/>
  <c r="Y15" i="14"/>
  <c r="H22" i="14"/>
  <c r="H21" i="14"/>
  <c r="Y24" i="14"/>
  <c r="U33" i="14"/>
  <c r="C32" i="14"/>
  <c r="H31" i="14"/>
  <c r="V37" i="14"/>
  <c r="V43" i="14"/>
  <c r="C15" i="15" l="1"/>
  <c r="AB12" i="15"/>
  <c r="H14" i="15" s="1"/>
  <c r="AB13" i="15"/>
  <c r="AB11" i="15"/>
  <c r="H41" i="15"/>
  <c r="H43" i="15"/>
  <c r="H42" i="15"/>
  <c r="V19" i="15"/>
  <c r="C14" i="15" s="1"/>
  <c r="C32" i="15"/>
  <c r="P10" i="15"/>
  <c r="H8" i="15" s="1"/>
  <c r="C33" i="14"/>
  <c r="V21" i="15" l="1"/>
  <c r="V22" i="15" s="1"/>
  <c r="H15" i="15"/>
  <c r="C33" i="15"/>
  <c r="H13" i="15"/>
  <c r="V40" i="11" l="1"/>
  <c r="V34" i="11"/>
  <c r="V40" i="6"/>
  <c r="V34" i="6"/>
  <c r="V32" i="10"/>
  <c r="V38" i="10"/>
  <c r="V38" i="1"/>
  <c r="V32" i="1"/>
  <c r="H31" i="11" l="1"/>
  <c r="H30" i="11"/>
  <c r="H30" i="6"/>
  <c r="H29" i="1"/>
  <c r="H29" i="10"/>
  <c r="H28" i="10"/>
  <c r="H28" i="1"/>
  <c r="C34" i="1" l="1"/>
  <c r="G39" i="1"/>
  <c r="G40" i="1"/>
  <c r="D40" i="1"/>
  <c r="H41" i="1"/>
  <c r="G41" i="1"/>
  <c r="D41" i="1"/>
  <c r="C41" i="1"/>
  <c r="G33" i="2"/>
  <c r="D33" i="2"/>
  <c r="I35" i="2"/>
  <c r="E35" i="2" l="1"/>
  <c r="G35" i="2"/>
  <c r="D35" i="2"/>
  <c r="H35" i="2"/>
  <c r="P16" i="2"/>
  <c r="P20" i="2"/>
  <c r="P9" i="2"/>
  <c r="P8" i="2"/>
  <c r="P6" i="2"/>
  <c r="P5" i="2"/>
  <c r="P12" i="2" s="1"/>
  <c r="P48" i="1"/>
  <c r="P47" i="1"/>
  <c r="P46" i="1"/>
  <c r="G39" i="12" l="1"/>
  <c r="G40" i="12"/>
  <c r="D40" i="12"/>
  <c r="D39" i="12"/>
  <c r="P29" i="11" l="1"/>
  <c r="A5" i="11" s="1"/>
  <c r="Y24" i="6" a="1"/>
  <c r="Y24" i="6" s="1"/>
  <c r="P9" i="12"/>
  <c r="P12" i="12"/>
  <c r="P11" i="12"/>
  <c r="Y27" i="6" a="1"/>
  <c r="Y27" i="6" s="1"/>
  <c r="A5" i="6" l="1"/>
  <c r="P8" i="12" s="1"/>
  <c r="P15" i="12" s="1"/>
  <c r="P37" i="12" l="1"/>
  <c r="F40" i="12" l="1"/>
  <c r="H29" i="6"/>
  <c r="C23" i="6"/>
  <c r="AA18" i="6"/>
  <c r="G34" i="2" l="1"/>
  <c r="D34" i="2"/>
  <c r="G40" i="11" l="1"/>
  <c r="F40" i="11"/>
  <c r="P33" i="12"/>
  <c r="P36" i="12" l="1"/>
  <c r="P38" i="12" s="1"/>
  <c r="C34" i="12"/>
  <c r="P29" i="2"/>
  <c r="P5" i="10" l="1"/>
  <c r="Y24" i="10" l="1"/>
  <c r="Y24" i="1"/>
  <c r="F39" i="12" l="1"/>
  <c r="F39" i="6"/>
  <c r="P26" i="10" l="1"/>
  <c r="P42" i="10"/>
  <c r="P45" i="10"/>
  <c r="P4" i="10"/>
  <c r="J34" i="2"/>
  <c r="P21" i="2"/>
  <c r="V17" i="10" l="1" a="1"/>
  <c r="V17" i="10" s="1"/>
  <c r="V16" i="10" a="1"/>
  <c r="V16" i="10" s="1"/>
  <c r="V18" i="10" a="1"/>
  <c r="V18" i="10" s="1"/>
  <c r="V15" i="10" a="1"/>
  <c r="V15" i="10" s="1"/>
  <c r="P48" i="10"/>
  <c r="P46" i="10"/>
  <c r="P47" i="10"/>
  <c r="R8" i="2"/>
  <c r="V23" i="2" l="1"/>
  <c r="V22" i="2"/>
  <c r="V21" i="2"/>
  <c r="V20" i="2"/>
  <c r="S17" i="2"/>
  <c r="S16" i="2"/>
  <c r="H19" i="2" s="1"/>
  <c r="P24" i="12" l="1"/>
  <c r="P20" i="12"/>
  <c r="P16" i="12"/>
  <c r="S24" i="12"/>
  <c r="P17" i="2"/>
  <c r="P13" i="2"/>
  <c r="P41" i="10"/>
  <c r="P22" i="10"/>
  <c r="P23" i="10"/>
  <c r="P21" i="10"/>
  <c r="P24" i="11"/>
  <c r="P23" i="11"/>
  <c r="P17" i="11"/>
  <c r="P16" i="11"/>
  <c r="P17" i="10"/>
  <c r="P16" i="10"/>
  <c r="P8" i="10"/>
  <c r="P9" i="10"/>
  <c r="P11" i="10"/>
  <c r="P7" i="10"/>
  <c r="P45" i="11"/>
  <c r="P46" i="11"/>
  <c r="P47" i="11"/>
  <c r="P48" i="11"/>
  <c r="P44" i="11"/>
  <c r="P41" i="11"/>
  <c r="P8" i="11"/>
  <c r="P9" i="11"/>
  <c r="P11" i="11"/>
  <c r="P7" i="11"/>
  <c r="AB17" i="10" l="1"/>
  <c r="AB19" i="10"/>
  <c r="AB18" i="10"/>
  <c r="P23" i="12"/>
  <c r="C27" i="12" s="1"/>
  <c r="P19" i="12"/>
  <c r="C6" i="12"/>
  <c r="C13" i="12" l="1"/>
  <c r="C10" i="12"/>
  <c r="J40" i="12"/>
  <c r="J39" i="12"/>
  <c r="H36" i="12"/>
  <c r="H35" i="12"/>
  <c r="C19" i="12"/>
  <c r="C15" i="12"/>
  <c r="C12" i="12"/>
  <c r="H45" i="11"/>
  <c r="H44" i="11"/>
  <c r="C44" i="11"/>
  <c r="H43" i="11"/>
  <c r="C43" i="11"/>
  <c r="H36" i="11"/>
  <c r="U36" i="11"/>
  <c r="H35" i="11"/>
  <c r="H34" i="11"/>
  <c r="C34" i="11"/>
  <c r="C36" i="11"/>
  <c r="U30" i="11"/>
  <c r="C29" i="11"/>
  <c r="C28" i="11"/>
  <c r="C27" i="11"/>
  <c r="C23" i="11"/>
  <c r="C22" i="11"/>
  <c r="C21" i="11"/>
  <c r="C20" i="11"/>
  <c r="Z19" i="11"/>
  <c r="AA19" i="11" s="1"/>
  <c r="AA18" i="11"/>
  <c r="AB18" i="11" s="1"/>
  <c r="AA17" i="11"/>
  <c r="AB17" i="11" s="1"/>
  <c r="Y15" i="11"/>
  <c r="Z13" i="11"/>
  <c r="AA13" i="11" s="1"/>
  <c r="V11" i="11" s="1"/>
  <c r="AA12" i="11"/>
  <c r="AB12" i="11" s="1"/>
  <c r="C30" i="11" s="1"/>
  <c r="AA11" i="11"/>
  <c r="AB11" i="11" s="1"/>
  <c r="V20" i="11" s="1"/>
  <c r="C14" i="11" s="1"/>
  <c r="C14" i="12" s="1"/>
  <c r="Y9" i="11"/>
  <c r="H9" i="11"/>
  <c r="C9" i="11"/>
  <c r="H8" i="11"/>
  <c r="H27" i="6"/>
  <c r="H28" i="6" s="1"/>
  <c r="H20" i="6"/>
  <c r="Z19" i="6"/>
  <c r="AA19" i="6" s="1"/>
  <c r="AB19" i="6" s="1"/>
  <c r="AB18" i="6"/>
  <c r="AA17" i="6"/>
  <c r="AB17" i="6" s="1"/>
  <c r="Z13" i="6"/>
  <c r="AA13" i="6" s="1"/>
  <c r="AA12" i="6"/>
  <c r="AB12" i="6" s="1"/>
  <c r="AA11" i="6"/>
  <c r="AB11" i="6" s="1"/>
  <c r="V20" i="6" s="1"/>
  <c r="P25" i="6"/>
  <c r="P25" i="11" s="1"/>
  <c r="H29" i="11" s="1"/>
  <c r="P18" i="6"/>
  <c r="P10" i="6"/>
  <c r="P10" i="11" s="1"/>
  <c r="C10" i="11" s="1"/>
  <c r="H35" i="6"/>
  <c r="H34" i="6"/>
  <c r="C33" i="6"/>
  <c r="C29" i="6"/>
  <c r="C29" i="12" s="1"/>
  <c r="C28" i="6"/>
  <c r="C28" i="12" s="1"/>
  <c r="C27" i="6"/>
  <c r="C22" i="6"/>
  <c r="C21" i="12" s="1"/>
  <c r="C21" i="6"/>
  <c r="C20" i="12" s="1"/>
  <c r="C20" i="6"/>
  <c r="AB13" i="6" l="1"/>
  <c r="V12" i="6"/>
  <c r="C30" i="6"/>
  <c r="S23" i="12" s="1"/>
  <c r="H11" i="12" s="1"/>
  <c r="C31" i="12" s="1"/>
  <c r="V11" i="6"/>
  <c r="C16" i="6" s="1"/>
  <c r="AB19" i="11"/>
  <c r="V12" i="11"/>
  <c r="H22" i="6"/>
  <c r="H21" i="12" s="1"/>
  <c r="P18" i="11"/>
  <c r="H22" i="11" s="1"/>
  <c r="AB13" i="11"/>
  <c r="C35" i="11"/>
  <c r="V19" i="11" l="1"/>
  <c r="C16" i="11"/>
  <c r="H14" i="11" s="1"/>
  <c r="H20" i="2"/>
  <c r="C12" i="2"/>
  <c r="H46" i="10"/>
  <c r="H45" i="10"/>
  <c r="H44" i="10"/>
  <c r="C44" i="10"/>
  <c r="H36" i="10"/>
  <c r="H35" i="10"/>
  <c r="U34" i="10"/>
  <c r="H34" i="10"/>
  <c r="C34" i="10"/>
  <c r="H31" i="10"/>
  <c r="C36" i="10"/>
  <c r="H30" i="10"/>
  <c r="C30" i="10"/>
  <c r="C29" i="10"/>
  <c r="U28" i="10"/>
  <c r="C28" i="10"/>
  <c r="C25" i="10"/>
  <c r="C24" i="10"/>
  <c r="C23" i="10"/>
  <c r="C22" i="10"/>
  <c r="H21" i="10"/>
  <c r="H22" i="10" s="1"/>
  <c r="C21" i="10"/>
  <c r="C17" i="10"/>
  <c r="Y15" i="10"/>
  <c r="Z13" i="10"/>
  <c r="AA13" i="10" s="1"/>
  <c r="V12" i="10" s="1"/>
  <c r="AA12" i="10"/>
  <c r="AA11" i="10"/>
  <c r="H10" i="10"/>
  <c r="Y9" i="10"/>
  <c r="H9" i="10"/>
  <c r="C9" i="10"/>
  <c r="A5" i="10"/>
  <c r="Z13" i="1"/>
  <c r="AA13" i="1" s="1"/>
  <c r="AA12" i="1"/>
  <c r="AB12" i="1" s="1"/>
  <c r="AA11" i="1"/>
  <c r="AB13" i="1" l="1"/>
  <c r="V12" i="1"/>
  <c r="V11" i="10"/>
  <c r="V19" i="10" s="1"/>
  <c r="AB13" i="10"/>
  <c r="AB12" i="10"/>
  <c r="C31" i="10" s="1"/>
  <c r="AB11" i="1"/>
  <c r="V20" i="1" s="1"/>
  <c r="AB11" i="10"/>
  <c r="P40" i="2"/>
  <c r="C15" i="11"/>
  <c r="V21" i="11"/>
  <c r="C35" i="10"/>
  <c r="V11" i="1"/>
  <c r="V20" i="10" l="1"/>
  <c r="C14" i="10" s="1"/>
  <c r="V19" i="1"/>
  <c r="H13" i="11"/>
  <c r="V22" i="11"/>
  <c r="H15" i="11" s="1"/>
  <c r="C16" i="10"/>
  <c r="C15" i="10"/>
  <c r="V21" i="10"/>
  <c r="H14" i="10" l="1"/>
  <c r="H13" i="10"/>
  <c r="V22" i="10"/>
  <c r="H15" i="10" s="1"/>
  <c r="V52" i="2" l="1"/>
  <c r="V53" i="2" s="1"/>
  <c r="V51" i="2"/>
  <c r="H31" i="1" l="1"/>
  <c r="H30" i="1"/>
  <c r="P18" i="1" l="1"/>
  <c r="P18" i="10" s="1"/>
  <c r="H23" i="10" s="1"/>
  <c r="P10" i="1" l="1"/>
  <c r="P10" i="10" s="1"/>
  <c r="H8" i="10" s="1"/>
  <c r="C31" i="1"/>
  <c r="H25" i="2" s="1"/>
  <c r="C25" i="1" l="1"/>
  <c r="C43" i="6" l="1"/>
  <c r="Q21" i="6"/>
  <c r="C26" i="6" l="1"/>
  <c r="C26" i="12" s="1"/>
  <c r="Q21" i="11"/>
  <c r="C26" i="11" s="1"/>
  <c r="H44" i="6"/>
  <c r="H43" i="6"/>
  <c r="H42" i="6"/>
  <c r="C42" i="6"/>
  <c r="G39" i="6"/>
  <c r="D39" i="6"/>
  <c r="U36" i="6"/>
  <c r="H33" i="6"/>
  <c r="H34" i="12" s="1"/>
  <c r="C35" i="6"/>
  <c r="U30" i="6"/>
  <c r="H21" i="6"/>
  <c r="C14" i="6"/>
  <c r="V19" i="6"/>
  <c r="Y15" i="6"/>
  <c r="Q14" i="6"/>
  <c r="H9" i="6"/>
  <c r="H6" i="12" s="1"/>
  <c r="Y9" i="6"/>
  <c r="H8" i="6"/>
  <c r="H5" i="12" s="1"/>
  <c r="C9" i="6"/>
  <c r="C10" i="6"/>
  <c r="C7" i="12" s="1"/>
  <c r="H28" i="2"/>
  <c r="H34" i="1"/>
  <c r="H30" i="2"/>
  <c r="H29" i="2"/>
  <c r="C14" i="2"/>
  <c r="C15" i="2"/>
  <c r="C13" i="2"/>
  <c r="C10" i="2"/>
  <c r="C7" i="2"/>
  <c r="C5" i="2"/>
  <c r="H14" i="6" l="1"/>
  <c r="C11" i="12"/>
  <c r="H10" i="12" s="1"/>
  <c r="C23" i="12" s="1"/>
  <c r="C19" i="6"/>
  <c r="C18" i="12" s="1"/>
  <c r="Q14" i="11"/>
  <c r="C19" i="11" s="1"/>
  <c r="C15" i="6"/>
  <c r="V21" i="6"/>
  <c r="V22" i="6" s="1"/>
  <c r="C34" i="6"/>
  <c r="C16" i="1"/>
  <c r="H12" i="12" l="1"/>
  <c r="H13" i="12" s="1"/>
  <c r="H14" i="12" s="1"/>
  <c r="H15" i="6"/>
  <c r="H13" i="6"/>
  <c r="A5" i="1"/>
  <c r="C44" i="1"/>
  <c r="H45" i="1"/>
  <c r="H46" i="1"/>
  <c r="H44" i="1"/>
  <c r="H36" i="1"/>
  <c r="H35" i="1"/>
  <c r="H23" i="1"/>
  <c r="C24" i="1"/>
  <c r="C21" i="1"/>
  <c r="C19" i="2" s="1"/>
  <c r="C17" i="1"/>
  <c r="Y15" i="1"/>
  <c r="Y9" i="1"/>
  <c r="U34" i="1"/>
  <c r="U28" i="1"/>
  <c r="H21" i="1"/>
  <c r="C15" i="1"/>
  <c r="H11" i="2" s="1"/>
  <c r="J33" i="2"/>
  <c r="P35" i="2"/>
  <c r="C30" i="1"/>
  <c r="H24" i="2" s="1"/>
  <c r="C29" i="1"/>
  <c r="C25" i="2" s="1"/>
  <c r="C28" i="1"/>
  <c r="C24" i="2" s="1"/>
  <c r="C23" i="1"/>
  <c r="C21" i="2" s="1"/>
  <c r="C22" i="1"/>
  <c r="C20" i="2" s="1"/>
  <c r="Q14" i="1"/>
  <c r="P39" i="2" l="1"/>
  <c r="E41" i="1"/>
  <c r="C28" i="2"/>
  <c r="C36" i="12"/>
  <c r="C35" i="12"/>
  <c r="C20" i="1"/>
  <c r="C18" i="2" s="1"/>
  <c r="Q14" i="10"/>
  <c r="C20" i="10" s="1"/>
  <c r="H21" i="2"/>
  <c r="H22" i="1"/>
  <c r="C36" i="1"/>
  <c r="C35" i="1"/>
  <c r="P33" i="2"/>
  <c r="P34" i="2"/>
  <c r="V21" i="1"/>
  <c r="H13" i="1" s="1"/>
  <c r="C29" i="2" l="1"/>
  <c r="C30" i="2"/>
  <c r="V22" i="1"/>
  <c r="H15" i="1" s="1"/>
  <c r="C14" i="1"/>
  <c r="H14" i="1" l="1"/>
  <c r="C11" i="2"/>
  <c r="H10" i="2" s="1"/>
  <c r="H12" i="2" s="1"/>
  <c r="H13" i="2" s="1"/>
  <c r="H8" i="1"/>
  <c r="C9" i="1"/>
  <c r="H10" i="1"/>
  <c r="H9" i="1"/>
  <c r="H5" i="2" l="1"/>
  <c r="C6" i="2"/>
  <c r="H7" i="2"/>
  <c r="H6" i="2"/>
  <c r="Y24" i="11" a="1"/>
  <c r="Y24" i="11" s="1"/>
  <c r="H20" i="11" s="1"/>
  <c r="Y27" i="11" a="1"/>
  <c r="Y27" i="11" s="1"/>
  <c r="H27" i="11" s="1"/>
  <c r="H28" i="11" l="1"/>
  <c r="S13" i="12"/>
  <c r="H27" i="12" s="1"/>
  <c r="H28" i="12" s="1"/>
  <c r="H21" i="11"/>
  <c r="S12" i="12"/>
  <c r="H19" i="12" s="1"/>
  <c r="H20" i="12" s="1"/>
  <c r="V11" i="14"/>
  <c r="V12" i="14"/>
  <c r="C15" i="14" l="1"/>
  <c r="V19" i="14"/>
  <c r="C14" i="14" s="1"/>
  <c r="V21" i="14" l="1"/>
  <c r="V22" i="14" l="1"/>
  <c r="H16" i="14" s="1"/>
  <c r="H15" i="14"/>
</calcChain>
</file>

<file path=xl/sharedStrings.xml><?xml version="1.0" encoding="utf-8"?>
<sst xmlns="http://schemas.openxmlformats.org/spreadsheetml/2006/main" count="1763" uniqueCount="450">
  <si>
    <t>Tons</t>
  </si>
  <si>
    <t>EER</t>
  </si>
  <si>
    <t>Compressor Size 1:</t>
  </si>
  <si>
    <t>Compressor Size 2:</t>
  </si>
  <si>
    <t>Qty</t>
  </si>
  <si>
    <t>HP</t>
  </si>
  <si>
    <t>VAC</t>
  </si>
  <si>
    <t>Phase</t>
  </si>
  <si>
    <t>RPM</t>
  </si>
  <si>
    <t>FLA</t>
  </si>
  <si>
    <t>RLA</t>
  </si>
  <si>
    <t>Unit Power Supply:</t>
  </si>
  <si>
    <t>460/3/60</t>
  </si>
  <si>
    <t>Electrical Characteristics</t>
  </si>
  <si>
    <r>
      <rPr>
        <sz val="11"/>
        <color theme="1"/>
        <rFont val="Verdana"/>
        <family val="2"/>
      </rPr>
      <t>°</t>
    </r>
    <r>
      <rPr>
        <sz val="11"/>
        <color theme="1"/>
        <rFont val="Calibri"/>
        <family val="2"/>
      </rPr>
      <t>F</t>
    </r>
  </si>
  <si>
    <t>Design Dry Bulb</t>
  </si>
  <si>
    <t>Design Wet Bulb</t>
  </si>
  <si>
    <t>Water</t>
  </si>
  <si>
    <t>Fluid:</t>
  </si>
  <si>
    <t>Entering Fluid Temp.:</t>
  </si>
  <si>
    <t>Leaving Fluid Temp.:</t>
  </si>
  <si>
    <t xml:space="preserve">Fouling Factor </t>
  </si>
  <si>
    <t>HXC Pressure Drop</t>
  </si>
  <si>
    <t>psi</t>
  </si>
  <si>
    <t>Fluid Freezing Point</t>
  </si>
  <si>
    <r>
      <t>(hr. ft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 xml:space="preserve"> F/Btu)</t>
    </r>
  </si>
  <si>
    <t>Air- Cooled Condenser</t>
  </si>
  <si>
    <t>Conditions of Service</t>
  </si>
  <si>
    <t>Percent Full Load:</t>
  </si>
  <si>
    <t>Unit Power</t>
  </si>
  <si>
    <t>kW</t>
  </si>
  <si>
    <t>Compressor Power</t>
  </si>
  <si>
    <t>Fan Power</t>
  </si>
  <si>
    <t>ft</t>
  </si>
  <si>
    <t>Energy Efficiency</t>
  </si>
  <si>
    <t>Btu/W*h</t>
  </si>
  <si>
    <t>Model</t>
  </si>
  <si>
    <t>DSH184</t>
  </si>
  <si>
    <t>DSH381</t>
  </si>
  <si>
    <t>Job Information</t>
  </si>
  <si>
    <t>Job Name</t>
  </si>
  <si>
    <t>Altitude</t>
  </si>
  <si>
    <t xml:space="preserve">Job Number </t>
  </si>
  <si>
    <t>R-410A</t>
  </si>
  <si>
    <t>Refrigerant</t>
  </si>
  <si>
    <t>Evaporator Application</t>
  </si>
  <si>
    <t>ft. H20</t>
  </si>
  <si>
    <t>Heat Rejection Capacity</t>
  </si>
  <si>
    <t>Refrigeration Capacity</t>
  </si>
  <si>
    <t>kW/Ton</t>
  </si>
  <si>
    <t>Cooling Efficiency</t>
  </si>
  <si>
    <t>Compressor Efficiency</t>
  </si>
  <si>
    <t>Length</t>
  </si>
  <si>
    <t>Width</t>
  </si>
  <si>
    <t>inches</t>
  </si>
  <si>
    <t>Height</t>
  </si>
  <si>
    <t>Unit Information</t>
  </si>
  <si>
    <t>Brazed Plate</t>
  </si>
  <si>
    <t>Variable Speed</t>
  </si>
  <si>
    <t>CH-1</t>
  </si>
  <si>
    <t>Sales Engineer</t>
  </si>
  <si>
    <t>Sales Office</t>
  </si>
  <si>
    <t>Engineer/Contractor</t>
  </si>
  <si>
    <t>Job Number</t>
  </si>
  <si>
    <t>DSH090A3</t>
  </si>
  <si>
    <t>DSH090A4</t>
  </si>
  <si>
    <t>DSH090A7</t>
  </si>
  <si>
    <t>DSH120A3</t>
  </si>
  <si>
    <t>DSH120A4</t>
  </si>
  <si>
    <t>DSH120A7</t>
  </si>
  <si>
    <t>DSH184A3</t>
  </si>
  <si>
    <t>DSH184A4</t>
  </si>
  <si>
    <t>DSH184A7</t>
  </si>
  <si>
    <t>DSH240A3</t>
  </si>
  <si>
    <t>DSH240A4</t>
  </si>
  <si>
    <t>DSH240A7</t>
  </si>
  <si>
    <t>DSH295A3</t>
  </si>
  <si>
    <t>DSH295A4</t>
  </si>
  <si>
    <t>DSH295A7</t>
  </si>
  <si>
    <t>DSH381A3</t>
  </si>
  <si>
    <t>DSH381A4</t>
  </si>
  <si>
    <t>DSH381A7</t>
  </si>
  <si>
    <t>DSH485A3</t>
  </si>
  <si>
    <t>DSH485A4</t>
  </si>
  <si>
    <t>DSH485A7</t>
  </si>
  <si>
    <t>Compressor Model</t>
  </si>
  <si>
    <t>Compressor MCC</t>
  </si>
  <si>
    <t>Compressor LRA</t>
  </si>
  <si>
    <t>Evaporator Conditions</t>
  </si>
  <si>
    <t xml:space="preserve">EWT </t>
  </si>
  <si>
    <t xml:space="preserve">LWT </t>
  </si>
  <si>
    <t>Fluid</t>
  </si>
  <si>
    <t>Glycol %</t>
  </si>
  <si>
    <t>P.G.</t>
  </si>
  <si>
    <t>E.G.</t>
  </si>
  <si>
    <t>Air-Cooled Condenser</t>
  </si>
  <si>
    <t>%</t>
  </si>
  <si>
    <t>Fluid Type</t>
  </si>
  <si>
    <t>Low Ambient</t>
  </si>
  <si>
    <t>Low Ambient Control</t>
  </si>
  <si>
    <t>208/3/60</t>
  </si>
  <si>
    <t>575/3/60</t>
  </si>
  <si>
    <t>Voltage</t>
  </si>
  <si>
    <t>DSH090</t>
  </si>
  <si>
    <t>DSH120</t>
  </si>
  <si>
    <t>DSH240</t>
  </si>
  <si>
    <t>DSH295</t>
  </si>
  <si>
    <t>DSH485</t>
  </si>
  <si>
    <t>Compressor</t>
  </si>
  <si>
    <t>QTY</t>
  </si>
  <si>
    <t>Comp QTY</t>
  </si>
  <si>
    <t>Condenser Fans</t>
  </si>
  <si>
    <t>Fans QTY</t>
  </si>
  <si>
    <t>VAC Comp #1</t>
  </si>
  <si>
    <t>VAC Comp #2</t>
  </si>
  <si>
    <t>VAC Fan</t>
  </si>
  <si>
    <t>Compressor RLA</t>
  </si>
  <si>
    <t>Comp #1 RLA</t>
  </si>
  <si>
    <t>Comp #2 RLA</t>
  </si>
  <si>
    <t>COMP RLA Look Up Value</t>
  </si>
  <si>
    <t>Comp Input Value</t>
  </si>
  <si>
    <t>Component</t>
  </si>
  <si>
    <t>CPT</t>
  </si>
  <si>
    <t>COMP</t>
  </si>
  <si>
    <t>A</t>
  </si>
  <si>
    <t>B</t>
  </si>
  <si>
    <t>C</t>
  </si>
  <si>
    <t>D</t>
  </si>
  <si>
    <t>FANS</t>
  </si>
  <si>
    <t>tons</t>
  </si>
  <si>
    <t>kW/ton</t>
  </si>
  <si>
    <t>evap psid</t>
  </si>
  <si>
    <t>evap GPM</t>
  </si>
  <si>
    <t>SST</t>
  </si>
  <si>
    <t>SDT</t>
  </si>
  <si>
    <t>SCT</t>
  </si>
  <si>
    <t>Liq Ref. Temp</t>
  </si>
  <si>
    <t>Per Circuit</t>
  </si>
  <si>
    <t>Total</t>
  </si>
  <si>
    <t>Qactual</t>
  </si>
  <si>
    <t>Qcond</t>
  </si>
  <si>
    <t>Win</t>
  </si>
  <si>
    <t>mBH</t>
  </si>
  <si>
    <t>MOP</t>
  </si>
  <si>
    <t>MCA</t>
  </si>
  <si>
    <t>FAN RPM</t>
  </si>
  <si>
    <t>Evap Type</t>
  </si>
  <si>
    <t>Shell &amp; Tube</t>
  </si>
  <si>
    <t>AFKG 800</t>
  </si>
  <si>
    <t>Electrical Characteristics Array</t>
  </si>
  <si>
    <t>Array THR</t>
  </si>
  <si>
    <t>Air- Cooled Condenser Array</t>
  </si>
  <si>
    <t>Array Pressure Drop</t>
  </si>
  <si>
    <t>Evaporator Array</t>
  </si>
  <si>
    <t>Array Energy Efficiency</t>
  </si>
  <si>
    <t>Secondary Unit</t>
  </si>
  <si>
    <t>Array Cooling Efficiency</t>
  </si>
  <si>
    <t>Primary Unit</t>
  </si>
  <si>
    <t>Array Power</t>
  </si>
  <si>
    <t>Secondary Unit Capacity</t>
  </si>
  <si>
    <t>Refrig. Capacity Array</t>
  </si>
  <si>
    <t>Primary Unit Capacity</t>
  </si>
  <si>
    <t>General Array</t>
  </si>
  <si>
    <t>Unit Capacity</t>
  </si>
  <si>
    <t>Unit QTY</t>
  </si>
  <si>
    <t>Primary Power</t>
  </si>
  <si>
    <t>Secondary Power</t>
  </si>
  <si>
    <t>Primary Flow</t>
  </si>
  <si>
    <t>Secondary Flow</t>
  </si>
  <si>
    <t>Array MOP</t>
  </si>
  <si>
    <t>Array MCA</t>
  </si>
  <si>
    <t>Electrical Array</t>
  </si>
  <si>
    <t>Unit Rating</t>
  </si>
  <si>
    <t>JESS Version:</t>
  </si>
  <si>
    <t>SN:</t>
  </si>
  <si>
    <t>Unit Drawing</t>
  </si>
  <si>
    <t>Volts</t>
  </si>
  <si>
    <t>Short Circuit Current Rating</t>
  </si>
  <si>
    <t>kA</t>
  </si>
  <si>
    <t>Amps</t>
  </si>
  <si>
    <t>V/Ph/Hz</t>
  </si>
  <si>
    <t>Condenser Application</t>
  </si>
  <si>
    <t>Condenser Conditions</t>
  </si>
  <si>
    <t>Cond Type</t>
  </si>
  <si>
    <t>cond PSID</t>
  </si>
  <si>
    <t>cond GPM</t>
  </si>
  <si>
    <t>30% P.G.</t>
  </si>
  <si>
    <t>Design Dry Bulb:</t>
  </si>
  <si>
    <t>°F</t>
  </si>
  <si>
    <t>Volume Flow:</t>
  </si>
  <si>
    <t>cfm</t>
  </si>
  <si>
    <t>Airside Pressure Drop:</t>
  </si>
  <si>
    <t>in w.g.</t>
  </si>
  <si>
    <t>Fluid Flow Rate:</t>
  </si>
  <si>
    <t>gpm</t>
  </si>
  <si>
    <t>Fluid Pressure Drop:</t>
  </si>
  <si>
    <t>Total Number of Coils:</t>
  </si>
  <si>
    <t>Btuh</t>
  </si>
  <si>
    <t>Total Thermal Capacity:</t>
  </si>
  <si>
    <t>Free Cooling Coil Array</t>
  </si>
  <si>
    <t>Table 4   Freezing and Boiling Points of Aqueous Solutions of</t>
  </si>
  <si>
    <t>Ethylene Glycol</t>
  </si>
  <si>
    <r>
      <t>     </t>
    </r>
    <r>
      <rPr>
        <b/>
        <sz val="8"/>
        <color indexed="8"/>
        <rFont val="Times New Roman"/>
        <family val="1"/>
        <charset val="204"/>
      </rPr>
      <t>Percent Et
By Mass</t>
    </r>
  </si>
  <si>
    <t>hylene Glycol
By Volume</t>
  </si>
  <si>
    <t>Freezing Point,
°F</t>
  </si>
  <si>
    <t>Boiling Point, °F
at 14.7 psia</t>
  </si>
  <si>
    <t>–0.2</t>
  </si>
  <si>
    <t>–1.5</t>
  </si>
  <si>
    <t>–3.0</t>
  </si>
  <si>
    <t>–4.5</t>
  </si>
  <si>
    <t>–6.4</t>
  </si>
  <si>
    <t>–8.1</t>
  </si>
  <si>
    <t>–9.8</t>
  </si>
  <si>
    <t>–11.7</t>
  </si>
  <si>
    <t>–13.5</t>
  </si>
  <si>
    <t>–15.5</t>
  </si>
  <si>
    <t>–17.5</t>
  </si>
  <si>
    <t>–19.8</t>
  </si>
  <si>
    <t>–21.6</t>
  </si>
  <si>
    <t>–23.9</t>
  </si>
  <si>
    <t>–26.7</t>
  </si>
  <si>
    <t>–28.9</t>
  </si>
  <si>
    <t>–31.2</t>
  </si>
  <si>
    <t>–33.6</t>
  </si>
  <si>
    <t>–36.2</t>
  </si>
  <si>
    <t>–38.8</t>
  </si>
  <si>
    <t>–42.0</t>
  </si>
  <si>
    <t>–44.7</t>
  </si>
  <si>
    <t>–47.5</t>
  </si>
  <si>
    <t>–50.0</t>
  </si>
  <si>
    <t>–52.7</t>
  </si>
  <si>
    <t>–54.9</t>
  </si>
  <si>
    <t>*</t>
  </si>
  <si>
    <t>–52.2</t>
  </si>
  <si>
    <t>–34.5</t>
  </si>
  <si>
    <t>Table 5   Freezing and Boiling Points of Aqueous Solutions of</t>
  </si>
  <si>
    <t>Propylene Glycol</t>
  </si>
  <si>
    <r>
      <t>    </t>
    </r>
    <r>
      <rPr>
        <b/>
        <sz val="8"/>
        <color indexed="8"/>
        <rFont val="Times New Roman"/>
        <family val="1"/>
        <charset val="204"/>
      </rPr>
      <t>Percent Pr
By Mass</t>
    </r>
  </si>
  <si>
    <t>pylene Glycol
By Volume</t>
  </si>
  <si>
    <t>–0.8</t>
  </si>
  <si>
    <t>–2.4</t>
  </si>
  <si>
    <t>–4.2</t>
  </si>
  <si>
    <t>–6.0</t>
  </si>
  <si>
    <t>–7.8</t>
  </si>
  <si>
    <t>–11.8</t>
  </si>
  <si>
    <t>–13.9</t>
  </si>
  <si>
    <t>–16.1</t>
  </si>
  <si>
    <t>–18.3</t>
  </si>
  <si>
    <t>–20.7</t>
  </si>
  <si>
    <t>–23.1</t>
  </si>
  <si>
    <t>–25.7</t>
  </si>
  <si>
    <t>–28.3</t>
  </si>
  <si>
    <t>–31.0</t>
  </si>
  <si>
    <t>–33.8</t>
  </si>
  <si>
    <t>–36.7</t>
  </si>
  <si>
    <t>–39.7</t>
  </si>
  <si>
    <t>–42.8</t>
  </si>
  <si>
    <t>–46.0</t>
  </si>
  <si>
    <t>–49.3</t>
  </si>
  <si>
    <t>–56.2</t>
  </si>
  <si>
    <t>–59.9</t>
  </si>
  <si>
    <t>Primary thr</t>
  </si>
  <si>
    <t>Secondary thr</t>
  </si>
  <si>
    <t>Array Rating</t>
  </si>
  <si>
    <t xml:space="preserve">High Cap. (40F LWT) Brazed Plate </t>
  </si>
  <si>
    <t>EVAPORATOR</t>
  </si>
  <si>
    <t>CONDENSER</t>
  </si>
  <si>
    <t>Primary THR</t>
  </si>
  <si>
    <t>Secondary THR</t>
  </si>
  <si>
    <t>Condenser Array</t>
  </si>
  <si>
    <t>mBh</t>
  </si>
  <si>
    <t>Array PD</t>
  </si>
  <si>
    <t>Evap PD</t>
  </si>
  <si>
    <t>Cond PD</t>
  </si>
  <si>
    <t>Array Drawing</t>
  </si>
  <si>
    <t>Example Array of "n" # of Chillers</t>
  </si>
  <si>
    <t>None</t>
  </si>
  <si>
    <t>ARRAY Pimrary Fan Kw</t>
  </si>
  <si>
    <t>ARRAY Secondar Fan Kw</t>
  </si>
  <si>
    <t>EVAP Array</t>
  </si>
  <si>
    <t>COND Array</t>
  </si>
  <si>
    <t>EVAP PD</t>
  </si>
  <si>
    <t>Primary PD</t>
  </si>
  <si>
    <t>Secondary PD</t>
  </si>
  <si>
    <t>Prim MOP</t>
  </si>
  <si>
    <t>Prim MCA</t>
  </si>
  <si>
    <t>Second MOP</t>
  </si>
  <si>
    <t>Second MCA</t>
  </si>
  <si>
    <t>Unit Tag</t>
  </si>
  <si>
    <t>Entering Fluid Temp.</t>
  </si>
  <si>
    <t>Leaving Fluid Temp.</t>
  </si>
  <si>
    <t xml:space="preserve">Low Ambient Control </t>
  </si>
  <si>
    <t xml:space="preserve">Array Power Supply </t>
  </si>
  <si>
    <t xml:space="preserve">SCCR </t>
  </si>
  <si>
    <t xml:space="preserve">Unit Power Supply </t>
  </si>
  <si>
    <t xml:space="preserve">Minimum Voltage </t>
  </si>
  <si>
    <t xml:space="preserve">Total MOP </t>
  </si>
  <si>
    <t xml:space="preserve">Compressor Size 1 </t>
  </si>
  <si>
    <t xml:space="preserve">Maximum Voltage </t>
  </si>
  <si>
    <t xml:space="preserve">Total MCA </t>
  </si>
  <si>
    <t xml:space="preserve">Compressor Size 2 </t>
  </si>
  <si>
    <t xml:space="preserve">Condenser Fan(s) </t>
  </si>
  <si>
    <t xml:space="preserve">Fluid </t>
  </si>
  <si>
    <t xml:space="preserve">Entering Fluid Temp. </t>
  </si>
  <si>
    <t xml:space="preserve">Leaving Fluid Temp. </t>
  </si>
  <si>
    <t xml:space="preserve">Suction Temp. Cir. 1 </t>
  </si>
  <si>
    <t xml:space="preserve">Suction Temp. Cir. 2 </t>
  </si>
  <si>
    <t xml:space="preserve">Condensing Temp. Cir. 1 </t>
  </si>
  <si>
    <t xml:space="preserve">Condensing Temp. Cir. 2 </t>
  </si>
  <si>
    <t xml:space="preserve">MOP </t>
  </si>
  <si>
    <t xml:space="preserve">MCA </t>
  </si>
  <si>
    <t xml:space="preserve">Evaporatore Type </t>
  </si>
  <si>
    <t xml:space="preserve">Condenser Type </t>
  </si>
  <si>
    <t xml:space="preserve">Fan Type </t>
  </si>
  <si>
    <t xml:space="preserve">Refrig. Capacity Array </t>
  </si>
  <si>
    <t xml:space="preserve">Primary Unit Capacity </t>
  </si>
  <si>
    <t xml:space="preserve">THR Array </t>
  </si>
  <si>
    <t xml:space="preserve">Primary Unit </t>
  </si>
  <si>
    <t xml:space="preserve">Array Power </t>
  </si>
  <si>
    <t xml:space="preserve">Secondary Unit </t>
  </si>
  <si>
    <t xml:space="preserve">Array Cooling Efficiency </t>
  </si>
  <si>
    <t xml:space="preserve">Secondary Unit Capacity </t>
  </si>
  <si>
    <t xml:space="preserve">Total Refrigeration Capacity </t>
  </si>
  <si>
    <t xml:space="preserve">Total Heat Rejection Capacity </t>
  </si>
  <si>
    <t xml:space="preserve">Suction Temp. Cir. 1 &amp; 2 </t>
  </si>
  <si>
    <t xml:space="preserve">Cond. Temp. Cir. 1 &amp; 2 </t>
  </si>
  <si>
    <t xml:space="preserve">Heat Rejection Capacity </t>
  </si>
  <si>
    <t xml:space="preserve">Percent Full Load </t>
  </si>
  <si>
    <t>Maximum Voltage</t>
  </si>
  <si>
    <t>Unit Power Supply</t>
  </si>
  <si>
    <t>Minimum Voltage</t>
  </si>
  <si>
    <t>SCCR</t>
  </si>
  <si>
    <t>Compressor Size 1</t>
  </si>
  <si>
    <t>Compressor Size 2</t>
  </si>
  <si>
    <t>Evaporatore Type</t>
  </si>
  <si>
    <t>Condenser Type</t>
  </si>
  <si>
    <t>ACC-1</t>
  </si>
  <si>
    <t>ACC-2</t>
  </si>
  <si>
    <t>Remote Brazed Plate</t>
  </si>
  <si>
    <t>JETSON UNIT INFO</t>
  </si>
  <si>
    <t>Frame Size</t>
  </si>
  <si>
    <t>Orange</t>
  </si>
  <si>
    <t>Green</t>
  </si>
  <si>
    <t>Blue</t>
  </si>
  <si>
    <t>Model QTY</t>
  </si>
  <si>
    <t>DSH140A4</t>
  </si>
  <si>
    <t>DSH140A7</t>
  </si>
  <si>
    <t>DSH140A3</t>
  </si>
  <si>
    <t>DSH140</t>
  </si>
  <si>
    <t>MCHE Airside DP</t>
  </si>
  <si>
    <t>kpa</t>
  </si>
  <si>
    <t>in of H20</t>
  </si>
  <si>
    <t>Single or Dual Circuit?</t>
  </si>
  <si>
    <t>Circuit Type</t>
  </si>
  <si>
    <t>Single</t>
  </si>
  <si>
    <t>Dual</t>
  </si>
  <si>
    <t>Microchannel Coils</t>
  </si>
  <si>
    <t>CV System Value</t>
  </si>
  <si>
    <t>Evap</t>
  </si>
  <si>
    <t>Cond</t>
  </si>
  <si>
    <t>FWCD-015</t>
  </si>
  <si>
    <t>FWCD-020</t>
  </si>
  <si>
    <t>FWCD-030</t>
  </si>
  <si>
    <t>FWCD-045</t>
  </si>
  <si>
    <t>FWCD-055</t>
  </si>
  <si>
    <t>FWCD-065</t>
  </si>
  <si>
    <t>FWCD-075</t>
  </si>
  <si>
    <t>FWCD-085</t>
  </si>
  <si>
    <t>Letter</t>
  </si>
  <si>
    <t>F</t>
  </si>
  <si>
    <t>G</t>
  </si>
  <si>
    <t>Evap CV</t>
  </si>
  <si>
    <t>Cond CV</t>
  </si>
  <si>
    <t>ACCA Size</t>
  </si>
  <si>
    <t>Volt</t>
  </si>
  <si>
    <t># of Fans</t>
  </si>
  <si>
    <t>Fan 1</t>
  </si>
  <si>
    <t>Fan 2</t>
  </si>
  <si>
    <t>Fan 3</t>
  </si>
  <si>
    <t>Fan 4</t>
  </si>
  <si>
    <t xml:space="preserve">Discharge Temp. Cir. 1 </t>
  </si>
  <si>
    <t xml:space="preserve">Discharge Temp. Cir. 2 </t>
  </si>
  <si>
    <t>Discharge Temp</t>
  </si>
  <si>
    <t xml:space="preserve">Discharge Temp Cir. 1 &amp; 2 </t>
  </si>
  <si>
    <t xml:space="preserve">Discharge Temp. Cir. 1 &amp; 2 </t>
  </si>
  <si>
    <t>Microchannel Coil</t>
  </si>
  <si>
    <t xml:space="preserve">Evaporator Fan(s) </t>
  </si>
  <si>
    <t xml:space="preserve">Condensing Temp. Cir. 1&amp; 2 </t>
  </si>
  <si>
    <t xml:space="preserve">Leaving Air Temp. </t>
  </si>
  <si>
    <t xml:space="preserve">Entering Air Temp. </t>
  </si>
  <si>
    <t>sCFM</t>
  </si>
  <si>
    <t>Volume Flow - Standard</t>
  </si>
  <si>
    <t>Condenser Application - Cooling Mode</t>
  </si>
  <si>
    <t>Evaporator Application - Cooling Mode</t>
  </si>
  <si>
    <t>Energy Efficiency (EER)</t>
  </si>
  <si>
    <t>Conditions of Service - Cooling Mode</t>
  </si>
  <si>
    <t>HPCH-1</t>
  </si>
  <si>
    <t>Unit Rating - Cooling Mode</t>
  </si>
  <si>
    <t>Discharge Temp Circ. 1 &amp; 2</t>
  </si>
  <si>
    <t>Condenser Application - Heating Mode</t>
  </si>
  <si>
    <t>Suction Temp. Cir. 1 &amp; 2</t>
  </si>
  <si>
    <t>Evaporator Application - Heating Mode</t>
  </si>
  <si>
    <t>kW/kW</t>
  </si>
  <si>
    <t>Heating Efficiecny (COPH)</t>
  </si>
  <si>
    <t>Conditions of Service - Heating Mode</t>
  </si>
  <si>
    <t>Unit Rating - Heating Mode</t>
  </si>
  <si>
    <t>Suction Temp Circ. 1 &amp; 2</t>
  </si>
  <si>
    <t>EVAP - COOLING MODE</t>
  </si>
  <si>
    <t>cond in. w.g.</t>
  </si>
  <si>
    <t>cond sCFM</t>
  </si>
  <si>
    <t>COND - Cooling  MODE</t>
  </si>
  <si>
    <t>Condenser Conditions - HEATING MODE</t>
  </si>
  <si>
    <t>Air-Cooled Evaporator - HEATING MODE</t>
  </si>
  <si>
    <t>Evaporator Conditions - COOLING MODE</t>
  </si>
  <si>
    <t>Air-Cooled Condenser - COOLING MODE</t>
  </si>
  <si>
    <t>EVAP - HEATING MODE</t>
  </si>
  <si>
    <t>COND - HEATING MODE</t>
  </si>
  <si>
    <t>cond psid</t>
  </si>
  <si>
    <t>evap in. w.g.</t>
  </si>
  <si>
    <t>evap sCFM</t>
  </si>
  <si>
    <t>EAT - Dry Bulb</t>
  </si>
  <si>
    <t>LAT - Dry Bulb</t>
  </si>
  <si>
    <t xml:space="preserve">Condensing Temp. Cir. 1 &amp; 2 </t>
  </si>
  <si>
    <t xml:space="preserve">Remote DX </t>
  </si>
  <si>
    <t>VZH088</t>
  </si>
  <si>
    <t>VZH088-J</t>
  </si>
  <si>
    <t>VZH088-G</t>
  </si>
  <si>
    <t>VZH088-H</t>
  </si>
  <si>
    <t>VZH117</t>
  </si>
  <si>
    <t>VZH117-J</t>
  </si>
  <si>
    <t>VZH117-G</t>
  </si>
  <si>
    <t>VZH117-H</t>
  </si>
  <si>
    <t>VZH170-J</t>
  </si>
  <si>
    <t>VZH170</t>
  </si>
  <si>
    <t>VZH170-G</t>
  </si>
  <si>
    <t>VZH170-H</t>
  </si>
  <si>
    <t>Industry Standard sizes for Fuses</t>
  </si>
  <si>
    <t>Fan RLA</t>
  </si>
  <si>
    <t>Max Fuse Calc</t>
  </si>
  <si>
    <t>Array Energy Efficiency (EER)</t>
  </si>
  <si>
    <t>Kpa</t>
  </si>
  <si>
    <t>lb/hr</t>
  </si>
  <si>
    <t>GPM</t>
  </si>
  <si>
    <t xml:space="preserve">Fluid Flow Rate </t>
  </si>
  <si>
    <t xml:space="preserve">Array Flow Rate </t>
  </si>
  <si>
    <t>Array Flow Rate</t>
  </si>
  <si>
    <t>Fluid Flow Rate</t>
  </si>
  <si>
    <t>Fan Type</t>
  </si>
  <si>
    <t>AKFD 800</t>
  </si>
  <si>
    <t>AKFG 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</si>
</sst>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0"/>
    <numFmt numFmtId="167" formatCode="_(* #,##0.0_);_(* \(#,##0.0\);_(* &quot;-&quot;??_);_(@_)"/>
    <numFmt numFmtId="168" formatCode="0.00000"/>
    <numFmt numFmtId="169" formatCode="yymmdd;@"/>
    <numFmt numFmtId="170" formatCode="###0.0;###0.0"/>
    <numFmt numFmtId="171" formatCode="###0;###0"/>
    <numFmt numFmtId="172" formatCode="#,##0.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sz val="14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00005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Myriad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212529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name val="Calibri"/>
      <family val="2"/>
    </font>
    <font>
      <sz val="14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color indexed="8"/>
      <name val="Times New Roman"/>
      <family val="1"/>
      <charset val="204"/>
    </font>
    <font>
      <b/>
      <u/>
      <sz val="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sz val="8"/>
      <color indexed="8"/>
      <name val="Arial"/>
      <family val="2"/>
    </font>
    <font>
      <sz val="8"/>
      <color indexed="8"/>
      <name val="Times New Roman"/>
      <family val="1"/>
      <charset val="204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</patternFill>
    </fill>
    <fill>
      <patternFill patternType="solid">
        <fgColor rgb="FFA5A5A5"/>
      </patternFill>
    </fill>
    <fill>
      <patternFill patternType="darkGray">
        <bgColor rgb="FFA5A5A5"/>
      </patternFill>
    </fill>
  </fills>
  <borders count="8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DEE2E6"/>
      </left>
      <right/>
      <top style="medium">
        <color rgb="FFDEE2E6"/>
      </top>
      <bottom style="medium">
        <color rgb="FFDEE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DEE2E6"/>
      </bottom>
      <diagonal/>
    </border>
    <border>
      <left style="medium">
        <color indexed="64"/>
      </left>
      <right style="thin">
        <color indexed="64"/>
      </right>
      <top style="medium">
        <color rgb="FFDEE2E6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rgb="FF7F7F7F"/>
      </bottom>
      <diagonal/>
    </border>
    <border>
      <left/>
      <right style="medium">
        <color indexed="64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7F7F7F"/>
      </left>
      <right style="medium">
        <color indexed="64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medium">
        <color indexed="64"/>
      </left>
      <right style="thin">
        <color rgb="FF7F7F7F"/>
      </right>
      <top/>
      <bottom/>
      <diagonal/>
    </border>
    <border>
      <left style="medium">
        <color indexed="64"/>
      </left>
      <right style="thin">
        <color rgb="FF7F7F7F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medium">
        <color indexed="64"/>
      </right>
      <top style="thin">
        <color rgb="FFB2B2B2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theme="6" tint="-0.24994659260841701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6" tint="-0.24994659260841701"/>
      </right>
      <top/>
      <bottom style="medium">
        <color indexed="64"/>
      </bottom>
      <diagonal/>
    </border>
    <border>
      <left style="thin">
        <color theme="6" tint="-0.24994659260841701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6" tint="-0.24994659260841701"/>
      </top>
      <bottom style="medium">
        <color indexed="64"/>
      </bottom>
      <diagonal/>
    </border>
  </borders>
  <cellStyleXfs count="6">
    <xf numFmtId="0" fontId="0" fillId="0" borderId="0"/>
    <xf numFmtId="0" fontId="8" fillId="3" borderId="1" applyNumberFormat="0" applyAlignment="0" applyProtection="0"/>
    <xf numFmtId="0" fontId="9" fillId="4" borderId="1" applyNumberFormat="0" applyAlignment="0" applyProtection="0"/>
    <xf numFmtId="0" fontId="12" fillId="0" borderId="0"/>
    <xf numFmtId="0" fontId="1" fillId="7" borderId="73" applyNumberFormat="0" applyFont="0" applyAlignment="0" applyProtection="0"/>
    <xf numFmtId="0" fontId="30" fillId="8" borderId="75" applyNumberFormat="0" applyAlignment="0" applyProtection="0"/>
  </cellStyleXfs>
  <cellXfs count="29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/>
    <xf numFmtId="0" fontId="5" fillId="0" borderId="0" xfId="0" applyFont="1" applyAlignment="1"/>
    <xf numFmtId="0" fontId="2" fillId="0" borderId="0" xfId="0" applyFont="1" applyAlignment="1"/>
    <xf numFmtId="0" fontId="8" fillId="3" borderId="4" xfId="1" applyBorder="1" applyAlignment="1">
      <alignment horizontal="center"/>
    </xf>
    <xf numFmtId="0" fontId="8" fillId="3" borderId="6" xfId="1" applyBorder="1" applyAlignment="1">
      <alignment horizontal="center"/>
    </xf>
    <xf numFmtId="0" fontId="8" fillId="3" borderId="8" xfId="1" applyBorder="1" applyAlignment="1">
      <alignment horizontal="center"/>
    </xf>
    <xf numFmtId="0" fontId="0" fillId="0" borderId="9" xfId="0" applyBorder="1"/>
    <xf numFmtId="0" fontId="0" fillId="0" borderId="11" xfId="0" applyBorder="1"/>
    <xf numFmtId="0" fontId="0" fillId="0" borderId="13" xfId="0" applyBorder="1"/>
    <xf numFmtId="0" fontId="10" fillId="0" borderId="3" xfId="0" applyFont="1" applyBorder="1" applyAlignment="1">
      <alignment horizontal="left"/>
    </xf>
    <xf numFmtId="0" fontId="10" fillId="0" borderId="5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1" fillId="0" borderId="0" xfId="0" applyFont="1" applyAlignment="1">
      <alignment horizontal="center"/>
    </xf>
    <xf numFmtId="0" fontId="1" fillId="0" borderId="0" xfId="3" applyFont="1"/>
    <xf numFmtId="0" fontId="1" fillId="0" borderId="2" xfId="3" applyFont="1" applyBorder="1"/>
    <xf numFmtId="0" fontId="1" fillId="0" borderId="2" xfId="3" applyFont="1" applyBorder="1" applyAlignment="1">
      <alignment horizontal="center"/>
    </xf>
    <xf numFmtId="0" fontId="13" fillId="0" borderId="15" xfId="3" applyFont="1" applyBorder="1"/>
    <xf numFmtId="0" fontId="13" fillId="0" borderId="0" xfId="3" applyFont="1"/>
    <xf numFmtId="0" fontId="13" fillId="0" borderId="17" xfId="3" applyFont="1" applyBorder="1"/>
    <xf numFmtId="2" fontId="13" fillId="0" borderId="18" xfId="3" applyNumberFormat="1" applyFont="1" applyBorder="1"/>
    <xf numFmtId="2" fontId="13" fillId="0" borderId="20" xfId="3" applyNumberFormat="1" applyFont="1" applyBorder="1"/>
    <xf numFmtId="0" fontId="13" fillId="0" borderId="22" xfId="3" applyFont="1" applyBorder="1"/>
    <xf numFmtId="2" fontId="13" fillId="0" borderId="23" xfId="3" applyNumberFormat="1" applyFont="1" applyBorder="1"/>
    <xf numFmtId="2" fontId="1" fillId="0" borderId="18" xfId="3" applyNumberFormat="1" applyFont="1" applyBorder="1"/>
    <xf numFmtId="2" fontId="1" fillId="0" borderId="20" xfId="3" applyNumberFormat="1" applyFont="1" applyBorder="1"/>
    <xf numFmtId="2" fontId="1" fillId="0" borderId="23" xfId="3" applyNumberFormat="1" applyFont="1" applyBorder="1"/>
    <xf numFmtId="2" fontId="13" fillId="0" borderId="0" xfId="3" applyNumberFormat="1" applyFont="1"/>
    <xf numFmtId="166" fontId="13" fillId="0" borderId="0" xfId="3" applyNumberFormat="1" applyFont="1"/>
    <xf numFmtId="2" fontId="15" fillId="0" borderId="24" xfId="3" applyNumberFormat="1" applyFont="1" applyBorder="1"/>
    <xf numFmtId="0" fontId="13" fillId="0" borderId="25" xfId="3" applyFont="1" applyBorder="1"/>
    <xf numFmtId="164" fontId="1" fillId="0" borderId="0" xfId="3" applyNumberFormat="1" applyFont="1"/>
    <xf numFmtId="0" fontId="16" fillId="0" borderId="0" xfId="0" applyFont="1"/>
    <xf numFmtId="0" fontId="13" fillId="0" borderId="0" xfId="3" applyFont="1" applyBorder="1"/>
    <xf numFmtId="167" fontId="8" fillId="3" borderId="1" xfId="1" applyNumberFormat="1"/>
    <xf numFmtId="0" fontId="18" fillId="6" borderId="28" xfId="0" applyFont="1" applyFill="1" applyBorder="1" applyAlignment="1">
      <alignment vertical="top" wrapText="1"/>
    </xf>
    <xf numFmtId="0" fontId="19" fillId="6" borderId="29" xfId="0" applyFont="1" applyFill="1" applyBorder="1" applyAlignment="1">
      <alignment horizontal="center" vertical="top" wrapText="1"/>
    </xf>
    <xf numFmtId="43" fontId="1" fillId="5" borderId="10" xfId="3" applyNumberFormat="1" applyFont="1" applyFill="1" applyBorder="1" applyAlignment="1">
      <alignment horizontal="right"/>
    </xf>
    <xf numFmtId="43" fontId="1" fillId="5" borderId="10" xfId="3" applyNumberFormat="1" applyFont="1" applyFill="1" applyBorder="1" applyAlignment="1">
      <alignment horizontal="center"/>
    </xf>
    <xf numFmtId="0" fontId="19" fillId="6" borderId="30" xfId="0" applyFont="1" applyFill="1" applyBorder="1" applyAlignment="1">
      <alignment horizontal="center" vertical="top" wrapText="1"/>
    </xf>
    <xf numFmtId="43" fontId="1" fillId="0" borderId="10" xfId="3" applyNumberFormat="1" applyFont="1" applyBorder="1" applyAlignment="1">
      <alignment horizontal="center"/>
    </xf>
    <xf numFmtId="165" fontId="1" fillId="5" borderId="11" xfId="3" applyNumberFormat="1" applyFont="1" applyFill="1" applyBorder="1"/>
    <xf numFmtId="43" fontId="1" fillId="5" borderId="12" xfId="3" applyNumberFormat="1" applyFont="1" applyFill="1" applyBorder="1" applyAlignment="1">
      <alignment horizontal="right"/>
    </xf>
    <xf numFmtId="43" fontId="1" fillId="0" borderId="12" xfId="3" applyNumberFormat="1" applyFont="1" applyBorder="1" applyAlignment="1">
      <alignment horizontal="center"/>
    </xf>
    <xf numFmtId="0" fontId="1" fillId="0" borderId="32" xfId="3" applyFont="1" applyBorder="1" applyAlignment="1">
      <alignment horizontal="center"/>
    </xf>
    <xf numFmtId="2" fontId="8" fillId="3" borderId="1" xfId="1" applyNumberFormat="1"/>
    <xf numFmtId="164" fontId="8" fillId="3" borderId="1" xfId="1" applyNumberFormat="1"/>
    <xf numFmtId="0" fontId="0" fillId="0" borderId="13" xfId="0" applyBorder="1" applyAlignment="1"/>
    <xf numFmtId="0" fontId="8" fillId="3" borderId="34" xfId="1" applyBorder="1" applyAlignment="1"/>
    <xf numFmtId="0" fontId="8" fillId="3" borderId="35" xfId="1" applyBorder="1"/>
    <xf numFmtId="0" fontId="9" fillId="4" borderId="35" xfId="2" applyBorder="1" applyAlignment="1">
      <alignment horizontal="center"/>
    </xf>
    <xf numFmtId="1" fontId="9" fillId="4" borderId="35" xfId="2" applyNumberFormat="1" applyBorder="1" applyAlignment="1">
      <alignment horizontal="center"/>
    </xf>
    <xf numFmtId="1" fontId="9" fillId="4" borderId="36" xfId="2" applyNumberFormat="1" applyBorder="1" applyAlignment="1">
      <alignment horizontal="center"/>
    </xf>
    <xf numFmtId="0" fontId="17" fillId="0" borderId="9" xfId="3" applyFont="1" applyBorder="1"/>
    <xf numFmtId="2" fontId="8" fillId="3" borderId="35" xfId="1" applyNumberFormat="1" applyBorder="1" applyAlignment="1">
      <alignment horizontal="center"/>
    </xf>
    <xf numFmtId="0" fontId="1" fillId="0" borderId="9" xfId="3" applyFont="1" applyBorder="1"/>
    <xf numFmtId="0" fontId="8" fillId="3" borderId="35" xfId="1" applyBorder="1" applyAlignment="1">
      <alignment horizontal="center"/>
    </xf>
    <xf numFmtId="0" fontId="9" fillId="4" borderId="34" xfId="2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64" fontId="11" fillId="0" borderId="0" xfId="0" applyNumberFormat="1" applyFont="1" applyFill="1" applyAlignment="1">
      <alignment horizontal="center"/>
    </xf>
    <xf numFmtId="2" fontId="11" fillId="0" borderId="0" xfId="0" applyNumberFormat="1" applyFont="1" applyFill="1" applyAlignment="1">
      <alignment horizontal="center"/>
    </xf>
    <xf numFmtId="9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left"/>
    </xf>
    <xf numFmtId="9" fontId="11" fillId="0" borderId="0" xfId="0" applyNumberFormat="1" applyFont="1" applyAlignment="1">
      <alignment horizontal="left"/>
    </xf>
    <xf numFmtId="0" fontId="20" fillId="0" borderId="0" xfId="0" applyFont="1" applyAlignment="1">
      <alignment horizontal="left"/>
    </xf>
    <xf numFmtId="2" fontId="11" fillId="0" borderId="0" xfId="0" applyNumberFormat="1" applyFont="1" applyAlignment="1">
      <alignment horizontal="center"/>
    </xf>
    <xf numFmtId="0" fontId="8" fillId="3" borderId="36" xfId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" fillId="0" borderId="32" xfId="3" applyFont="1" applyBorder="1" applyAlignment="1">
      <alignment horizontal="center"/>
    </xf>
    <xf numFmtId="0" fontId="0" fillId="0" borderId="0" xfId="0" applyAlignment="1">
      <alignment horizontal="left"/>
    </xf>
    <xf numFmtId="0" fontId="11" fillId="0" borderId="0" xfId="0" applyFont="1" applyAlignment="1">
      <alignment horizontal="left"/>
    </xf>
    <xf numFmtId="166" fontId="11" fillId="0" borderId="0" xfId="0" applyNumberFormat="1" applyFont="1" applyFill="1" applyAlignment="1">
      <alignment horizontal="center"/>
    </xf>
    <xf numFmtId="0" fontId="9" fillId="4" borderId="1" xfId="2" applyAlignment="1">
      <alignment horizontal="center"/>
    </xf>
    <xf numFmtId="164" fontId="11" fillId="0" borderId="0" xfId="0" applyNumberFormat="1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5" fillId="0" borderId="0" xfId="0" applyFont="1"/>
    <xf numFmtId="166" fontId="1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" fontId="11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center"/>
    </xf>
    <xf numFmtId="0" fontId="0" fillId="0" borderId="37" xfId="0" applyBorder="1" applyAlignment="1">
      <alignment horizontal="center"/>
    </xf>
    <xf numFmtId="0" fontId="23" fillId="0" borderId="0" xfId="0" applyFont="1" applyAlignment="1">
      <alignment horizontal="right"/>
    </xf>
    <xf numFmtId="0" fontId="24" fillId="0" borderId="0" xfId="0" applyFont="1" applyAlignment="1">
      <alignment horizontal="center"/>
    </xf>
    <xf numFmtId="0" fontId="0" fillId="0" borderId="0" xfId="3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8" fillId="3" borderId="6" xfId="1" applyNumberFormat="1" applyBorder="1" applyAlignment="1">
      <alignment horizontal="center"/>
    </xf>
    <xf numFmtId="169" fontId="11" fillId="0" borderId="0" xfId="0" applyNumberFormat="1" applyFont="1" applyAlignment="1">
      <alignment horizontal="left"/>
    </xf>
    <xf numFmtId="0" fontId="26" fillId="6" borderId="41" xfId="0" applyFont="1" applyFill="1" applyBorder="1" applyAlignment="1">
      <alignment horizontal="center" vertical="top" wrapText="1"/>
    </xf>
    <xf numFmtId="0" fontId="27" fillId="6" borderId="42" xfId="0" applyFont="1" applyFill="1" applyBorder="1" applyAlignment="1">
      <alignment horizontal="left" vertical="top" wrapText="1"/>
    </xf>
    <xf numFmtId="0" fontId="27" fillId="6" borderId="42" xfId="0" applyFont="1" applyFill="1" applyBorder="1" applyAlignment="1">
      <alignment horizontal="center" vertical="top" wrapText="1"/>
    </xf>
    <xf numFmtId="0" fontId="27" fillId="6" borderId="43" xfId="0" applyFont="1" applyFill="1" applyBorder="1" applyAlignment="1">
      <alignment horizontal="center" vertical="top" wrapText="1"/>
    </xf>
    <xf numFmtId="170" fontId="28" fillId="6" borderId="44" xfId="0" applyNumberFormat="1" applyFont="1" applyFill="1" applyBorder="1" applyAlignment="1">
      <alignment horizontal="center" vertical="top" wrapText="1"/>
    </xf>
    <xf numFmtId="170" fontId="28" fillId="6" borderId="45" xfId="0" applyNumberFormat="1" applyFont="1" applyFill="1" applyBorder="1" applyAlignment="1">
      <alignment horizontal="center" vertical="top" wrapText="1"/>
    </xf>
    <xf numFmtId="171" fontId="28" fillId="6" borderId="46" xfId="0" applyNumberFormat="1" applyFont="1" applyFill="1" applyBorder="1" applyAlignment="1">
      <alignment horizontal="center" vertical="top" wrapText="1"/>
    </xf>
    <xf numFmtId="170" fontId="28" fillId="6" borderId="19" xfId="0" applyNumberFormat="1" applyFont="1" applyFill="1" applyBorder="1" applyAlignment="1">
      <alignment horizontal="center" vertical="top" wrapText="1"/>
    </xf>
    <xf numFmtId="170" fontId="28" fillId="6" borderId="0" xfId="0" applyNumberFormat="1" applyFont="1" applyFill="1" applyAlignment="1">
      <alignment horizontal="center" vertical="top" wrapText="1"/>
    </xf>
    <xf numFmtId="171" fontId="28" fillId="6" borderId="20" xfId="0" applyNumberFormat="1" applyFont="1" applyFill="1" applyBorder="1" applyAlignment="1">
      <alignment horizontal="center" vertical="top" wrapText="1"/>
    </xf>
    <xf numFmtId="0" fontId="29" fillId="6" borderId="0" xfId="0" applyFont="1" applyFill="1" applyAlignment="1">
      <alignment horizontal="center" vertical="top" wrapText="1"/>
    </xf>
    <xf numFmtId="170" fontId="28" fillId="6" borderId="21" xfId="0" applyNumberFormat="1" applyFont="1" applyFill="1" applyBorder="1" applyAlignment="1">
      <alignment horizontal="center" vertical="top" wrapText="1"/>
    </xf>
    <xf numFmtId="170" fontId="28" fillId="6" borderId="22" xfId="0" applyNumberFormat="1" applyFont="1" applyFill="1" applyBorder="1" applyAlignment="1">
      <alignment horizontal="center" vertical="top" wrapText="1"/>
    </xf>
    <xf numFmtId="0" fontId="29" fillId="6" borderId="22" xfId="0" applyFont="1" applyFill="1" applyBorder="1" applyAlignment="1">
      <alignment horizontal="center" vertical="top" wrapText="1"/>
    </xf>
    <xf numFmtId="171" fontId="28" fillId="6" borderId="23" xfId="0" applyNumberFormat="1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/>
    </xf>
    <xf numFmtId="0" fontId="1" fillId="0" borderId="32" xfId="3" applyFont="1" applyBorder="1" applyAlignment="1">
      <alignment horizontal="center"/>
    </xf>
    <xf numFmtId="0" fontId="0" fillId="0" borderId="0" xfId="0" applyAlignment="1">
      <alignment horizontal="left"/>
    </xf>
    <xf numFmtId="0" fontId="7" fillId="0" borderId="0" xfId="0" applyFont="1" applyFill="1" applyAlignment="1"/>
    <xf numFmtId="0" fontId="0" fillId="0" borderId="0" xfId="0" applyBorder="1"/>
    <xf numFmtId="164" fontId="8" fillId="3" borderId="4" xfId="1" applyNumberFormat="1" applyBorder="1" applyAlignment="1">
      <alignment horizontal="center"/>
    </xf>
    <xf numFmtId="164" fontId="8" fillId="3" borderId="8" xfId="1" applyNumberForma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/>
    </xf>
    <xf numFmtId="0" fontId="17" fillId="0" borderId="26" xfId="3" applyFont="1" applyBorder="1" applyAlignment="1">
      <alignment horizontal="center"/>
    </xf>
    <xf numFmtId="0" fontId="17" fillId="0" borderId="27" xfId="3" applyFont="1" applyBorder="1" applyAlignment="1">
      <alignment horizontal="center"/>
    </xf>
    <xf numFmtId="0" fontId="1" fillId="0" borderId="32" xfId="3" applyFont="1" applyBorder="1" applyAlignment="1">
      <alignment horizontal="center"/>
    </xf>
    <xf numFmtId="164" fontId="8" fillId="3" borderId="6" xfId="1" applyNumberFormat="1" applyBorder="1" applyAlignment="1">
      <alignment horizontal="center"/>
    </xf>
    <xf numFmtId="0" fontId="10" fillId="0" borderId="47" xfId="0" applyFont="1" applyBorder="1" applyAlignment="1">
      <alignment horizontal="left"/>
    </xf>
    <xf numFmtId="0" fontId="8" fillId="3" borderId="47" xfId="1" applyBorder="1" applyAlignment="1">
      <alignment horizontal="center"/>
    </xf>
    <xf numFmtId="2" fontId="9" fillId="4" borderId="35" xfId="2" applyNumberFormat="1" applyBorder="1" applyAlignment="1">
      <alignment horizontal="center"/>
    </xf>
    <xf numFmtId="0" fontId="9" fillId="4" borderId="4" xfId="2" applyBorder="1" applyAlignment="1">
      <alignment horizontal="center"/>
    </xf>
    <xf numFmtId="0" fontId="9" fillId="4" borderId="6" xfId="2" applyBorder="1" applyAlignment="1">
      <alignment horizontal="center"/>
    </xf>
    <xf numFmtId="0" fontId="9" fillId="4" borderId="8" xfId="2" applyBorder="1" applyAlignment="1">
      <alignment horizontal="center"/>
    </xf>
    <xf numFmtId="0" fontId="9" fillId="4" borderId="48" xfId="2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9" fillId="4" borderId="34" xfId="2" applyNumberFormat="1" applyBorder="1" applyAlignment="1">
      <alignment horizontal="center"/>
    </xf>
    <xf numFmtId="164" fontId="9" fillId="4" borderId="36" xfId="2" applyNumberFormat="1" applyBorder="1" applyAlignment="1">
      <alignment horizontal="center"/>
    </xf>
    <xf numFmtId="0" fontId="9" fillId="4" borderId="36" xfId="2" applyBorder="1" applyAlignment="1">
      <alignment horizontal="center"/>
    </xf>
    <xf numFmtId="0" fontId="8" fillId="3" borderId="49" xfId="1" applyBorder="1" applyAlignment="1">
      <alignment horizontal="center"/>
    </xf>
    <xf numFmtId="0" fontId="8" fillId="3" borderId="50" xfId="1" applyBorder="1" applyAlignment="1">
      <alignment horizontal="center"/>
    </xf>
    <xf numFmtId="0" fontId="8" fillId="3" borderId="51" xfId="1" applyBorder="1" applyAlignment="1">
      <alignment horizontal="center"/>
    </xf>
    <xf numFmtId="0" fontId="9" fillId="4" borderId="34" xfId="2" applyBorder="1" applyAlignment="1"/>
    <xf numFmtId="2" fontId="9" fillId="4" borderId="4" xfId="2" applyNumberFormat="1" applyBorder="1" applyAlignment="1">
      <alignment horizontal="center"/>
    </xf>
    <xf numFmtId="2" fontId="9" fillId="4" borderId="8" xfId="2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53" xfId="0" applyBorder="1" applyAlignment="1">
      <alignment horizontal="center"/>
    </xf>
    <xf numFmtId="0" fontId="11" fillId="0" borderId="53" xfId="0" applyFont="1" applyBorder="1" applyAlignment="1">
      <alignment horizontal="center"/>
    </xf>
    <xf numFmtId="1" fontId="0" fillId="0" borderId="54" xfId="0" applyNumberFormat="1" applyBorder="1" applyAlignment="1">
      <alignment horizont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3" xfId="0" applyBorder="1" applyAlignment="1">
      <alignment horizontal="left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9" xfId="0" applyBorder="1" applyAlignment="1">
      <alignment vertical="center"/>
    </xf>
    <xf numFmtId="0" fontId="0" fillId="0" borderId="60" xfId="0" applyBorder="1" applyAlignment="1">
      <alignment vertical="center"/>
    </xf>
    <xf numFmtId="0" fontId="0" fillId="0" borderId="52" xfId="0" applyBorder="1" applyAlignment="1">
      <alignment horizontal="left"/>
    </xf>
    <xf numFmtId="0" fontId="11" fillId="0" borderId="53" xfId="0" applyFont="1" applyBorder="1" applyAlignment="1">
      <alignment horizontal="left"/>
    </xf>
    <xf numFmtId="0" fontId="0" fillId="0" borderId="54" xfId="0" applyBorder="1" applyAlignment="1">
      <alignment horizontal="left"/>
    </xf>
    <xf numFmtId="0" fontId="0" fillId="0" borderId="55" xfId="0" applyBorder="1" applyAlignment="1">
      <alignment horizontal="left"/>
    </xf>
    <xf numFmtId="0" fontId="0" fillId="0" borderId="56" xfId="0" applyBorder="1" applyAlignment="1">
      <alignment horizontal="left"/>
    </xf>
    <xf numFmtId="0" fontId="0" fillId="0" borderId="57" xfId="0" applyBorder="1" applyAlignment="1">
      <alignment horizontal="left"/>
    </xf>
    <xf numFmtId="0" fontId="10" fillId="0" borderId="13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1" fontId="9" fillId="4" borderId="6" xfId="2" applyNumberFormat="1" applyBorder="1" applyAlignment="1">
      <alignment horizontal="center"/>
    </xf>
    <xf numFmtId="1" fontId="9" fillId="4" borderId="8" xfId="2" applyNumberFormat="1" applyBorder="1" applyAlignment="1">
      <alignment horizontal="center"/>
    </xf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Fill="1" applyBorder="1"/>
    <xf numFmtId="0" fontId="0" fillId="0" borderId="59" xfId="0" applyFill="1" applyBorder="1"/>
    <xf numFmtId="0" fontId="0" fillId="0" borderId="60" xfId="0" applyFill="1" applyBorder="1"/>
    <xf numFmtId="164" fontId="0" fillId="0" borderId="53" xfId="0" applyNumberFormat="1" applyFill="1" applyBorder="1" applyAlignment="1">
      <alignment horizontal="center"/>
    </xf>
    <xf numFmtId="164" fontId="0" fillId="0" borderId="54" xfId="0" applyNumberFormat="1" applyFill="1" applyBorder="1" applyAlignment="1">
      <alignment horizontal="center"/>
    </xf>
    <xf numFmtId="0" fontId="13" fillId="0" borderId="13" xfId="3" applyFont="1" applyBorder="1" applyAlignment="1">
      <alignment horizontal="center"/>
    </xf>
    <xf numFmtId="0" fontId="13" fillId="0" borderId="14" xfId="3" applyFont="1" applyBorder="1"/>
    <xf numFmtId="2" fontId="13" fillId="5" borderId="11" xfId="3" applyNumberFormat="1" applyFont="1" applyFill="1" applyBorder="1" applyAlignment="1">
      <alignment horizontal="center"/>
    </xf>
    <xf numFmtId="0" fontId="13" fillId="5" borderId="12" xfId="3" applyFont="1" applyFill="1" applyBorder="1"/>
    <xf numFmtId="172" fontId="0" fillId="0" borderId="0" xfId="0" applyNumberFormat="1" applyAlignment="1">
      <alignment horizontal="center"/>
    </xf>
    <xf numFmtId="0" fontId="0" fillId="0" borderId="62" xfId="0" applyBorder="1" applyAlignment="1">
      <alignment vertical="center"/>
    </xf>
    <xf numFmtId="0" fontId="0" fillId="0" borderId="20" xfId="0" applyBorder="1" applyAlignment="1">
      <alignment horizontal="left"/>
    </xf>
    <xf numFmtId="0" fontId="0" fillId="0" borderId="63" xfId="0" applyBorder="1" applyAlignment="1">
      <alignment horizontal="left"/>
    </xf>
    <xf numFmtId="0" fontId="9" fillId="4" borderId="64" xfId="2" applyBorder="1" applyAlignment="1">
      <alignment horizontal="center"/>
    </xf>
    <xf numFmtId="0" fontId="8" fillId="3" borderId="36" xfId="1" applyBorder="1"/>
    <xf numFmtId="0" fontId="0" fillId="0" borderId="19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65" xfId="0" applyBorder="1"/>
    <xf numFmtId="0" fontId="0" fillId="0" borderId="66" xfId="0" applyBorder="1"/>
    <xf numFmtId="0" fontId="1" fillId="5" borderId="0" xfId="3" applyFont="1" applyFill="1"/>
    <xf numFmtId="0" fontId="0" fillId="5" borderId="0" xfId="0" applyFill="1"/>
    <xf numFmtId="0" fontId="8" fillId="3" borderId="8" xfId="1" applyNumberFormat="1" applyBorder="1" applyAlignment="1">
      <alignment horizontal="center"/>
    </xf>
    <xf numFmtId="2" fontId="9" fillId="4" borderId="6" xfId="2" applyNumberFormat="1" applyBorder="1" applyAlignment="1">
      <alignment horizontal="center"/>
    </xf>
    <xf numFmtId="1" fontId="9" fillId="4" borderId="67" xfId="2" applyNumberFormat="1" applyBorder="1" applyAlignment="1">
      <alignment horizontal="center"/>
    </xf>
    <xf numFmtId="0" fontId="9" fillId="4" borderId="68" xfId="2" applyBorder="1" applyAlignment="1">
      <alignment horizontal="center"/>
    </xf>
    <xf numFmtId="0" fontId="0" fillId="0" borderId="61" xfId="0" applyBorder="1"/>
    <xf numFmtId="0" fontId="0" fillId="0" borderId="69" xfId="0" applyBorder="1"/>
    <xf numFmtId="0" fontId="0" fillId="0" borderId="70" xfId="0" applyBorder="1"/>
    <xf numFmtId="0" fontId="13" fillId="0" borderId="71" xfId="3" applyFont="1" applyBorder="1"/>
    <xf numFmtId="0" fontId="0" fillId="0" borderId="58" xfId="0" applyBorder="1" applyAlignment="1">
      <alignment vertical="center"/>
    </xf>
    <xf numFmtId="0" fontId="17" fillId="0" borderId="26" xfId="3" applyFont="1" applyBorder="1" applyAlignment="1">
      <alignment horizontal="center"/>
    </xf>
    <xf numFmtId="0" fontId="17" fillId="0" borderId="27" xfId="3" applyFont="1" applyBorder="1" applyAlignment="1">
      <alignment horizontal="center"/>
    </xf>
    <xf numFmtId="0" fontId="1" fillId="0" borderId="9" xfId="3" applyFont="1" applyFill="1" applyBorder="1"/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/>
    </xf>
    <xf numFmtId="0" fontId="1" fillId="0" borderId="32" xfId="3" applyFont="1" applyBorder="1" applyAlignment="1">
      <alignment horizontal="center"/>
    </xf>
    <xf numFmtId="2" fontId="9" fillId="7" borderId="74" xfId="4" applyNumberFormat="1" applyFont="1" applyBorder="1" applyAlignment="1">
      <alignment horizontal="center"/>
    </xf>
    <xf numFmtId="0" fontId="22" fillId="0" borderId="3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" fillId="0" borderId="0" xfId="0" applyFont="1"/>
    <xf numFmtId="2" fontId="9" fillId="4" borderId="36" xfId="2" applyNumberForma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4" fontId="9" fillId="4" borderId="6" xfId="2" applyNumberFormat="1" applyBorder="1" applyAlignment="1">
      <alignment horizontal="center"/>
    </xf>
    <xf numFmtId="164" fontId="9" fillId="4" borderId="8" xfId="2" applyNumberFormat="1" applyBorder="1" applyAlignment="1">
      <alignment horizontal="center"/>
    </xf>
    <xf numFmtId="164" fontId="9" fillId="4" borderId="4" xfId="2" applyNumberFormat="1" applyBorder="1" applyAlignment="1">
      <alignment horizontal="center"/>
    </xf>
    <xf numFmtId="0" fontId="30" fillId="9" borderId="76" xfId="5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1" fontId="0" fillId="0" borderId="54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9" xfId="0" applyBorder="1" applyAlignment="1"/>
    <xf numFmtId="0" fontId="0" fillId="0" borderId="13" xfId="0" applyFill="1" applyBorder="1"/>
    <xf numFmtId="1" fontId="9" fillId="4" borderId="77" xfId="2" applyNumberFormat="1" applyBorder="1" applyAlignment="1">
      <alignment horizontal="center"/>
    </xf>
    <xf numFmtId="0" fontId="0" fillId="0" borderId="78" xfId="0" applyBorder="1"/>
    <xf numFmtId="1" fontId="9" fillId="4" borderId="79" xfId="2" applyNumberFormat="1" applyBorder="1" applyAlignment="1">
      <alignment horizontal="center"/>
    </xf>
    <xf numFmtId="0" fontId="0" fillId="0" borderId="80" xfId="0" applyFill="1" applyBorder="1"/>
    <xf numFmtId="1" fontId="9" fillId="4" borderId="81" xfId="2" applyNumberFormat="1" applyBorder="1" applyAlignment="1">
      <alignment horizontal="center"/>
    </xf>
    <xf numFmtId="0" fontId="10" fillId="0" borderId="0" xfId="0" applyFont="1" applyBorder="1" applyAlignment="1">
      <alignment horizontal="left"/>
    </xf>
    <xf numFmtId="0" fontId="9" fillId="4" borderId="0" xfId="2" applyBorder="1" applyAlignment="1">
      <alignment horizontal="center"/>
    </xf>
    <xf numFmtId="0" fontId="8" fillId="3" borderId="83" xfId="1" applyBorder="1" applyAlignment="1">
      <alignment horizontal="center"/>
    </xf>
    <xf numFmtId="1" fontId="8" fillId="3" borderId="82" xfId="1" applyNumberFormat="1" applyBorder="1" applyAlignment="1">
      <alignment horizontal="center"/>
    </xf>
    <xf numFmtId="1" fontId="8" fillId="3" borderId="84" xfId="1" applyNumberFormat="1" applyBorder="1" applyAlignment="1">
      <alignment horizontal="center"/>
    </xf>
    <xf numFmtId="1" fontId="9" fillId="0" borderId="0" xfId="2" applyNumberFormat="1" applyFill="1" applyBorder="1" applyAlignment="1">
      <alignment horizontal="center"/>
    </xf>
    <xf numFmtId="0" fontId="0" fillId="0" borderId="10" xfId="0" applyBorder="1"/>
    <xf numFmtId="0" fontId="0" fillId="0" borderId="12" xfId="0" applyBorder="1"/>
    <xf numFmtId="0" fontId="0" fillId="0" borderId="14" xfId="0" applyBorder="1"/>
    <xf numFmtId="0" fontId="0" fillId="0" borderId="0" xfId="0" applyFill="1" applyBorder="1"/>
    <xf numFmtId="164" fontId="0" fillId="0" borderId="0" xfId="0" applyNumberFormat="1" applyFill="1" applyBorder="1" applyAlignment="1">
      <alignment horizontal="center"/>
    </xf>
    <xf numFmtId="0" fontId="0" fillId="0" borderId="72" xfId="0" applyBorder="1" applyAlignment="1">
      <alignment vertical="center"/>
    </xf>
    <xf numFmtId="0" fontId="0" fillId="0" borderId="52" xfId="0" applyBorder="1" applyAlignment="1">
      <alignment vertical="center"/>
    </xf>
    <xf numFmtId="0" fontId="3" fillId="0" borderId="2" xfId="0" applyFont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22" fillId="0" borderId="0" xfId="0" applyFont="1" applyAlignment="1">
      <alignment horizontal="right" vertical="center"/>
    </xf>
    <xf numFmtId="0" fontId="22" fillId="0" borderId="37" xfId="0" applyFont="1" applyBorder="1" applyAlignment="1">
      <alignment horizontal="right" vertical="center"/>
    </xf>
    <xf numFmtId="0" fontId="0" fillId="0" borderId="0" xfId="0" applyAlignment="1">
      <alignment horizontal="left"/>
    </xf>
    <xf numFmtId="0" fontId="21" fillId="0" borderId="0" xfId="0" applyFont="1" applyAlignment="1">
      <alignment horizontal="center"/>
    </xf>
    <xf numFmtId="0" fontId="17" fillId="0" borderId="26" xfId="3" applyFont="1" applyBorder="1" applyAlignment="1">
      <alignment horizontal="center"/>
    </xf>
    <xf numFmtId="0" fontId="17" fillId="0" borderId="27" xfId="3" applyFont="1" applyBorder="1" applyAlignment="1">
      <alignment horizontal="center"/>
    </xf>
    <xf numFmtId="0" fontId="1" fillId="0" borderId="31" xfId="3" applyFont="1" applyBorder="1" applyAlignment="1">
      <alignment horizontal="center"/>
    </xf>
    <xf numFmtId="0" fontId="1" fillId="0" borderId="32" xfId="3" applyFont="1" applyBorder="1" applyAlignment="1">
      <alignment horizontal="center"/>
    </xf>
    <xf numFmtId="0" fontId="17" fillId="0" borderId="24" xfId="3" applyFont="1" applyBorder="1" applyAlignment="1">
      <alignment horizontal="center"/>
    </xf>
    <xf numFmtId="0" fontId="17" fillId="0" borderId="33" xfId="3" applyFont="1" applyBorder="1" applyAlignment="1">
      <alignment horizontal="center"/>
    </xf>
    <xf numFmtId="0" fontId="17" fillId="0" borderId="25" xfId="3" applyFont="1" applyBorder="1" applyAlignment="1">
      <alignment horizontal="center"/>
    </xf>
    <xf numFmtId="0" fontId="14" fillId="0" borderId="16" xfId="3" applyFont="1" applyBorder="1" applyAlignment="1">
      <alignment horizontal="center" vertical="center" textRotation="90"/>
    </xf>
    <xf numFmtId="0" fontId="14" fillId="0" borderId="19" xfId="3" applyFont="1" applyBorder="1" applyAlignment="1">
      <alignment horizontal="center" vertical="center" textRotation="90"/>
    </xf>
    <xf numFmtId="0" fontId="14" fillId="0" borderId="21" xfId="3" applyFont="1" applyBorder="1" applyAlignment="1">
      <alignment horizontal="center" vertical="center" textRotation="90"/>
    </xf>
    <xf numFmtId="0" fontId="0" fillId="0" borderId="6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9" fillId="4" borderId="13" xfId="2" applyBorder="1" applyAlignment="1">
      <alignment horizontal="center" vertical="center"/>
    </xf>
    <xf numFmtId="0" fontId="9" fillId="4" borderId="14" xfId="2" applyBorder="1" applyAlignment="1">
      <alignment horizontal="center" vertical="center"/>
    </xf>
    <xf numFmtId="0" fontId="9" fillId="4" borderId="11" xfId="2" applyBorder="1" applyAlignment="1">
      <alignment horizontal="center" vertical="center"/>
    </xf>
    <xf numFmtId="0" fontId="9" fillId="4" borderId="12" xfId="2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1" xfId="0" applyBorder="1" applyAlignment="1">
      <alignment horizontal="center"/>
    </xf>
    <xf numFmtId="1" fontId="9" fillId="4" borderId="13" xfId="2" applyNumberFormat="1" applyBorder="1" applyAlignment="1">
      <alignment horizontal="center" vertical="center"/>
    </xf>
    <xf numFmtId="1" fontId="9" fillId="4" borderId="14" xfId="2" applyNumberFormat="1" applyBorder="1" applyAlignment="1">
      <alignment horizontal="center" vertical="center"/>
    </xf>
    <xf numFmtId="1" fontId="9" fillId="4" borderId="11" xfId="2" applyNumberFormat="1" applyBorder="1" applyAlignment="1">
      <alignment horizontal="center" vertical="center"/>
    </xf>
    <xf numFmtId="1" fontId="9" fillId="4" borderId="12" xfId="2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6" borderId="16" xfId="0" applyFont="1" applyFill="1" applyBorder="1" applyAlignment="1">
      <alignment horizontal="center" vertical="top" wrapText="1"/>
    </xf>
    <xf numFmtId="0" fontId="25" fillId="6" borderId="17" xfId="0" applyFont="1" applyFill="1" applyBorder="1" applyAlignment="1">
      <alignment horizontal="center" vertical="top" wrapText="1"/>
    </xf>
    <xf numFmtId="0" fontId="25" fillId="6" borderId="18" xfId="0" applyFont="1" applyFill="1" applyBorder="1" applyAlignment="1">
      <alignment horizontal="center" vertical="top" wrapText="1"/>
    </xf>
    <xf numFmtId="0" fontId="25" fillId="6" borderId="19" xfId="0" applyFont="1" applyFill="1" applyBorder="1" applyAlignment="1">
      <alignment horizontal="center" vertical="top" wrapText="1"/>
    </xf>
    <xf numFmtId="0" fontId="25" fillId="6" borderId="0" xfId="0" applyFont="1" applyFill="1" applyAlignment="1">
      <alignment horizontal="center" vertical="top" wrapText="1"/>
    </xf>
    <xf numFmtId="0" fontId="25" fillId="6" borderId="20" xfId="0" applyFont="1" applyFill="1" applyBorder="1" applyAlignment="1">
      <alignment horizontal="center" vertical="top" wrapText="1"/>
    </xf>
    <xf numFmtId="0" fontId="25" fillId="6" borderId="38" xfId="0" applyFont="1" applyFill="1" applyBorder="1" applyAlignment="1">
      <alignment horizontal="center" vertical="top"/>
    </xf>
    <xf numFmtId="0" fontId="25" fillId="6" borderId="39" xfId="0" applyFont="1" applyFill="1" applyBorder="1" applyAlignment="1">
      <alignment horizontal="center" vertical="top"/>
    </xf>
    <xf numFmtId="0" fontId="25" fillId="6" borderId="40" xfId="0" applyFont="1" applyFill="1" applyBorder="1" applyAlignment="1">
      <alignment horizontal="center" vertical="top"/>
    </xf>
  </cellXfs>
  <cellStyles count="6">
    <cellStyle name="Calculation" xfId="2" builtinId="22"/>
    <cellStyle name="Check Cell" xfId="5" builtinId="23"/>
    <cellStyle name="Input" xfId="1" builtinId="20"/>
    <cellStyle name="Normal" xfId="0" builtinId="0"/>
    <cellStyle name="Normal 2" xfId="3"/>
    <cellStyle name="Note" xfId="4" builtinId="10"/>
  </cellStyles>
  <dxfs count="119">
    <dxf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thin">
          <color indexed="64"/>
        </left>
      </border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1.png"/><Relationship Id="rId4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5.emf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pn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jp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pn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jp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1.png"/><Relationship Id="rId4" Type="http://schemas.openxmlformats.org/officeDocument/2006/relationships/image" Target="../media/image5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1.png"/><Relationship Id="rId4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402789</xdr:colOff>
      <xdr:row>2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39052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402789</xdr:colOff>
      <xdr:row>2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390524"/>
        </a:xfrm>
        <a:prstGeom prst="rect">
          <a:avLst/>
        </a:prstGeom>
        <a:noFill/>
      </xdr:spPr>
    </xdr:pic>
    <xdr:clientData/>
  </xdr:twoCellAnchor>
  <xdr:oneCellAnchor>
    <xdr:from>
      <xdr:col>0</xdr:col>
      <xdr:colOff>1</xdr:colOff>
      <xdr:row>49</xdr:row>
      <xdr:rowOff>1</xdr:rowOff>
    </xdr:from>
    <xdr:ext cx="1136213" cy="400049"/>
    <xdr:pic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400049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476250</xdr:colOff>
      <xdr:row>54</xdr:row>
      <xdr:rowOff>47625</xdr:rowOff>
    </xdr:from>
    <xdr:to>
      <xdr:col>8</xdr:col>
      <xdr:colOff>447675</xdr:colOff>
      <xdr:row>100</xdr:row>
      <xdr:rowOff>104775</xdr:rowOff>
    </xdr:to>
    <xdr:sp macro="" textlink="">
      <xdr:nvSpPr>
        <xdr:cNvPr id="2053" name="Object 5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xmlns="" id="{00000000-0008-0000-0100-000005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17</xdr:col>
      <xdr:colOff>561975</xdr:colOff>
      <xdr:row>53</xdr:row>
      <xdr:rowOff>142875</xdr:rowOff>
    </xdr:from>
    <xdr:to>
      <xdr:col>24</xdr:col>
      <xdr:colOff>333375</xdr:colOff>
      <xdr:row>100</xdr:row>
      <xdr:rowOff>9525</xdr:rowOff>
    </xdr:to>
    <xdr:sp macro="" textlink="">
      <xdr:nvSpPr>
        <xdr:cNvPr id="2054" name="Object 6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xmlns="" id="{00000000-0008-0000-0100-000006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25</xdr:col>
      <xdr:colOff>295275</xdr:colOff>
      <xdr:row>53</xdr:row>
      <xdr:rowOff>142875</xdr:rowOff>
    </xdr:from>
    <xdr:to>
      <xdr:col>33</xdr:col>
      <xdr:colOff>47626</xdr:colOff>
      <xdr:row>99</xdr:row>
      <xdr:rowOff>152400</xdr:rowOff>
    </xdr:to>
    <xdr:sp macro="" textlink="">
      <xdr:nvSpPr>
        <xdr:cNvPr id="2055" name="Object 7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xmlns="" id="{00000000-0008-0000-0100-0000070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476250</xdr:colOff>
      <xdr:row>54</xdr:row>
      <xdr:rowOff>47625</xdr:rowOff>
    </xdr:from>
    <xdr:to>
      <xdr:col>8</xdr:col>
      <xdr:colOff>447675</xdr:colOff>
      <xdr:row>100</xdr:row>
      <xdr:rowOff>104775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1182350"/>
          <a:ext cx="5867400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17</xdr:col>
      <xdr:colOff>561975</xdr:colOff>
      <xdr:row>53</xdr:row>
      <xdr:rowOff>142875</xdr:rowOff>
    </xdr:from>
    <xdr:to>
      <xdr:col>24</xdr:col>
      <xdr:colOff>333375</xdr:colOff>
      <xdr:row>100</xdr:row>
      <xdr:rowOff>9525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700" y="11087100"/>
          <a:ext cx="5695950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25</xdr:col>
      <xdr:colOff>295275</xdr:colOff>
      <xdr:row>53</xdr:row>
      <xdr:rowOff>142875</xdr:rowOff>
    </xdr:from>
    <xdr:to>
      <xdr:col>33</xdr:col>
      <xdr:colOff>47626</xdr:colOff>
      <xdr:row>99</xdr:row>
      <xdr:rowOff>152400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78775" y="11087100"/>
          <a:ext cx="5676900" cy="8772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53</xdr:row>
          <xdr:rowOff>152400</xdr:rowOff>
        </xdr:from>
        <xdr:to>
          <xdr:col>17</xdr:col>
          <xdr:colOff>385483</xdr:colOff>
          <xdr:row>100</xdr:row>
          <xdr:rowOff>9525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402789</xdr:colOff>
      <xdr:row>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400049"/>
        </a:xfrm>
        <a:prstGeom prst="rect">
          <a:avLst/>
        </a:prstGeom>
        <a:noFill/>
      </xdr:spPr>
    </xdr:pic>
    <xdr:clientData/>
  </xdr:twoCellAnchor>
  <xdr:oneCellAnchor>
    <xdr:from>
      <xdr:col>0</xdr:col>
      <xdr:colOff>1</xdr:colOff>
      <xdr:row>49</xdr:row>
      <xdr:rowOff>1</xdr:rowOff>
    </xdr:from>
    <xdr:ext cx="1136213" cy="400049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201276"/>
          <a:ext cx="1136213" cy="400049"/>
        </a:xfrm>
        <a:prstGeom prst="rect">
          <a:avLst/>
        </a:prstGeom>
        <a:noFill/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409575</xdr:colOff>
          <xdr:row>49</xdr:row>
          <xdr:rowOff>66675</xdr:rowOff>
        </xdr:from>
        <xdr:to>
          <xdr:col>41</xdr:col>
          <xdr:colOff>314325</xdr:colOff>
          <xdr:row>96</xdr:row>
          <xdr:rowOff>104775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762001</xdr:colOff>
      <xdr:row>49</xdr:row>
      <xdr:rowOff>119063</xdr:rowOff>
    </xdr:from>
    <xdr:to>
      <xdr:col>29</xdr:col>
      <xdr:colOff>581027</xdr:colOff>
      <xdr:row>95</xdr:row>
      <xdr:rowOff>128587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5564" y="10191751"/>
          <a:ext cx="5772150" cy="8772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690563</xdr:colOff>
      <xdr:row>52</xdr:row>
      <xdr:rowOff>95250</xdr:rowOff>
    </xdr:from>
    <xdr:to>
      <xdr:col>8</xdr:col>
      <xdr:colOff>561975</xdr:colOff>
      <xdr:row>98</xdr:row>
      <xdr:rowOff>152400</xdr:rowOff>
    </xdr:to>
    <xdr:pic>
      <xdr:nvPicPr>
        <xdr:cNvPr id="7" name="Picture 5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3" y="10739438"/>
          <a:ext cx="5800725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14</xdr:col>
      <xdr:colOff>1524000</xdr:colOff>
      <xdr:row>48</xdr:row>
      <xdr:rowOff>166687</xdr:rowOff>
    </xdr:from>
    <xdr:to>
      <xdr:col>21</xdr:col>
      <xdr:colOff>461122</xdr:colOff>
      <xdr:row>95</xdr:row>
      <xdr:rowOff>33336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0938" y="10048875"/>
          <a:ext cx="5715000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78939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400049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402789</xdr:colOff>
      <xdr:row>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400049"/>
        </a:xfrm>
        <a:prstGeom prst="rect">
          <a:avLst/>
        </a:prstGeom>
        <a:noFill/>
      </xdr:spPr>
    </xdr:pic>
    <xdr:clientData/>
  </xdr:twoCellAnchor>
  <xdr:oneCellAnchor>
    <xdr:from>
      <xdr:col>0</xdr:col>
      <xdr:colOff>1</xdr:colOff>
      <xdr:row>50</xdr:row>
      <xdr:rowOff>1</xdr:rowOff>
    </xdr:from>
    <xdr:ext cx="1136213" cy="400049"/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144126"/>
          <a:ext cx="1136213" cy="400049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294409</xdr:colOff>
      <xdr:row>53</xdr:row>
      <xdr:rowOff>121226</xdr:rowOff>
    </xdr:from>
    <xdr:to>
      <xdr:col>9</xdr:col>
      <xdr:colOff>413223</xdr:colOff>
      <xdr:row>101</xdr:row>
      <xdr:rowOff>138546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9" y="11135590"/>
          <a:ext cx="6754083" cy="9178637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0</xdr:col>
      <xdr:colOff>1</xdr:colOff>
      <xdr:row>107</xdr:row>
      <xdr:rowOff>1</xdr:rowOff>
    </xdr:from>
    <xdr:ext cx="1136213" cy="400049"/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425546"/>
          <a:ext cx="1136213" cy="400049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657074</xdr:colOff>
      <xdr:row>112</xdr:row>
      <xdr:rowOff>49918</xdr:rowOff>
    </xdr:from>
    <xdr:to>
      <xdr:col>8</xdr:col>
      <xdr:colOff>36093</xdr:colOff>
      <xdr:row>157</xdr:row>
      <xdr:rowOff>8888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-961124" y="23911792"/>
          <a:ext cx="8531470" cy="529507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22152</xdr:colOff>
      <xdr:row>56</xdr:row>
      <xdr:rowOff>0</xdr:rowOff>
    </xdr:from>
    <xdr:to>
      <xdr:col>19</xdr:col>
      <xdr:colOff>244225</xdr:colOff>
      <xdr:row>101</xdr:row>
      <xdr:rowOff>88606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1425" y="11463227"/>
          <a:ext cx="6103207" cy="857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488373</xdr:colOff>
      <xdr:row>58</xdr:row>
      <xdr:rowOff>41564</xdr:rowOff>
    </xdr:from>
    <xdr:to>
      <xdr:col>25</xdr:col>
      <xdr:colOff>181546</xdr:colOff>
      <xdr:row>100</xdr:row>
      <xdr:rowOff>37854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6373" y="12043064"/>
          <a:ext cx="6284473" cy="7997289"/>
        </a:xfrm>
        <a:prstGeom prst="rect">
          <a:avLst/>
        </a:prstGeom>
      </xdr:spPr>
    </xdr:pic>
    <xdr:clientData/>
  </xdr:twoCellAnchor>
  <xdr:twoCellAnchor editAs="oneCell">
    <xdr:from>
      <xdr:col>25</xdr:col>
      <xdr:colOff>581891</xdr:colOff>
      <xdr:row>56</xdr:row>
      <xdr:rowOff>62346</xdr:rowOff>
    </xdr:from>
    <xdr:to>
      <xdr:col>35</xdr:col>
      <xdr:colOff>578543</xdr:colOff>
      <xdr:row>100</xdr:row>
      <xdr:rowOff>45029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51191" y="11682846"/>
          <a:ext cx="6168852" cy="8364682"/>
        </a:xfrm>
        <a:prstGeom prst="rect">
          <a:avLst/>
        </a:prstGeom>
      </xdr:spPr>
    </xdr:pic>
    <xdr:clientData/>
  </xdr:twoCellAnchor>
  <xdr:twoCellAnchor editAs="oneCell">
    <xdr:from>
      <xdr:col>37</xdr:col>
      <xdr:colOff>370609</xdr:colOff>
      <xdr:row>55</xdr:row>
      <xdr:rowOff>152399</xdr:rowOff>
    </xdr:from>
    <xdr:to>
      <xdr:col>47</xdr:col>
      <xdr:colOff>467344</xdr:colOff>
      <xdr:row>99</xdr:row>
      <xdr:rowOff>96983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7764385" y="12649323"/>
          <a:ext cx="8326583" cy="619273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110</xdr:row>
      <xdr:rowOff>114300</xdr:rowOff>
    </xdr:from>
    <xdr:to>
      <xdr:col>19</xdr:col>
      <xdr:colOff>178963</xdr:colOff>
      <xdr:row>155</xdr:row>
      <xdr:rowOff>154503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300" y="22021800"/>
          <a:ext cx="5398663" cy="8612703"/>
        </a:xfrm>
        <a:prstGeom prst="rect">
          <a:avLst/>
        </a:prstGeom>
      </xdr:spPr>
    </xdr:pic>
    <xdr:clientData/>
  </xdr:twoCellAnchor>
  <xdr:twoCellAnchor editAs="oneCell">
    <xdr:from>
      <xdr:col>48</xdr:col>
      <xdr:colOff>332767</xdr:colOff>
      <xdr:row>55</xdr:row>
      <xdr:rowOff>186276</xdr:rowOff>
    </xdr:from>
    <xdr:to>
      <xdr:col>58</xdr:col>
      <xdr:colOff>509046</xdr:colOff>
      <xdr:row>101</xdr:row>
      <xdr:rowOff>67237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3946795" y="12830131"/>
          <a:ext cx="8655166" cy="61153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</xdr:col>
      <xdr:colOff>402789</xdr:colOff>
      <xdr:row>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6213" cy="400049"/>
        </a:xfrm>
        <a:prstGeom prst="rect">
          <a:avLst/>
        </a:prstGeom>
        <a:noFill/>
      </xdr:spPr>
    </xdr:pic>
    <xdr:clientData/>
  </xdr:twoCellAnchor>
  <xdr:oneCellAnchor>
    <xdr:from>
      <xdr:col>0</xdr:col>
      <xdr:colOff>1</xdr:colOff>
      <xdr:row>52</xdr:row>
      <xdr:rowOff>1</xdr:rowOff>
    </xdr:from>
    <xdr:ext cx="1136213" cy="400049"/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0344151"/>
          <a:ext cx="1136213" cy="400049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294409</xdr:colOff>
      <xdr:row>56</xdr:row>
      <xdr:rowOff>146074</xdr:rowOff>
    </xdr:from>
    <xdr:to>
      <xdr:col>9</xdr:col>
      <xdr:colOff>543632</xdr:colOff>
      <xdr:row>104</xdr:row>
      <xdr:rowOff>163394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9" y="11617487"/>
          <a:ext cx="6842180" cy="9169602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0</xdr:col>
      <xdr:colOff>1</xdr:colOff>
      <xdr:row>109</xdr:row>
      <xdr:rowOff>1</xdr:rowOff>
    </xdr:from>
    <xdr:ext cx="1136213" cy="400049"/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1221701"/>
          <a:ext cx="1136213" cy="400049"/>
        </a:xfrm>
        <a:prstGeom prst="rect">
          <a:avLst/>
        </a:prstGeom>
        <a:noFill/>
      </xdr:spPr>
    </xdr:pic>
    <xdr:clientData/>
  </xdr:oneCellAnchor>
  <xdr:twoCellAnchor editAs="oneCell">
    <xdr:from>
      <xdr:col>0</xdr:col>
      <xdr:colOff>657074</xdr:colOff>
      <xdr:row>114</xdr:row>
      <xdr:rowOff>49918</xdr:rowOff>
    </xdr:from>
    <xdr:to>
      <xdr:col>8</xdr:col>
      <xdr:colOff>166502</xdr:colOff>
      <xdr:row>159</xdr:row>
      <xdr:rowOff>8889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-940953" y="23841195"/>
          <a:ext cx="8531470" cy="533541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609600</xdr:colOff>
      <xdr:row>59</xdr:row>
      <xdr:rowOff>1</xdr:rowOff>
    </xdr:from>
    <xdr:to>
      <xdr:col>20</xdr:col>
      <xdr:colOff>1409897</xdr:colOff>
      <xdr:row>104</xdr:row>
      <xdr:rowOff>88606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2077701"/>
          <a:ext cx="6165673" cy="8661105"/>
        </a:xfrm>
        <a:prstGeom prst="rect">
          <a:avLst/>
        </a:prstGeom>
      </xdr:spPr>
    </xdr:pic>
    <xdr:clientData/>
  </xdr:twoCellAnchor>
  <xdr:twoCellAnchor editAs="oneCell">
    <xdr:from>
      <xdr:col>20</xdr:col>
      <xdr:colOff>428121</xdr:colOff>
      <xdr:row>56</xdr:row>
      <xdr:rowOff>155865</xdr:rowOff>
    </xdr:from>
    <xdr:to>
      <xdr:col>28</xdr:col>
      <xdr:colOff>45094</xdr:colOff>
      <xdr:row>98</xdr:row>
      <xdr:rowOff>152154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8721" y="11852565"/>
          <a:ext cx="6284473" cy="7997289"/>
        </a:xfrm>
        <a:prstGeom prst="rect">
          <a:avLst/>
        </a:prstGeom>
      </xdr:spPr>
    </xdr:pic>
    <xdr:clientData/>
  </xdr:twoCellAnchor>
  <xdr:twoCellAnchor editAs="oneCell">
    <xdr:from>
      <xdr:col>28</xdr:col>
      <xdr:colOff>369239</xdr:colOff>
      <xdr:row>56</xdr:row>
      <xdr:rowOff>138547</xdr:rowOff>
    </xdr:from>
    <xdr:to>
      <xdr:col>38</xdr:col>
      <xdr:colOff>442091</xdr:colOff>
      <xdr:row>100</xdr:row>
      <xdr:rowOff>121229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267339" y="11835247"/>
          <a:ext cx="6168852" cy="8364682"/>
        </a:xfrm>
        <a:prstGeom prst="rect">
          <a:avLst/>
        </a:prstGeom>
      </xdr:spPr>
    </xdr:pic>
    <xdr:clientData/>
  </xdr:twoCellAnchor>
  <xdr:twoCellAnchor editAs="oneCell">
    <xdr:from>
      <xdr:col>40</xdr:col>
      <xdr:colOff>81757</xdr:colOff>
      <xdr:row>56</xdr:row>
      <xdr:rowOff>0</xdr:rowOff>
    </xdr:from>
    <xdr:to>
      <xdr:col>50</xdr:col>
      <xdr:colOff>178493</xdr:colOff>
      <xdr:row>99</xdr:row>
      <xdr:rowOff>135083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228133" y="12763624"/>
          <a:ext cx="8326583" cy="6192735"/>
        </a:xfrm>
        <a:prstGeom prst="rect">
          <a:avLst/>
        </a:prstGeom>
      </xdr:spPr>
    </xdr:pic>
    <xdr:clientData/>
  </xdr:twoCellAnchor>
  <xdr:twoCellAnchor editAs="oneCell">
    <xdr:from>
      <xdr:col>14</xdr:col>
      <xdr:colOff>1311348</xdr:colOff>
      <xdr:row>113</xdr:row>
      <xdr:rowOff>114301</xdr:rowOff>
    </xdr:from>
    <xdr:to>
      <xdr:col>20</xdr:col>
      <xdr:colOff>1344635</xdr:colOff>
      <xdr:row>158</xdr:row>
      <xdr:rowOff>154504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8748" y="22479001"/>
          <a:ext cx="5398663" cy="86127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130152" cy="40784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0152" cy="407842"/>
        </a:xfrm>
        <a:prstGeom prst="rect">
          <a:avLst/>
        </a:prstGeom>
        <a:noFill/>
      </xdr:spPr>
    </xdr:pic>
    <xdr:clientData/>
  </xdr:oneCellAnchor>
  <xdr:oneCellAnchor>
    <xdr:from>
      <xdr:col>0</xdr:col>
      <xdr:colOff>1</xdr:colOff>
      <xdr:row>49</xdr:row>
      <xdr:rowOff>1</xdr:rowOff>
    </xdr:from>
    <xdr:ext cx="1136213" cy="400049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334501"/>
          <a:ext cx="1136213" cy="400049"/>
        </a:xfrm>
        <a:prstGeom prst="rect">
          <a:avLst/>
        </a:prstGeom>
        <a:noFill/>
      </xdr:spPr>
    </xdr:pic>
    <xdr:clientData/>
  </xdr:oneCellAnchor>
  <xdr:oneCellAnchor>
    <xdr:from>
      <xdr:col>0</xdr:col>
      <xdr:colOff>476250</xdr:colOff>
      <xdr:row>54</xdr:row>
      <xdr:rowOff>47625</xdr:rowOff>
    </xdr:from>
    <xdr:ext cx="5825254" cy="8820150"/>
    <xdr:sp macro="" textlink="">
      <xdr:nvSpPr>
        <xdr:cNvPr id="4" name="Object 5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/>
      </xdr:nvSpPr>
      <xdr:spPr bwMode="auto">
        <a:xfrm>
          <a:off x="476250" y="10334625"/>
          <a:ext cx="5825254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17</xdr:col>
      <xdr:colOff>561975</xdr:colOff>
      <xdr:row>53</xdr:row>
      <xdr:rowOff>142875</xdr:rowOff>
    </xdr:from>
    <xdr:ext cx="5694219" cy="8820150"/>
    <xdr:sp macro="" textlink="">
      <xdr:nvSpPr>
        <xdr:cNvPr id="5" name="Object 6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SpPr/>
      </xdr:nvSpPr>
      <xdr:spPr bwMode="auto">
        <a:xfrm>
          <a:off x="10601325" y="10239375"/>
          <a:ext cx="5694219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25</xdr:col>
      <xdr:colOff>295275</xdr:colOff>
      <xdr:row>53</xdr:row>
      <xdr:rowOff>142875</xdr:rowOff>
    </xdr:from>
    <xdr:ext cx="5675169" cy="8772525"/>
    <xdr:sp macro="" textlink="">
      <xdr:nvSpPr>
        <xdr:cNvPr id="6" name="Object 7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/>
      </xdr:nvSpPr>
      <xdr:spPr bwMode="auto">
        <a:xfrm>
          <a:off x="15059025" y="10239375"/>
          <a:ext cx="5675169" cy="8772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15</xdr:col>
      <xdr:colOff>1428750</xdr:colOff>
      <xdr:row>54</xdr:row>
      <xdr:rowOff>186170</xdr:rowOff>
    </xdr:from>
    <xdr:ext cx="5837477" cy="8820150"/>
    <xdr:pic>
      <xdr:nvPicPr>
        <xdr:cNvPr id="7" name="Picture 5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0092170"/>
          <a:ext cx="5837477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oneCellAnchor>
    <xdr:from>
      <xdr:col>0</xdr:col>
      <xdr:colOff>544656</xdr:colOff>
      <xdr:row>51</xdr:row>
      <xdr:rowOff>125556</xdr:rowOff>
    </xdr:from>
    <xdr:ext cx="6111637" cy="9484076"/>
    <xdr:pic>
      <xdr:nvPicPr>
        <xdr:cNvPr id="8" name="Picture 6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656" y="9841056"/>
          <a:ext cx="6111637" cy="948407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oneCellAnchor>
    <xdr:from>
      <xdr:col>25</xdr:col>
      <xdr:colOff>295275</xdr:colOff>
      <xdr:row>53</xdr:row>
      <xdr:rowOff>142875</xdr:rowOff>
    </xdr:from>
    <xdr:ext cx="5675169" cy="8772525"/>
    <xdr:pic>
      <xdr:nvPicPr>
        <xdr:cNvPr id="9" name="Picture 7">
          <a:extLst>
            <a:ext uri="{FF2B5EF4-FFF2-40B4-BE49-F238E27FC236}">
              <a16:creationId xmlns:a16="http://schemas.microsoft.com/office/drawing/2014/main" xmlns="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10239375"/>
          <a:ext cx="5675169" cy="8772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130152" cy="407842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"/>
          <a:ext cx="1130152" cy="407842"/>
        </a:xfrm>
        <a:prstGeom prst="rect">
          <a:avLst/>
        </a:prstGeom>
        <a:noFill/>
      </xdr:spPr>
    </xdr:pic>
    <xdr:clientData/>
  </xdr:oneCellAnchor>
  <xdr:oneCellAnchor>
    <xdr:from>
      <xdr:col>0</xdr:col>
      <xdr:colOff>1</xdr:colOff>
      <xdr:row>49</xdr:row>
      <xdr:rowOff>1</xdr:rowOff>
    </xdr:from>
    <xdr:ext cx="1136213" cy="400049"/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334501"/>
          <a:ext cx="1136213" cy="400049"/>
        </a:xfrm>
        <a:prstGeom prst="rect">
          <a:avLst/>
        </a:prstGeom>
        <a:noFill/>
      </xdr:spPr>
    </xdr:pic>
    <xdr:clientData/>
  </xdr:oneCellAnchor>
  <xdr:oneCellAnchor>
    <xdr:from>
      <xdr:col>0</xdr:col>
      <xdr:colOff>476250</xdr:colOff>
      <xdr:row>54</xdr:row>
      <xdr:rowOff>47625</xdr:rowOff>
    </xdr:from>
    <xdr:ext cx="5839516" cy="8820150"/>
    <xdr:sp macro="" textlink="">
      <xdr:nvSpPr>
        <xdr:cNvPr id="4" name="Object 5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 bwMode="auto">
        <a:xfrm>
          <a:off x="476250" y="10334625"/>
          <a:ext cx="5839516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17</xdr:col>
      <xdr:colOff>561975</xdr:colOff>
      <xdr:row>53</xdr:row>
      <xdr:rowOff>142875</xdr:rowOff>
    </xdr:from>
    <xdr:ext cx="5694218" cy="8820150"/>
    <xdr:sp macro="" textlink="">
      <xdr:nvSpPr>
        <xdr:cNvPr id="5" name="Object 6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SpPr/>
      </xdr:nvSpPr>
      <xdr:spPr bwMode="auto">
        <a:xfrm>
          <a:off x="10601325" y="10239375"/>
          <a:ext cx="5694218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25</xdr:col>
      <xdr:colOff>295275</xdr:colOff>
      <xdr:row>53</xdr:row>
      <xdr:rowOff>142875</xdr:rowOff>
    </xdr:from>
    <xdr:ext cx="5675170" cy="8772525"/>
    <xdr:sp macro="" textlink="">
      <xdr:nvSpPr>
        <xdr:cNvPr id="6" name="Object 7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/>
      </xdr:nvSpPr>
      <xdr:spPr bwMode="auto">
        <a:xfrm>
          <a:off x="15059025" y="10239375"/>
          <a:ext cx="5675170" cy="8772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14</xdr:col>
      <xdr:colOff>1463387</xdr:colOff>
      <xdr:row>60</xdr:row>
      <xdr:rowOff>151534</xdr:rowOff>
    </xdr:from>
    <xdr:ext cx="5836460" cy="8820150"/>
    <xdr:pic>
      <xdr:nvPicPr>
        <xdr:cNvPr id="7" name="Picture 5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787" y="11200534"/>
          <a:ext cx="5836460" cy="8820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oneCellAnchor>
    <xdr:from>
      <xdr:col>0</xdr:col>
      <xdr:colOff>492703</xdr:colOff>
      <xdr:row>51</xdr:row>
      <xdr:rowOff>160192</xdr:rowOff>
    </xdr:from>
    <xdr:ext cx="6090244" cy="9430424"/>
    <xdr:pic>
      <xdr:nvPicPr>
        <xdr:cNvPr id="8" name="Picture 6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03" y="9875692"/>
          <a:ext cx="6090244" cy="943042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oneCellAnchor>
    <xdr:from>
      <xdr:col>25</xdr:col>
      <xdr:colOff>295275</xdr:colOff>
      <xdr:row>53</xdr:row>
      <xdr:rowOff>142875</xdr:rowOff>
    </xdr:from>
    <xdr:ext cx="5675170" cy="8772525"/>
    <xdr:pic>
      <xdr:nvPicPr>
        <xdr:cNvPr id="9" name="Picture 7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9025" y="10239375"/>
          <a:ext cx="5675170" cy="87725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Zach's%20Runs/201013_Jetson%20Air-to-Water%20Heat%20Pump_Stephany%20Mejia/Jetson%20Air-to-Water%20Heat%20Pump_Stephany%20Mej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r-Water Heat Pump (Cooling)"/>
      <sheetName val="Air-Water Heat Pump (Heating)"/>
      <sheetName val="Look Up Tables"/>
      <sheetName val="Glycol Lookup Tables"/>
    </sheetNames>
    <sheetDataSet>
      <sheetData sheetId="0"/>
      <sheetData sheetId="1"/>
      <sheetData sheetId="2"/>
      <sheetData sheetId="3">
        <row r="7">
          <cell r="C7">
            <v>0</v>
          </cell>
          <cell r="E7">
            <v>32</v>
          </cell>
          <cell r="H7">
            <v>0</v>
          </cell>
          <cell r="J7">
            <v>32</v>
          </cell>
        </row>
        <row r="8">
          <cell r="C8">
            <v>5</v>
          </cell>
          <cell r="E8">
            <v>29.4</v>
          </cell>
          <cell r="H8">
            <v>5</v>
          </cell>
          <cell r="J8">
            <v>29.1</v>
          </cell>
        </row>
        <row r="9">
          <cell r="C9">
            <v>10</v>
          </cell>
          <cell r="E9">
            <v>26.2</v>
          </cell>
          <cell r="H9">
            <v>10</v>
          </cell>
          <cell r="J9">
            <v>26.1</v>
          </cell>
        </row>
        <row r="10">
          <cell r="C10">
            <v>15</v>
          </cell>
          <cell r="E10">
            <v>22.2</v>
          </cell>
          <cell r="H10">
            <v>15</v>
          </cell>
          <cell r="J10">
            <v>22.9</v>
          </cell>
        </row>
        <row r="11">
          <cell r="C11">
            <v>20</v>
          </cell>
          <cell r="E11">
            <v>17.899999999999999</v>
          </cell>
          <cell r="H11">
            <v>20</v>
          </cell>
          <cell r="J11">
            <v>19.2</v>
          </cell>
        </row>
        <row r="12">
          <cell r="C12">
            <v>21</v>
          </cell>
          <cell r="E12">
            <v>16.8</v>
          </cell>
          <cell r="H12">
            <v>21</v>
          </cell>
          <cell r="J12">
            <v>18.3</v>
          </cell>
        </row>
        <row r="13">
          <cell r="C13">
            <v>22</v>
          </cell>
          <cell r="E13">
            <v>15.9</v>
          </cell>
          <cell r="H13">
            <v>22</v>
          </cell>
          <cell r="J13">
            <v>17.600000000000001</v>
          </cell>
        </row>
        <row r="14">
          <cell r="C14">
            <v>23</v>
          </cell>
          <cell r="E14">
            <v>14.9</v>
          </cell>
          <cell r="H14">
            <v>23</v>
          </cell>
          <cell r="J14">
            <v>16.600000000000001</v>
          </cell>
        </row>
        <row r="15">
          <cell r="C15">
            <v>24</v>
          </cell>
          <cell r="E15">
            <v>13.7</v>
          </cell>
          <cell r="H15">
            <v>24</v>
          </cell>
          <cell r="J15">
            <v>15.6</v>
          </cell>
        </row>
        <row r="16">
          <cell r="C16">
            <v>25</v>
          </cell>
          <cell r="E16">
            <v>12.7</v>
          </cell>
          <cell r="H16">
            <v>25</v>
          </cell>
          <cell r="J16">
            <v>14.7</v>
          </cell>
        </row>
        <row r="17">
          <cell r="C17">
            <v>26</v>
          </cell>
          <cell r="E17">
            <v>11.4</v>
          </cell>
          <cell r="H17">
            <v>26</v>
          </cell>
          <cell r="J17">
            <v>13.7</v>
          </cell>
        </row>
        <row r="18">
          <cell r="C18">
            <v>27</v>
          </cell>
          <cell r="E18">
            <v>10.4</v>
          </cell>
          <cell r="H18">
            <v>27</v>
          </cell>
          <cell r="J18">
            <v>12.6</v>
          </cell>
        </row>
        <row r="19">
          <cell r="C19">
            <v>28</v>
          </cell>
          <cell r="E19">
            <v>9.1999999999999993</v>
          </cell>
          <cell r="H19">
            <v>28</v>
          </cell>
          <cell r="J19">
            <v>11.5</v>
          </cell>
        </row>
        <row r="20">
          <cell r="C20">
            <v>29</v>
          </cell>
          <cell r="E20">
            <v>8</v>
          </cell>
          <cell r="H20">
            <v>29</v>
          </cell>
          <cell r="J20">
            <v>10.4</v>
          </cell>
        </row>
        <row r="21">
          <cell r="C21">
            <v>30</v>
          </cell>
          <cell r="E21">
            <v>6.7</v>
          </cell>
          <cell r="H21">
            <v>30</v>
          </cell>
          <cell r="J21">
            <v>9.1999999999999993</v>
          </cell>
        </row>
        <row r="22">
          <cell r="C22">
            <v>31</v>
          </cell>
          <cell r="E22">
            <v>5.4</v>
          </cell>
          <cell r="H22">
            <v>31</v>
          </cell>
          <cell r="J22">
            <v>7.9</v>
          </cell>
        </row>
        <row r="23">
          <cell r="C23">
            <v>32</v>
          </cell>
          <cell r="E23">
            <v>4.2</v>
          </cell>
          <cell r="H23">
            <v>32</v>
          </cell>
          <cell r="J23">
            <v>6.6</v>
          </cell>
        </row>
        <row r="24">
          <cell r="C24">
            <v>33</v>
          </cell>
          <cell r="E24">
            <v>2.9</v>
          </cell>
          <cell r="H24">
            <v>33</v>
          </cell>
          <cell r="J24">
            <v>5.3</v>
          </cell>
        </row>
        <row r="25">
          <cell r="C25">
            <v>34</v>
          </cell>
          <cell r="E25">
            <v>1.4</v>
          </cell>
          <cell r="H25">
            <v>34</v>
          </cell>
          <cell r="J25">
            <v>3.9</v>
          </cell>
        </row>
        <row r="26">
          <cell r="C26">
            <v>35</v>
          </cell>
          <cell r="E26" t="str">
            <v>–0.2</v>
          </cell>
          <cell r="H26">
            <v>35</v>
          </cell>
          <cell r="J26">
            <v>2.4</v>
          </cell>
        </row>
        <row r="27">
          <cell r="C27">
            <v>36</v>
          </cell>
          <cell r="E27" t="str">
            <v>–1.5</v>
          </cell>
          <cell r="H27">
            <v>36</v>
          </cell>
          <cell r="J27">
            <v>0.8</v>
          </cell>
        </row>
        <row r="28">
          <cell r="C28">
            <v>37</v>
          </cell>
          <cell r="E28" t="str">
            <v>–3.0</v>
          </cell>
          <cell r="H28">
            <v>37</v>
          </cell>
          <cell r="J28" t="str">
            <v>–0.8</v>
          </cell>
        </row>
        <row r="29">
          <cell r="C29">
            <v>38</v>
          </cell>
          <cell r="E29" t="str">
            <v>–4.5</v>
          </cell>
          <cell r="H29">
            <v>38</v>
          </cell>
          <cell r="J29" t="str">
            <v>–2.4</v>
          </cell>
        </row>
        <row r="30">
          <cell r="C30">
            <v>39</v>
          </cell>
          <cell r="E30" t="str">
            <v>–6.4</v>
          </cell>
          <cell r="H30">
            <v>39</v>
          </cell>
          <cell r="J30" t="str">
            <v>–4.2</v>
          </cell>
        </row>
        <row r="31">
          <cell r="C31">
            <v>40</v>
          </cell>
          <cell r="E31" t="str">
            <v>–8.1</v>
          </cell>
          <cell r="H31">
            <v>40</v>
          </cell>
          <cell r="J31" t="str">
            <v>–6.0</v>
          </cell>
        </row>
        <row r="32">
          <cell r="C32">
            <v>41</v>
          </cell>
          <cell r="E32" t="str">
            <v>–9.8</v>
          </cell>
          <cell r="H32">
            <v>41</v>
          </cell>
          <cell r="J32" t="str">
            <v>–7.8</v>
          </cell>
        </row>
        <row r="33">
          <cell r="C33">
            <v>42</v>
          </cell>
          <cell r="E33" t="str">
            <v>–11.7</v>
          </cell>
          <cell r="H33">
            <v>42</v>
          </cell>
          <cell r="J33" t="str">
            <v>–9.8</v>
          </cell>
        </row>
        <row r="34">
          <cell r="C34">
            <v>43</v>
          </cell>
          <cell r="E34" t="str">
            <v>–13.5</v>
          </cell>
          <cell r="H34">
            <v>43</v>
          </cell>
          <cell r="J34" t="str">
            <v>–11.8</v>
          </cell>
        </row>
        <row r="35">
          <cell r="C35">
            <v>44</v>
          </cell>
          <cell r="E35" t="str">
            <v>–15.5</v>
          </cell>
          <cell r="H35">
            <v>44</v>
          </cell>
          <cell r="J35" t="str">
            <v>–13.9</v>
          </cell>
        </row>
        <row r="36">
          <cell r="C36">
            <v>45</v>
          </cell>
          <cell r="E36" t="str">
            <v>–17.5</v>
          </cell>
          <cell r="H36">
            <v>45</v>
          </cell>
          <cell r="J36" t="str">
            <v>–16.1</v>
          </cell>
        </row>
        <row r="37">
          <cell r="C37">
            <v>46</v>
          </cell>
          <cell r="E37" t="str">
            <v>–19.8</v>
          </cell>
          <cell r="H37">
            <v>46</v>
          </cell>
          <cell r="J37" t="str">
            <v>–18.3</v>
          </cell>
        </row>
        <row r="38">
          <cell r="C38">
            <v>47</v>
          </cell>
          <cell r="E38" t="str">
            <v>–21.6</v>
          </cell>
          <cell r="H38">
            <v>47</v>
          </cell>
          <cell r="J38" t="str">
            <v>–20.7</v>
          </cell>
        </row>
        <row r="39">
          <cell r="C39">
            <v>48</v>
          </cell>
          <cell r="E39" t="str">
            <v>–23.9</v>
          </cell>
          <cell r="H39">
            <v>48</v>
          </cell>
          <cell r="J39" t="str">
            <v>–23.1</v>
          </cell>
        </row>
        <row r="40">
          <cell r="C40">
            <v>49</v>
          </cell>
          <cell r="E40" t="str">
            <v>–26.7</v>
          </cell>
          <cell r="H40">
            <v>49</v>
          </cell>
          <cell r="J40" t="str">
            <v>–25.7</v>
          </cell>
        </row>
        <row r="41">
          <cell r="C41">
            <v>50</v>
          </cell>
          <cell r="E41" t="str">
            <v>–28.9</v>
          </cell>
          <cell r="H41">
            <v>50</v>
          </cell>
          <cell r="J41" t="str">
            <v>–28.3</v>
          </cell>
        </row>
        <row r="42">
          <cell r="C42">
            <v>51</v>
          </cell>
          <cell r="E42" t="str">
            <v>–31.2</v>
          </cell>
          <cell r="H42">
            <v>51</v>
          </cell>
          <cell r="J42" t="str">
            <v>–31.0</v>
          </cell>
        </row>
        <row r="43">
          <cell r="C43">
            <v>52</v>
          </cell>
          <cell r="E43" t="str">
            <v>–33.6</v>
          </cell>
          <cell r="H43">
            <v>52</v>
          </cell>
          <cell r="J43" t="str">
            <v>–33.8</v>
          </cell>
        </row>
        <row r="44">
          <cell r="C44">
            <v>53</v>
          </cell>
          <cell r="E44" t="str">
            <v>–36.2</v>
          </cell>
          <cell r="H44">
            <v>53</v>
          </cell>
          <cell r="J44" t="str">
            <v>–36.7</v>
          </cell>
        </row>
        <row r="45">
          <cell r="C45">
            <v>54</v>
          </cell>
          <cell r="E45" t="str">
            <v>–38.8</v>
          </cell>
          <cell r="H45">
            <v>54</v>
          </cell>
          <cell r="J45" t="str">
            <v>–39.7</v>
          </cell>
        </row>
        <row r="46">
          <cell r="C46">
            <v>55</v>
          </cell>
          <cell r="E46" t="str">
            <v>–42.0</v>
          </cell>
          <cell r="H46">
            <v>55</v>
          </cell>
          <cell r="J46" t="str">
            <v>–42.8</v>
          </cell>
        </row>
        <row r="47">
          <cell r="C47">
            <v>56</v>
          </cell>
          <cell r="E47" t="str">
            <v>–44.7</v>
          </cell>
          <cell r="H47">
            <v>56</v>
          </cell>
          <cell r="J47" t="str">
            <v>–46.0</v>
          </cell>
        </row>
        <row r="48">
          <cell r="C48">
            <v>57</v>
          </cell>
          <cell r="E48" t="str">
            <v>–47.5</v>
          </cell>
          <cell r="H48">
            <v>57</v>
          </cell>
          <cell r="J48" t="str">
            <v>–49.3</v>
          </cell>
        </row>
        <row r="49">
          <cell r="C49">
            <v>58</v>
          </cell>
          <cell r="E49" t="str">
            <v>–50.0</v>
          </cell>
          <cell r="H49">
            <v>58</v>
          </cell>
          <cell r="J49" t="str">
            <v>–52.7</v>
          </cell>
        </row>
        <row r="50">
          <cell r="C50">
            <v>59</v>
          </cell>
          <cell r="E50" t="str">
            <v>–52.7</v>
          </cell>
          <cell r="H50">
            <v>59</v>
          </cell>
          <cell r="J50" t="str">
            <v>–56.2</v>
          </cell>
        </row>
        <row r="51">
          <cell r="C51">
            <v>60</v>
          </cell>
          <cell r="E51" t="str">
            <v>–54.9</v>
          </cell>
          <cell r="H51">
            <v>60</v>
          </cell>
          <cell r="J51" t="str">
            <v>–59.9</v>
          </cell>
        </row>
        <row r="52">
          <cell r="C52">
            <v>65</v>
          </cell>
          <cell r="E52" t="str">
            <v>*</v>
          </cell>
          <cell r="H52">
            <v>65</v>
          </cell>
          <cell r="J52" t="str">
            <v>*</v>
          </cell>
        </row>
        <row r="53">
          <cell r="C53">
            <v>70</v>
          </cell>
          <cell r="E53" t="str">
            <v>*</v>
          </cell>
          <cell r="H53">
            <v>70</v>
          </cell>
          <cell r="J53" t="str">
            <v>*</v>
          </cell>
        </row>
        <row r="54">
          <cell r="C54">
            <v>75</v>
          </cell>
          <cell r="E54" t="str">
            <v>*</v>
          </cell>
          <cell r="H54">
            <v>75</v>
          </cell>
          <cell r="J54" t="str">
            <v>*</v>
          </cell>
        </row>
        <row r="55">
          <cell r="C55">
            <v>80</v>
          </cell>
          <cell r="E55" t="str">
            <v>–52.2</v>
          </cell>
          <cell r="H55">
            <v>80</v>
          </cell>
          <cell r="J55" t="str">
            <v>*</v>
          </cell>
        </row>
        <row r="56">
          <cell r="C56">
            <v>85</v>
          </cell>
          <cell r="E56" t="str">
            <v>–34.5</v>
          </cell>
          <cell r="H56">
            <v>85</v>
          </cell>
          <cell r="J56" t="str">
            <v>*</v>
          </cell>
        </row>
        <row r="57">
          <cell r="C57">
            <v>90</v>
          </cell>
          <cell r="E57" t="str">
            <v>–21.6</v>
          </cell>
          <cell r="H57">
            <v>90</v>
          </cell>
          <cell r="J57" t="str">
            <v>*</v>
          </cell>
        </row>
        <row r="58">
          <cell r="C58">
            <v>95</v>
          </cell>
          <cell r="E58" t="str">
            <v>–3.0</v>
          </cell>
          <cell r="H58">
            <v>95</v>
          </cell>
          <cell r="J58" t="str">
            <v>*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le2" displayName="Table2" ref="K4:AA31" totalsRowShown="0" headerRowDxfId="16" tableBorderDxfId="15">
  <autoFilter ref="K4:AA31"/>
  <tableColumns count="17">
    <tableColumn id="1" name="Low Ambient" dataDxfId="14"/>
    <tableColumn id="2" name="Voltage" dataDxfId="13"/>
    <tableColumn id="3" name="VAC" dataDxfId="12"/>
    <tableColumn id="17" name="Letter" dataDxfId="11"/>
    <tableColumn id="4" name="Compressor" dataDxfId="10"/>
    <tableColumn id="5" name="Comp QTY" dataDxfId="9"/>
    <tableColumn id="6" name="Fans QTY" dataDxfId="8"/>
    <tableColumn id="7" name="Model QTY" dataDxfId="7"/>
    <tableColumn id="8" name="COMP RLA Look Up Value" dataDxfId="6"/>
    <tableColumn id="9" name="Evap Type" dataDxfId="5"/>
    <tableColumn id="10" name="Cond Type" dataDxfId="4"/>
    <tableColumn id="11" name="Frame Size" dataDxfId="3"/>
    <tableColumn id="12" name="Length" dataDxfId="2"/>
    <tableColumn id="13" name="Width" dataDxfId="1"/>
    <tableColumn id="14" name="Height" dataDxfId="0"/>
    <tableColumn id="16" name="Fan Type"/>
    <tableColumn id="15" name="Circuit Type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53"/>
  <sheetViews>
    <sheetView zoomScale="85" zoomScaleNormal="85" zoomScaleSheetLayoutView="100" workbookViewId="0"/>
  </sheetViews>
  <sheetFormatPr defaultColWidth="8.85546875" defaultRowHeight="15"/>
  <cols>
    <col min="1" max="4" width="11" style="1" customWidth="1"/>
    <col min="5" max="5" width="9.85546875" style="1" customWidth="1"/>
    <col min="6" max="6" width="15.140625" style="1" customWidth="1"/>
    <col min="7" max="10" width="11" style="1" customWidth="1"/>
    <col min="15" max="16" width="22" customWidth="1"/>
    <col min="18" max="18" width="15" bestFit="1" customWidth="1"/>
    <col min="19" max="19" width="17.7109375" bestFit="1" customWidth="1"/>
  </cols>
  <sheetData>
    <row r="1" spans="1:45">
      <c r="G1" s="251" t="s">
        <v>263</v>
      </c>
      <c r="H1" s="251"/>
      <c r="I1" s="251"/>
      <c r="J1" s="251"/>
    </row>
    <row r="2" spans="1:45" ht="15.75" thickBot="1">
      <c r="A2" s="85"/>
      <c r="B2" s="85"/>
      <c r="C2" s="85"/>
      <c r="D2" s="85"/>
      <c r="E2" s="85"/>
      <c r="F2" s="85"/>
      <c r="G2" s="252"/>
      <c r="H2" s="252"/>
      <c r="I2" s="252"/>
      <c r="J2" s="252"/>
    </row>
    <row r="3" spans="1:45" ht="15.75" thickTop="1">
      <c r="G3" s="86" t="s">
        <v>173</v>
      </c>
      <c r="H3" s="87">
        <v>1.2</v>
      </c>
      <c r="I3" s="86" t="s">
        <v>174</v>
      </c>
      <c r="J3" s="87">
        <v>7854991</v>
      </c>
    </row>
    <row r="4" spans="1:45" ht="19.5" thickBot="1">
      <c r="A4" s="250" t="s">
        <v>39</v>
      </c>
      <c r="B4" s="250"/>
      <c r="C4" s="250"/>
      <c r="D4" s="250"/>
      <c r="E4" s="250"/>
      <c r="F4" s="250"/>
      <c r="G4" s="250"/>
      <c r="H4" s="250"/>
      <c r="I4" s="250"/>
      <c r="J4" s="250"/>
      <c r="O4" s="249" t="s">
        <v>162</v>
      </c>
      <c r="P4" s="249"/>
    </row>
    <row r="5" spans="1:45">
      <c r="A5" s="74" t="s">
        <v>288</v>
      </c>
      <c r="B5" s="74"/>
      <c r="C5" s="68" t="str">
        <f>'ACCA Primary Unit Rating'!C8</f>
        <v>ACC-1</v>
      </c>
      <c r="D5" s="69"/>
      <c r="F5" s="74" t="s">
        <v>42</v>
      </c>
      <c r="G5" s="74"/>
      <c r="H5" s="92">
        <f ca="1">'ACCA Primary Unit Rating'!H8</f>
        <v>44153</v>
      </c>
      <c r="I5" s="5"/>
      <c r="O5" s="15" t="s">
        <v>157</v>
      </c>
      <c r="P5" s="126" t="str">
        <f>IF(ISBLANK(P7),"None",'ACCA Primary Unit Rating'!A5)</f>
        <v>None</v>
      </c>
    </row>
    <row r="6" spans="1:45">
      <c r="A6" s="74" t="s">
        <v>40</v>
      </c>
      <c r="B6" s="74"/>
      <c r="C6" s="75">
        <f>'ACCA Primary Unit Rating'!C9:D9</f>
        <v>0</v>
      </c>
      <c r="D6" s="75"/>
      <c r="F6" s="74" t="s">
        <v>60</v>
      </c>
      <c r="G6" s="74"/>
      <c r="H6" s="74">
        <f>'ACCA Primary Unit Rating'!H9</f>
        <v>0</v>
      </c>
      <c r="I6" s="5"/>
      <c r="O6" s="16" t="s">
        <v>163</v>
      </c>
      <c r="P6" s="198">
        <f>IF(ISBLANK(P7),0,'ACCA Primary Unit Rating'!C14)</f>
        <v>0</v>
      </c>
    </row>
    <row r="7" spans="1:45" ht="15.75" thickBot="1">
      <c r="A7" s="74" t="s">
        <v>41</v>
      </c>
      <c r="B7" s="74"/>
      <c r="C7" s="75">
        <f>'ACCA Primary Unit Rating'!C10</f>
        <v>0</v>
      </c>
      <c r="D7" s="69" t="s">
        <v>33</v>
      </c>
      <c r="F7" s="74" t="s">
        <v>61</v>
      </c>
      <c r="G7" s="74"/>
      <c r="H7" s="67">
        <f>'ACCA Primary Unit Rating'!H10</f>
        <v>0</v>
      </c>
      <c r="I7" s="5"/>
      <c r="O7" s="16" t="s">
        <v>164</v>
      </c>
      <c r="P7" s="11"/>
      <c r="R7" s="129" t="s">
        <v>276</v>
      </c>
    </row>
    <row r="8" spans="1:45" ht="18.75">
      <c r="O8" s="15" t="s">
        <v>155</v>
      </c>
      <c r="P8" s="126" t="str">
        <f>IF(ISBLANK(P10),"None",'ACCA Secondary Unit Rating'!A5)</f>
        <v>None</v>
      </c>
      <c r="R8" s="129">
        <f>'ACCA Secondary Unit Rating'!P3</f>
        <v>0</v>
      </c>
      <c r="S8" s="112"/>
      <c r="T8" s="112"/>
      <c r="U8" s="112"/>
      <c r="V8" s="112"/>
      <c r="W8" s="112"/>
      <c r="X8" s="112"/>
      <c r="Y8" s="112"/>
      <c r="Z8" s="112"/>
      <c r="AA8" s="112"/>
    </row>
    <row r="9" spans="1:45" ht="18.75">
      <c r="A9" s="250" t="s">
        <v>162</v>
      </c>
      <c r="B9" s="250"/>
      <c r="C9" s="250"/>
      <c r="D9" s="250"/>
      <c r="E9" s="250"/>
      <c r="F9" s="250"/>
      <c r="G9" s="250"/>
      <c r="H9" s="250"/>
      <c r="I9" s="250"/>
      <c r="J9" s="250"/>
      <c r="O9" s="16" t="s">
        <v>163</v>
      </c>
      <c r="P9" s="198">
        <f>IF(ISBLANK(P10),0,'ACCA Secondary Unit Rating'!C14)</f>
        <v>0</v>
      </c>
      <c r="S9" s="6"/>
      <c r="T9" s="6"/>
      <c r="U9" s="6"/>
      <c r="V9" s="6"/>
      <c r="W9" s="6"/>
      <c r="X9" s="6"/>
      <c r="Y9" s="6"/>
      <c r="Z9" s="1"/>
      <c r="AA9" s="1"/>
    </row>
    <row r="10" spans="1:45" ht="15.75" thickBot="1">
      <c r="A10" s="1" t="s">
        <v>157</v>
      </c>
      <c r="C10" s="111" t="str">
        <f t="shared" ref="C10:C15" si="0">P5</f>
        <v>None</v>
      </c>
      <c r="F10" s="74" t="s">
        <v>160</v>
      </c>
      <c r="G10" s="74"/>
      <c r="H10" s="82">
        <f>C11*C12+C14*C15</f>
        <v>0</v>
      </c>
      <c r="I10" s="5" t="s">
        <v>0</v>
      </c>
      <c r="O10" s="17" t="s">
        <v>164</v>
      </c>
      <c r="P10" s="197"/>
      <c r="S10" s="108"/>
      <c r="T10" s="1"/>
      <c r="U10" s="1"/>
      <c r="V10" s="1"/>
      <c r="W10" s="1"/>
      <c r="X10" s="108"/>
      <c r="Y10" s="1"/>
      <c r="Z10" s="1"/>
      <c r="AA10" s="1"/>
    </row>
    <row r="11" spans="1:45" ht="15.75" thickBot="1">
      <c r="A11" s="74" t="s">
        <v>161</v>
      </c>
      <c r="B11" s="74"/>
      <c r="C11" s="70">
        <f t="shared" si="0"/>
        <v>0</v>
      </c>
      <c r="D11" s="5" t="s">
        <v>0</v>
      </c>
      <c r="F11" s="74" t="s">
        <v>158</v>
      </c>
      <c r="G11" s="74"/>
      <c r="H11" s="82">
        <f>P12*P7+P13*P10</f>
        <v>0</v>
      </c>
      <c r="I11" s="5" t="s">
        <v>30</v>
      </c>
      <c r="S11" s="108"/>
      <c r="T11" s="1"/>
      <c r="U11" s="1"/>
      <c r="V11" s="1"/>
      <c r="W11" s="1"/>
      <c r="X11" s="108"/>
      <c r="Y11" s="1"/>
      <c r="Z11" s="1"/>
      <c r="AA11" s="1"/>
    </row>
    <row r="12" spans="1:45">
      <c r="A12" s="74" t="s">
        <v>157</v>
      </c>
      <c r="B12" s="74"/>
      <c r="C12" s="79">
        <f t="shared" si="0"/>
        <v>0</v>
      </c>
      <c r="D12" s="5" t="s">
        <v>109</v>
      </c>
      <c r="F12" s="74" t="s">
        <v>156</v>
      </c>
      <c r="G12" s="74"/>
      <c r="H12" s="81" t="e">
        <f>H11/H10</f>
        <v>#DIV/0!</v>
      </c>
      <c r="I12" s="5" t="s">
        <v>49</v>
      </c>
      <c r="O12" s="15" t="s">
        <v>165</v>
      </c>
      <c r="P12" s="131">
        <f>IF(P5="None",0,'ACCA Primary Unit Rating'!C15)</f>
        <v>0</v>
      </c>
      <c r="S12" s="108"/>
      <c r="T12" s="1"/>
      <c r="U12" s="1"/>
      <c r="V12" s="1"/>
      <c r="W12" s="1"/>
      <c r="X12" s="108"/>
      <c r="Y12" s="1"/>
      <c r="Z12" s="1"/>
      <c r="AA12" s="1"/>
    </row>
    <row r="13" spans="1:45" ht="15.75" thickBot="1">
      <c r="A13" s="74" t="s">
        <v>155</v>
      </c>
      <c r="C13" s="1" t="str">
        <f t="shared" si="0"/>
        <v>None</v>
      </c>
      <c r="F13" s="74" t="s">
        <v>439</v>
      </c>
      <c r="G13" s="74"/>
      <c r="H13" s="70" t="e">
        <f>12/H12</f>
        <v>#DIV/0!</v>
      </c>
      <c r="I13" s="5" t="s">
        <v>35</v>
      </c>
      <c r="O13" s="17" t="s">
        <v>166</v>
      </c>
      <c r="P13" s="132">
        <f>IF(P8="None",0,'ACCA Secondary Unit Rating'!C15)</f>
        <v>0</v>
      </c>
      <c r="S13" s="108"/>
      <c r="T13" s="1"/>
      <c r="U13" s="1"/>
      <c r="V13" s="1"/>
      <c r="W13" s="1"/>
      <c r="X13" s="108"/>
      <c r="Y13" s="1"/>
      <c r="Z13" s="1"/>
      <c r="AA13" s="1"/>
    </row>
    <row r="14" spans="1:45">
      <c r="A14" s="74" t="s">
        <v>159</v>
      </c>
      <c r="B14" s="74"/>
      <c r="C14" s="70">
        <f t="shared" si="0"/>
        <v>0</v>
      </c>
      <c r="D14" s="5" t="s">
        <v>0</v>
      </c>
      <c r="S14" s="108"/>
      <c r="T14" s="1"/>
      <c r="U14" s="89"/>
      <c r="V14" s="1"/>
      <c r="W14" s="1"/>
      <c r="X14" s="108"/>
      <c r="Y14" s="89"/>
      <c r="Z14" s="1"/>
      <c r="AA14" s="1"/>
    </row>
    <row r="15" spans="1:45" ht="15.75" thickBot="1">
      <c r="A15" s="74" t="s">
        <v>155</v>
      </c>
      <c r="B15" s="74"/>
      <c r="C15" s="79">
        <f t="shared" si="0"/>
        <v>0</v>
      </c>
      <c r="D15" s="5" t="s">
        <v>109</v>
      </c>
      <c r="O15" s="249" t="s">
        <v>279</v>
      </c>
      <c r="P15" s="249"/>
      <c r="R15" s="249" t="s">
        <v>281</v>
      </c>
      <c r="S15" s="249"/>
      <c r="T15" s="1"/>
      <c r="U15" s="1"/>
      <c r="V15" s="1"/>
      <c r="W15" s="1"/>
      <c r="X15" s="108"/>
      <c r="Y15" s="1"/>
      <c r="Z15" s="1"/>
      <c r="AA15" s="1"/>
    </row>
    <row r="16" spans="1:45" s="1" customFormat="1">
      <c r="K16"/>
      <c r="L16"/>
      <c r="M16"/>
      <c r="N16"/>
      <c r="O16" s="15" t="s">
        <v>167</v>
      </c>
      <c r="P16" s="131">
        <f>IF(ISBLANK(P7),0,'ACCA Primary Unit Rating'!C21)</f>
        <v>0</v>
      </c>
      <c r="Q16"/>
      <c r="R16" s="15" t="s">
        <v>282</v>
      </c>
      <c r="S16" s="62">
        <f>'ACCA Primary Unit Rating'!V24</f>
        <v>0</v>
      </c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 spans="1:45" s="1" customFormat="1" ht="19.5" thickBot="1">
      <c r="A17" s="250" t="s">
        <v>153</v>
      </c>
      <c r="B17" s="250"/>
      <c r="C17" s="250"/>
      <c r="D17" s="250"/>
      <c r="E17" s="250"/>
      <c r="F17" s="250"/>
      <c r="G17" s="250"/>
      <c r="H17" s="250"/>
      <c r="I17" s="250"/>
      <c r="J17" s="250"/>
      <c r="K17"/>
      <c r="L17"/>
      <c r="M17"/>
      <c r="N17"/>
      <c r="O17" s="17" t="s">
        <v>168</v>
      </c>
      <c r="P17" s="132">
        <f>IF(P8="None",0,'ACCA Secondary Unit Rating'!C21)</f>
        <v>0</v>
      </c>
      <c r="Q17"/>
      <c r="R17" s="17" t="s">
        <v>283</v>
      </c>
      <c r="S17" s="133">
        <f>'ACCA Secondary Unit Rating'!V24</f>
        <v>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 spans="1:45" s="1" customFormat="1" ht="17.25">
      <c r="A18" s="74" t="s">
        <v>91</v>
      </c>
      <c r="B18" s="74"/>
      <c r="C18" s="18" t="str">
        <f>'ACCA Primary Unit Rating'!C20</f>
        <v>Water</v>
      </c>
      <c r="D18" s="5"/>
      <c r="F18" s="74" t="s">
        <v>21</v>
      </c>
      <c r="G18" s="74"/>
      <c r="H18" s="84">
        <v>1E-4</v>
      </c>
      <c r="I18" s="80" t="s">
        <v>25</v>
      </c>
      <c r="K18"/>
      <c r="L18"/>
      <c r="M18"/>
      <c r="N18"/>
      <c r="Q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 spans="1:45" s="1" customFormat="1" ht="15.75" thickBot="1">
      <c r="A19" s="74" t="s">
        <v>444</v>
      </c>
      <c r="B19" s="74"/>
      <c r="C19" s="78">
        <f>P16*P7+P17*P10</f>
        <v>0</v>
      </c>
      <c r="D19" s="5" t="s">
        <v>194</v>
      </c>
      <c r="F19" s="74" t="s">
        <v>152</v>
      </c>
      <c r="G19" s="74"/>
      <c r="H19" s="78">
        <f>MAX(S16:S17)</f>
        <v>0</v>
      </c>
      <c r="I19" t="s">
        <v>23</v>
      </c>
      <c r="K19"/>
      <c r="L19"/>
      <c r="M19"/>
      <c r="N19"/>
      <c r="O19" s="249" t="s">
        <v>280</v>
      </c>
      <c r="P19" s="249"/>
      <c r="T19"/>
      <c r="U19" s="249" t="s">
        <v>171</v>
      </c>
      <c r="V19" s="24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</row>
    <row r="20" spans="1:45" s="1" customFormat="1">
      <c r="A20" s="74" t="s">
        <v>289</v>
      </c>
      <c r="B20" s="74"/>
      <c r="C20" s="78">
        <f>'ACCA Primary Unit Rating'!C22</f>
        <v>0</v>
      </c>
      <c r="D20" s="5" t="s">
        <v>14</v>
      </c>
      <c r="F20" s="74" t="s">
        <v>152</v>
      </c>
      <c r="G20" s="74"/>
      <c r="H20" s="78">
        <f>H19*2.307</f>
        <v>0</v>
      </c>
      <c r="I20" t="s">
        <v>46</v>
      </c>
      <c r="K20"/>
      <c r="L20"/>
      <c r="M20"/>
      <c r="N20"/>
      <c r="O20" s="15" t="s">
        <v>261</v>
      </c>
      <c r="P20" s="131">
        <f>IF(ISBLANK(P7),0,'ACCA Primary Unit Rating'!C31)</f>
        <v>0</v>
      </c>
      <c r="Q20"/>
      <c r="R20"/>
      <c r="S20"/>
      <c r="T20"/>
      <c r="U20" s="15" t="s">
        <v>284</v>
      </c>
      <c r="V20" s="126">
        <f>'ACCA Primary Unit Rating'!P39</f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 spans="1:45" s="1" customFormat="1" ht="15.75" thickBot="1">
      <c r="A21" s="74" t="s">
        <v>290</v>
      </c>
      <c r="B21" s="74"/>
      <c r="C21" s="78">
        <f>'ACCA Primary Unit Rating'!C23</f>
        <v>0</v>
      </c>
      <c r="D21" s="5" t="s">
        <v>14</v>
      </c>
      <c r="F21" s="74" t="s">
        <v>24</v>
      </c>
      <c r="G21" s="74"/>
      <c r="H21" s="78">
        <f>'ACCA Primary Unit Rating'!H23</f>
        <v>32</v>
      </c>
      <c r="I21" s="80" t="s">
        <v>14</v>
      </c>
      <c r="K21"/>
      <c r="L21"/>
      <c r="M21"/>
      <c r="N21"/>
      <c r="O21" s="17" t="s">
        <v>262</v>
      </c>
      <c r="P21" s="132">
        <f>IF(P8="None",0,'ACCA Secondary Unit Rating'!C31)</f>
        <v>0</v>
      </c>
      <c r="Q21"/>
      <c r="R21"/>
      <c r="S21"/>
      <c r="T21"/>
      <c r="U21" s="17" t="s">
        <v>285</v>
      </c>
      <c r="V21" s="128">
        <f>'ACCA Primary Unit Rating'!P40</f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 spans="1:45" s="1" customFormat="1">
      <c r="A22" s="74"/>
      <c r="B22" s="74"/>
      <c r="C22" s="2"/>
      <c r="D22" s="5"/>
      <c r="K22"/>
      <c r="L22"/>
      <c r="M22"/>
      <c r="N22"/>
      <c r="Q22"/>
      <c r="T22"/>
      <c r="U22" s="15" t="s">
        <v>286</v>
      </c>
      <c r="V22" s="126">
        <f>'ACCA Secondary Unit Rating'!P39</f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</row>
    <row r="23" spans="1:45" s="1" customFormat="1" ht="19.5" thickBot="1">
      <c r="A23" s="250" t="s">
        <v>151</v>
      </c>
      <c r="B23" s="250"/>
      <c r="C23" s="250"/>
      <c r="D23" s="250"/>
      <c r="E23" s="250"/>
      <c r="F23" s="250"/>
      <c r="G23" s="250"/>
      <c r="H23" s="250"/>
      <c r="I23" s="250"/>
      <c r="J23" s="250"/>
      <c r="K23"/>
      <c r="L23"/>
      <c r="M23"/>
      <c r="N23"/>
      <c r="O23" s="249" t="s">
        <v>171</v>
      </c>
      <c r="P23" s="249"/>
      <c r="Q23"/>
      <c r="T23"/>
      <c r="U23" s="17" t="s">
        <v>287</v>
      </c>
      <c r="V23" s="128">
        <f>'ACCA Secondary Unit Rating'!P40</f>
        <v>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</row>
    <row r="24" spans="1:45" s="1" customFormat="1">
      <c r="A24" s="74" t="s">
        <v>15</v>
      </c>
      <c r="B24" s="74"/>
      <c r="C24" s="78">
        <f>'ACCA Primary Unit Rating'!C28</f>
        <v>0</v>
      </c>
      <c r="D24" s="5" t="s">
        <v>14</v>
      </c>
      <c r="F24" s="74" t="s">
        <v>291</v>
      </c>
      <c r="G24" s="74"/>
      <c r="H24" s="78">
        <f>'ACCA Primary Unit Rating'!C30</f>
        <v>0</v>
      </c>
      <c r="I24" s="5" t="s">
        <v>14</v>
      </c>
      <c r="K24"/>
      <c r="L24"/>
      <c r="M24"/>
      <c r="N24"/>
      <c r="O24" s="15" t="s">
        <v>438</v>
      </c>
      <c r="P24" s="239">
        <f>(P7*'ACCA Primary Unit Rating'!P38)+(P10*'ACCA Secondary Unit Rating'!P38)</f>
        <v>0</v>
      </c>
      <c r="Q24"/>
      <c r="R24" s="224"/>
      <c r="S24" s="224"/>
      <c r="T24"/>
      <c r="U24" s="236"/>
      <c r="V24" s="237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 spans="1:45" s="1" customFormat="1">
      <c r="A25" s="74" t="s">
        <v>16</v>
      </c>
      <c r="B25" s="74"/>
      <c r="C25" s="78">
        <f>'ACCA Primary Unit Rating'!C29</f>
        <v>0</v>
      </c>
      <c r="D25" s="5" t="s">
        <v>14</v>
      </c>
      <c r="F25" s="74" t="s">
        <v>150</v>
      </c>
      <c r="G25" s="74"/>
      <c r="H25" s="179">
        <f>P7*P20+P10*P21</f>
        <v>0</v>
      </c>
      <c r="I25" s="5" t="s">
        <v>142</v>
      </c>
      <c r="K25"/>
      <c r="L25"/>
      <c r="M25"/>
      <c r="N25"/>
      <c r="O25" s="16" t="s">
        <v>169</v>
      </c>
      <c r="P25" s="238">
        <f>IF(P24=0,0,INDEX('Look Up Tables'!$AR$8:$AR$45,MATCH(LARGE('Look Up Tables'!$AR$8:$AR$45,COUNTIF('Look Up Tables'!$AR$8:$AR$45,"&gt; "&amp;P24)+1),'Look Up Tables'!$AR$8:$AR$45,0)))</f>
        <v>0</v>
      </c>
      <c r="Q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 spans="1:45" s="1" customFormat="1" ht="15.75" thickBot="1">
      <c r="K26"/>
      <c r="L26"/>
      <c r="M26"/>
      <c r="N26"/>
      <c r="O26" s="17" t="s">
        <v>170</v>
      </c>
      <c r="P26" s="240">
        <f>(P7*'ACCA Primary Unit Rating'!P40)+(P10*'ACCA Secondary Unit Rating'!P40)</f>
        <v>0</v>
      </c>
      <c r="Q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</row>
    <row r="27" spans="1:45" s="1" customFormat="1" ht="18.75">
      <c r="A27" s="250" t="s">
        <v>149</v>
      </c>
      <c r="B27" s="250"/>
      <c r="C27" s="250"/>
      <c r="D27" s="250"/>
      <c r="E27" s="250"/>
      <c r="F27" s="250"/>
      <c r="G27" s="250"/>
      <c r="H27" s="250"/>
      <c r="I27" s="250"/>
      <c r="J27" s="250"/>
      <c r="K27"/>
      <c r="L27"/>
      <c r="M27"/>
      <c r="N27"/>
      <c r="O27"/>
      <c r="P27"/>
      <c r="Q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</row>
    <row r="28" spans="1:45" s="1" customFormat="1" ht="15.75" thickBot="1">
      <c r="A28" s="74" t="s">
        <v>292</v>
      </c>
      <c r="B28" s="74"/>
      <c r="C28" s="18" t="str">
        <f>'ACCA Primary Unit Rating'!C34</f>
        <v>460/3/60</v>
      </c>
      <c r="D28" s="1" t="s">
        <v>180</v>
      </c>
      <c r="F28" s="253" t="s">
        <v>293</v>
      </c>
      <c r="G28" s="253"/>
      <c r="H28" s="78">
        <f>'ACCA Primary Unit Rating'!$P$41</f>
        <v>5</v>
      </c>
      <c r="I28" s="1" t="s">
        <v>178</v>
      </c>
      <c r="K28"/>
      <c r="L28"/>
      <c r="M28"/>
      <c r="N28"/>
      <c r="O28" s="249" t="s">
        <v>13</v>
      </c>
      <c r="P28" s="249"/>
      <c r="Q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 spans="1:45" ht="15.75" thickBot="1">
      <c r="A29" s="253" t="s">
        <v>295</v>
      </c>
      <c r="B29" s="253"/>
      <c r="C29" s="18">
        <f>P33*0.9</f>
        <v>0</v>
      </c>
      <c r="D29" s="1" t="s">
        <v>176</v>
      </c>
      <c r="F29" s="74" t="s">
        <v>296</v>
      </c>
      <c r="G29" s="74"/>
      <c r="H29" s="78">
        <f>P25</f>
        <v>0</v>
      </c>
      <c r="I29" s="1" t="s">
        <v>179</v>
      </c>
      <c r="O29" s="52" t="s">
        <v>294</v>
      </c>
      <c r="P29" s="62" t="str">
        <f>'ACCA Primary Unit Rating'!P26</f>
        <v>460/3/60</v>
      </c>
      <c r="Q29" s="1" t="s">
        <v>109</v>
      </c>
    </row>
    <row r="30" spans="1:45">
      <c r="A30" s="253" t="s">
        <v>298</v>
      </c>
      <c r="B30" s="253"/>
      <c r="C30" s="18">
        <f>P33*1.1</f>
        <v>0</v>
      </c>
      <c r="D30" s="1" t="s">
        <v>176</v>
      </c>
      <c r="F30" s="74" t="s">
        <v>299</v>
      </c>
      <c r="G30" s="74"/>
      <c r="H30" s="78">
        <f>P26</f>
        <v>0</v>
      </c>
      <c r="I30" s="1" t="s">
        <v>179</v>
      </c>
      <c r="O30" s="12" t="s">
        <v>297</v>
      </c>
      <c r="P30" s="54"/>
      <c r="Q30" s="9"/>
    </row>
    <row r="31" spans="1:45">
      <c r="O31" s="12" t="s">
        <v>300</v>
      </c>
      <c r="P31" s="54"/>
      <c r="Q31" s="10"/>
    </row>
    <row r="32" spans="1:45" ht="15.75" thickBot="1">
      <c r="C32" s="4" t="s">
        <v>36</v>
      </c>
      <c r="D32" s="4" t="s">
        <v>4</v>
      </c>
      <c r="E32" s="4" t="s">
        <v>5</v>
      </c>
      <c r="F32" s="4" t="s">
        <v>6</v>
      </c>
      <c r="G32" s="4" t="s">
        <v>7</v>
      </c>
      <c r="H32" s="4" t="s">
        <v>8</v>
      </c>
      <c r="I32" s="4" t="s">
        <v>9</v>
      </c>
      <c r="J32" s="4" t="s">
        <v>10</v>
      </c>
      <c r="O32" s="12" t="s">
        <v>111</v>
      </c>
      <c r="P32" s="77">
        <f>'ACCA Primary Unit Rating'!P29</f>
        <v>0</v>
      </c>
      <c r="Q32" s="11"/>
    </row>
    <row r="33" spans="1:24">
      <c r="A33" s="74" t="s">
        <v>297</v>
      </c>
      <c r="B33" s="74"/>
      <c r="C33" s="18" t="str">
        <f>IF(ISBLANK(P30)," ",INDEX('Look Up Tables'!C5:C47,MATCH('ACCA Array Rating'!P30,'Look Up Tables'!B5:B47,0)))</f>
        <v xml:space="preserve"> </v>
      </c>
      <c r="D33" s="116" t="str">
        <f>IF(ISBLANK(P30)," ",Q30)</f>
        <v xml:space="preserve"> </v>
      </c>
      <c r="E33" s="116"/>
      <c r="F33" s="18" t="str">
        <f>IF(ISBLANK(Q30),"",P33)</f>
        <v/>
      </c>
      <c r="G33" s="116" t="str">
        <f>IF(ISBLANK(P31)," ",3)</f>
        <v xml:space="preserve"> </v>
      </c>
      <c r="H33" s="116"/>
      <c r="I33" s="116"/>
      <c r="J33" s="63" t="str">
        <f>'ACCA Primary Unit Rating'!J39</f>
        <v/>
      </c>
      <c r="O33" s="14" t="s">
        <v>113</v>
      </c>
      <c r="P33" s="62">
        <f>'ACCA Primary Unit Rating'!P30</f>
        <v>0</v>
      </c>
    </row>
    <row r="34" spans="1:24">
      <c r="A34" s="74" t="s">
        <v>300</v>
      </c>
      <c r="B34" s="74"/>
      <c r="C34" s="18" t="str">
        <f>IF(ISBLANK(P31)," ",INDEX('Look Up Tables'!C5:C47,MATCH('ACCA Array Rating'!P31,'Look Up Tables'!B5:B47,0)))</f>
        <v xml:space="preserve"> </v>
      </c>
      <c r="D34" s="116" t="str">
        <f>IF(ISBLANK(P31)," ",Q31)</f>
        <v xml:space="preserve"> </v>
      </c>
      <c r="E34" s="116"/>
      <c r="F34" s="18" t="str">
        <f>IF(ISBLANK(Q31),"",P34)</f>
        <v/>
      </c>
      <c r="G34" s="116" t="str">
        <f>IF(ISBLANK(P31)," ",3)</f>
        <v xml:space="preserve"> </v>
      </c>
      <c r="H34" s="116"/>
      <c r="I34" s="116"/>
      <c r="J34" s="63" t="str">
        <f>IF(ISBLANK(P31)," ",'ACCA Secondary Unit Rating'!J39)</f>
        <v xml:space="preserve"> </v>
      </c>
      <c r="O34" s="12" t="s">
        <v>114</v>
      </c>
      <c r="P34" s="55">
        <f>'ACCA Primary Unit Rating'!P31</f>
        <v>0</v>
      </c>
    </row>
    <row r="35" spans="1:24">
      <c r="A35" s="74" t="s">
        <v>301</v>
      </c>
      <c r="B35" s="74"/>
      <c r="C35" s="18" t="str">
        <f>IF(Q32=0,"",P32)</f>
        <v/>
      </c>
      <c r="D35" s="116" t="str">
        <f>IF(Q32=0,"",Q32)</f>
        <v/>
      </c>
      <c r="E35" s="64" t="str">
        <f>IF(Q32=0,"",(P39+P40)*1.341)</f>
        <v/>
      </c>
      <c r="F35" s="18" t="str">
        <f>IF(ISBLANK(Q32),"",P35)</f>
        <v/>
      </c>
      <c r="G35" s="116" t="str">
        <f>IF(Q32=0,"",3)</f>
        <v/>
      </c>
      <c r="H35" s="116" t="str">
        <f>IF(Q32=0,"",1160)</f>
        <v/>
      </c>
      <c r="I35" s="116" t="str">
        <f>IF(Q32=0,"",5.17)</f>
        <v/>
      </c>
      <c r="J35" s="116"/>
      <c r="O35" s="12" t="s">
        <v>115</v>
      </c>
      <c r="P35" s="55">
        <f>'ACCA Primary Unit Rating'!P32</f>
        <v>0</v>
      </c>
    </row>
    <row r="36" spans="1:24">
      <c r="O36" s="12" t="s">
        <v>117</v>
      </c>
      <c r="P36" s="56">
        <f>IF(ISBLANK(P30),0,INDEX('Look Up Tables'!G5:G47,MATCH(P30,'Look Up Tables'!B5:B47,0)))</f>
        <v>0</v>
      </c>
    </row>
    <row r="37" spans="1:24">
      <c r="O37" s="12" t="s">
        <v>118</v>
      </c>
      <c r="P37" s="56">
        <f>IF(ISBLANK(P31),0,INDEX('Look Up Tables'!G5:G47,MATCH(P31,'Look Up Tables'!B5:B47,0)))</f>
        <v>0</v>
      </c>
    </row>
    <row r="38" spans="1:24" ht="15.75" thickBot="1">
      <c r="O38" s="13" t="s">
        <v>437</v>
      </c>
      <c r="P38" s="56">
        <f>IF(ISBLANK(Q32),0,5.17)</f>
        <v>0</v>
      </c>
    </row>
    <row r="39" spans="1:24">
      <c r="O39" s="12" t="s">
        <v>277</v>
      </c>
      <c r="P39" s="125">
        <f>P7*'ACCA Primary Unit Rating'!C17</f>
        <v>0</v>
      </c>
    </row>
    <row r="40" spans="1:24" ht="15.75" thickBot="1">
      <c r="O40" s="13" t="s">
        <v>278</v>
      </c>
      <c r="P40" s="57">
        <f>P10*'ACCA Secondary Unit Rating'!C17</f>
        <v>0</v>
      </c>
    </row>
    <row r="46" spans="1:24" ht="18.75">
      <c r="O46" s="250" t="s">
        <v>199</v>
      </c>
      <c r="P46" s="250"/>
      <c r="Q46" s="250"/>
      <c r="R46" s="250"/>
      <c r="S46" s="250"/>
      <c r="T46" s="250"/>
      <c r="U46" s="250"/>
      <c r="V46" s="250"/>
      <c r="W46" s="250"/>
      <c r="X46" s="250"/>
    </row>
    <row r="47" spans="1:24">
      <c r="O47" s="108" t="s">
        <v>18</v>
      </c>
      <c r="P47" s="1"/>
      <c r="Q47" s="1" t="s">
        <v>186</v>
      </c>
      <c r="R47" s="1"/>
      <c r="S47" s="1"/>
      <c r="T47" s="108" t="s">
        <v>187</v>
      </c>
      <c r="U47" s="1"/>
      <c r="V47" s="1">
        <v>30</v>
      </c>
      <c r="W47" s="1" t="s">
        <v>188</v>
      </c>
      <c r="X47" s="1"/>
    </row>
    <row r="48" spans="1:24">
      <c r="O48" s="108" t="s">
        <v>19</v>
      </c>
      <c r="P48" s="1"/>
      <c r="Q48" s="1">
        <v>54</v>
      </c>
      <c r="R48" s="1" t="s">
        <v>188</v>
      </c>
      <c r="S48" s="1"/>
      <c r="T48" s="108" t="s">
        <v>189</v>
      </c>
      <c r="U48" s="1"/>
      <c r="V48" s="1">
        <v>8112</v>
      </c>
      <c r="W48" s="1" t="s">
        <v>190</v>
      </c>
      <c r="X48" s="1"/>
    </row>
    <row r="49" spans="15:24">
      <c r="O49" s="108" t="s">
        <v>20</v>
      </c>
      <c r="P49" s="1"/>
      <c r="Q49" s="1">
        <v>43.2</v>
      </c>
      <c r="R49" s="1" t="s">
        <v>188</v>
      </c>
      <c r="S49" s="1"/>
      <c r="T49" s="108" t="s">
        <v>191</v>
      </c>
      <c r="U49" s="1"/>
      <c r="V49" s="1">
        <v>0.1</v>
      </c>
      <c r="W49" s="1" t="s">
        <v>192</v>
      </c>
      <c r="X49" s="1"/>
    </row>
    <row r="50" spans="15:24">
      <c r="O50" s="108" t="s">
        <v>193</v>
      </c>
      <c r="P50" s="1"/>
      <c r="Q50" s="1">
        <v>24</v>
      </c>
      <c r="R50" s="1" t="s">
        <v>194</v>
      </c>
      <c r="S50" s="1"/>
      <c r="T50" s="108"/>
      <c r="U50" s="1"/>
      <c r="V50" s="1"/>
      <c r="W50" s="1"/>
      <c r="X50" s="1"/>
    </row>
    <row r="51" spans="15:24">
      <c r="O51" s="108" t="s">
        <v>195</v>
      </c>
      <c r="P51" s="1"/>
      <c r="Q51" s="1">
        <v>10</v>
      </c>
      <c r="R51" s="1" t="s">
        <v>23</v>
      </c>
      <c r="S51" s="1"/>
      <c r="T51" s="108" t="s">
        <v>196</v>
      </c>
      <c r="U51" s="1"/>
      <c r="V51" s="1">
        <f>4*2</f>
        <v>8</v>
      </c>
      <c r="W51" s="1" t="s">
        <v>109</v>
      </c>
      <c r="X51" s="1"/>
    </row>
    <row r="52" spans="15:24">
      <c r="O52" s="108"/>
      <c r="P52" s="1"/>
      <c r="Q52" s="89"/>
      <c r="R52" s="1"/>
      <c r="S52" s="1"/>
      <c r="T52" s="108" t="s">
        <v>198</v>
      </c>
      <c r="U52" s="1"/>
      <c r="V52" s="89">
        <f>131550*8</f>
        <v>1052400</v>
      </c>
      <c r="W52" s="1" t="s">
        <v>197</v>
      </c>
      <c r="X52" s="1"/>
    </row>
    <row r="53" spans="15:24">
      <c r="O53" s="1"/>
      <c r="P53" s="1"/>
      <c r="Q53" s="1"/>
      <c r="R53" s="1"/>
      <c r="S53" s="1"/>
      <c r="T53" s="108" t="s">
        <v>198</v>
      </c>
      <c r="U53" s="1"/>
      <c r="V53" s="1">
        <f>V52/12000</f>
        <v>87.7</v>
      </c>
      <c r="W53" s="1" t="s">
        <v>0</v>
      </c>
      <c r="X53" s="1"/>
    </row>
  </sheetData>
  <mergeCells count="17">
    <mergeCell ref="A27:J27"/>
    <mergeCell ref="A29:B29"/>
    <mergeCell ref="A30:B30"/>
    <mergeCell ref="F28:G28"/>
    <mergeCell ref="O4:P4"/>
    <mergeCell ref="O15:P15"/>
    <mergeCell ref="O19:P19"/>
    <mergeCell ref="G1:J2"/>
    <mergeCell ref="A4:J4"/>
    <mergeCell ref="A9:J9"/>
    <mergeCell ref="A17:J17"/>
    <mergeCell ref="A23:J23"/>
    <mergeCell ref="R15:S15"/>
    <mergeCell ref="U19:V19"/>
    <mergeCell ref="O23:P23"/>
    <mergeCell ref="O28:P28"/>
    <mergeCell ref="O46:X46"/>
  </mergeCells>
  <conditionalFormatting sqref="C20:C21">
    <cfRule type="cellIs" dxfId="118" priority="8" operator="equal">
      <formula>0</formula>
    </cfRule>
  </conditionalFormatting>
  <conditionalFormatting sqref="H21">
    <cfRule type="cellIs" dxfId="117" priority="7" operator="equal">
      <formula>0</formula>
    </cfRule>
  </conditionalFormatting>
  <conditionalFormatting sqref="C24:C25">
    <cfRule type="cellIs" dxfId="116" priority="6" operator="equal">
      <formula>0</formula>
    </cfRule>
  </conditionalFormatting>
  <conditionalFormatting sqref="H29:H30">
    <cfRule type="cellIs" dxfId="115" priority="5" operator="equal">
      <formula>0</formula>
    </cfRule>
  </conditionalFormatting>
  <conditionalFormatting sqref="H35">
    <cfRule type="cellIs" dxfId="114" priority="4" operator="equal">
      <formula>0</formula>
    </cfRule>
  </conditionalFormatting>
  <conditionalFormatting sqref="H19">
    <cfRule type="cellIs" dxfId="113" priority="3" operator="equal">
      <formula>0</formula>
    </cfRule>
  </conditionalFormatting>
  <conditionalFormatting sqref="C19">
    <cfRule type="cellIs" dxfId="112" priority="2" operator="equal">
      <formula>0</formula>
    </cfRule>
  </conditionalFormatting>
  <conditionalFormatting sqref="C6">
    <cfRule type="cellIs" dxfId="111" priority="1" operator="equal">
      <formula>0</formula>
    </cfRule>
  </conditionalFormatting>
  <printOptions horizontalCentered="1"/>
  <pageMargins left="0.7" right="0.7" top="0.75" bottom="0.75" header="0.3" footer="0.3"/>
  <pageSetup scale="82" orientation="portrait" r:id="rId1"/>
  <headerFooter>
    <oddFooter>&amp;Lwww.JetsonHVAC.com&amp;RPage &amp;P of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'Look Up Tables'!$R$5:$R$15</xm:f>
          </x14:formula1>
          <xm:sqref>P10</xm:sqref>
        </x14:dataValidation>
        <x14:dataValidation type="list" allowBlank="1" showInputMessage="1" showErrorMessage="1">
          <x14:formula1>
            <xm:f>'Look Up Tables'!$P$5:$P$25</xm:f>
          </x14:formula1>
          <xm:sqref>Q30:Q31</xm:sqref>
        </x14:dataValidation>
        <x14:dataValidation type="list" allowBlank="1" showInputMessage="1" showErrorMessage="1">
          <x14:formula1>
            <xm:f>'Look Up Tables'!$R$5:$R$25</xm:f>
          </x14:formula1>
          <xm:sqref>P7</xm:sqref>
        </x14:dataValidation>
        <x14:dataValidation type="list" allowBlank="1" showInputMessage="1" showErrorMessage="1">
          <x14:formula1>
            <xm:f>'Look Up Tables'!$B$5:$B$47</xm:f>
          </x14:formula1>
          <xm:sqref>P30:P31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H52"/>
  <sheetViews>
    <sheetView zoomScale="85" zoomScaleNormal="85" zoomScaleSheetLayoutView="55" workbookViewId="0"/>
  </sheetViews>
  <sheetFormatPr defaultColWidth="8.85546875" defaultRowHeight="15"/>
  <cols>
    <col min="1" max="6" width="11" style="1" customWidth="1"/>
    <col min="7" max="7" width="11.42578125" style="1" customWidth="1"/>
    <col min="8" max="10" width="11" style="1" customWidth="1"/>
    <col min="15" max="16" width="22" customWidth="1"/>
    <col min="21" max="22" width="21.28515625" customWidth="1"/>
    <col min="23" max="23" width="9.85546875" bestFit="1" customWidth="1"/>
    <col min="24" max="27" width="9.85546875" customWidth="1"/>
    <col min="32" max="35" width="16.85546875" customWidth="1"/>
  </cols>
  <sheetData>
    <row r="1" spans="1:34" ht="15" customHeight="1">
      <c r="G1" s="251" t="s">
        <v>172</v>
      </c>
      <c r="H1" s="251"/>
      <c r="I1" s="251"/>
      <c r="J1" s="251"/>
    </row>
    <row r="2" spans="1:34" ht="15.75" thickBot="1">
      <c r="A2" s="85"/>
      <c r="B2" s="85"/>
      <c r="C2" s="85"/>
      <c r="D2" s="85"/>
      <c r="E2" s="85"/>
      <c r="F2" s="85"/>
      <c r="G2" s="252"/>
      <c r="H2" s="252"/>
      <c r="I2" s="252"/>
      <c r="J2" s="252"/>
      <c r="O2" s="249" t="s">
        <v>339</v>
      </c>
      <c r="P2" s="249"/>
    </row>
    <row r="3" spans="1:34" ht="15.75" thickTop="1">
      <c r="G3" s="86" t="s">
        <v>173</v>
      </c>
      <c r="H3" s="87">
        <v>1.2</v>
      </c>
      <c r="I3" s="86" t="s">
        <v>174</v>
      </c>
      <c r="J3" s="87">
        <v>7854991</v>
      </c>
      <c r="O3" s="15" t="s">
        <v>36</v>
      </c>
      <c r="P3" s="9"/>
    </row>
    <row r="4" spans="1:34" ht="18.75">
      <c r="A4" s="250" t="s">
        <v>36</v>
      </c>
      <c r="B4" s="250"/>
      <c r="C4" s="250"/>
      <c r="D4" s="250"/>
      <c r="E4" s="250"/>
      <c r="F4" s="250"/>
      <c r="G4" s="250"/>
      <c r="H4" s="250"/>
      <c r="I4" s="250"/>
      <c r="J4" s="250"/>
      <c r="O4" s="16" t="s">
        <v>340</v>
      </c>
      <c r="P4" s="10" t="s">
        <v>342</v>
      </c>
      <c r="AH4" s="1"/>
    </row>
    <row r="5" spans="1:34" ht="19.5" thickBot="1">
      <c r="A5" s="254">
        <f>P3</f>
        <v>0</v>
      </c>
      <c r="B5" s="254"/>
      <c r="C5" s="254"/>
      <c r="D5" s="254"/>
      <c r="E5" s="254"/>
      <c r="F5" s="254"/>
      <c r="G5" s="254"/>
      <c r="H5" s="254"/>
      <c r="I5" s="254"/>
      <c r="J5" s="254"/>
      <c r="O5" s="17" t="s">
        <v>352</v>
      </c>
      <c r="P5" s="11" t="s">
        <v>355</v>
      </c>
    </row>
    <row r="6" spans="1:34" ht="15.75" thickBot="1">
      <c r="O6" s="249" t="s">
        <v>39</v>
      </c>
      <c r="P6" s="249"/>
    </row>
    <row r="7" spans="1:34" ht="18.75">
      <c r="A7" s="250" t="s">
        <v>39</v>
      </c>
      <c r="B7" s="250"/>
      <c r="C7" s="250"/>
      <c r="D7" s="250"/>
      <c r="E7" s="250"/>
      <c r="F7" s="250"/>
      <c r="G7" s="250"/>
      <c r="H7" s="250"/>
      <c r="I7" s="250"/>
      <c r="J7" s="250"/>
      <c r="O7" s="15" t="s">
        <v>60</v>
      </c>
      <c r="P7" s="9"/>
    </row>
    <row r="8" spans="1:34" ht="15.75" thickBot="1">
      <c r="A8" s="74" t="s">
        <v>288</v>
      </c>
      <c r="B8" s="74"/>
      <c r="C8" s="68" t="s">
        <v>336</v>
      </c>
      <c r="D8" s="69"/>
      <c r="F8" s="74" t="s">
        <v>42</v>
      </c>
      <c r="G8" s="74"/>
      <c r="H8" s="92">
        <f ca="1">P10</f>
        <v>44153</v>
      </c>
      <c r="I8" s="5"/>
      <c r="O8" s="16" t="s">
        <v>61</v>
      </c>
      <c r="P8" s="10"/>
    </row>
    <row r="9" spans="1:34" ht="15.75" thickBot="1">
      <c r="A9" s="74" t="s">
        <v>40</v>
      </c>
      <c r="B9" s="74"/>
      <c r="C9" s="75">
        <f>P9</f>
        <v>0</v>
      </c>
      <c r="D9" s="75"/>
      <c r="F9" s="74" t="s">
        <v>60</v>
      </c>
      <c r="G9" s="74"/>
      <c r="H9" s="74">
        <f>P7</f>
        <v>0</v>
      </c>
      <c r="I9" s="5"/>
      <c r="O9" s="16" t="s">
        <v>40</v>
      </c>
      <c r="P9" s="10"/>
      <c r="T9" s="19"/>
      <c r="U9" s="20" t="s">
        <v>121</v>
      </c>
      <c r="V9" s="21" t="s">
        <v>30</v>
      </c>
      <c r="W9" s="19"/>
      <c r="X9" s="19"/>
      <c r="Y9" s="259" t="str">
        <f>"COMP SIZE 1 - "&amp;P27</f>
        <v xml:space="preserve">COMP SIZE 1 - </v>
      </c>
      <c r="Z9" s="260"/>
      <c r="AA9" s="260"/>
      <c r="AB9" s="261"/>
    </row>
    <row r="10" spans="1:34" ht="16.5" thickBot="1">
      <c r="A10" s="74" t="s">
        <v>41</v>
      </c>
      <c r="B10" s="74"/>
      <c r="C10" s="75">
        <v>0</v>
      </c>
      <c r="D10" s="69" t="s">
        <v>33</v>
      </c>
      <c r="F10" s="74" t="s">
        <v>61</v>
      </c>
      <c r="G10" s="74"/>
      <c r="H10" s="83">
        <f>P8</f>
        <v>0</v>
      </c>
      <c r="I10" s="5"/>
      <c r="O10" s="16" t="s">
        <v>63</v>
      </c>
      <c r="P10" s="91">
        <f ca="1">TODAY()</f>
        <v>44153</v>
      </c>
      <c r="T10" s="19"/>
      <c r="U10" s="22" t="s">
        <v>122</v>
      </c>
      <c r="V10" s="204">
        <v>0.5</v>
      </c>
      <c r="W10" s="23"/>
      <c r="X10" s="23"/>
      <c r="Y10" s="19"/>
      <c r="Z10" s="257" t="s">
        <v>137</v>
      </c>
      <c r="AA10" s="258"/>
      <c r="AB10" s="49" t="s">
        <v>138</v>
      </c>
    </row>
    <row r="11" spans="1:34" ht="16.5" thickBot="1">
      <c r="O11" s="17" t="s">
        <v>62</v>
      </c>
      <c r="P11" s="11"/>
      <c r="T11" s="262" t="s">
        <v>123</v>
      </c>
      <c r="U11" s="24" t="s">
        <v>124</v>
      </c>
      <c r="V11" s="25">
        <f>AA13</f>
        <v>0</v>
      </c>
      <c r="W11" s="23"/>
      <c r="X11" s="23"/>
      <c r="Y11" s="40" t="s">
        <v>139</v>
      </c>
      <c r="Z11" s="41"/>
      <c r="AA11" s="42">
        <f>Z11/12000</f>
        <v>0</v>
      </c>
      <c r="AB11" s="43">
        <f>IF(P5="Single",AA11,AA11*2)</f>
        <v>0</v>
      </c>
    </row>
    <row r="12" spans="1:34" ht="19.5" thickBot="1">
      <c r="A12" s="250" t="s">
        <v>27</v>
      </c>
      <c r="B12" s="250"/>
      <c r="C12" s="250"/>
      <c r="D12" s="250"/>
      <c r="E12" s="250"/>
      <c r="F12" s="250"/>
      <c r="G12" s="250"/>
      <c r="H12" s="250"/>
      <c r="I12" s="250"/>
      <c r="J12" s="250"/>
      <c r="T12" s="263"/>
      <c r="U12" s="23" t="s">
        <v>125</v>
      </c>
      <c r="V12" s="26">
        <f>IF(Z17=0,AA13,AA19)</f>
        <v>0</v>
      </c>
      <c r="W12" s="23"/>
      <c r="X12" s="23"/>
      <c r="Y12" s="40" t="s">
        <v>140</v>
      </c>
      <c r="Z12" s="44"/>
      <c r="AA12" s="42">
        <f>Z12/12000</f>
        <v>0</v>
      </c>
      <c r="AB12" s="45">
        <f>IF(P5="single",AA12,AA12*2)</f>
        <v>0</v>
      </c>
    </row>
    <row r="13" spans="1:34" ht="16.5" thickBot="1">
      <c r="A13" s="74" t="s">
        <v>28</v>
      </c>
      <c r="B13" s="74"/>
      <c r="C13" s="66">
        <v>1</v>
      </c>
      <c r="D13" s="5"/>
      <c r="F13" s="74" t="s">
        <v>50</v>
      </c>
      <c r="G13" s="74"/>
      <c r="H13" s="76" t="e">
        <f>V21</f>
        <v>#DIV/0!</v>
      </c>
      <c r="I13" s="5" t="s">
        <v>49</v>
      </c>
      <c r="O13" s="249" t="s">
        <v>88</v>
      </c>
      <c r="P13" s="249"/>
      <c r="T13" s="263"/>
      <c r="U13" s="23" t="s">
        <v>126</v>
      </c>
      <c r="V13" s="26">
        <v>0</v>
      </c>
      <c r="W13" s="19"/>
      <c r="X13" s="19"/>
      <c r="Y13" s="19" t="s">
        <v>141</v>
      </c>
      <c r="Z13" s="46">
        <f>Z12-Z11</f>
        <v>0</v>
      </c>
      <c r="AA13" s="47">
        <f>Z13/3412</f>
        <v>0</v>
      </c>
      <c r="AB13" s="48">
        <f>IF(P5="single",AA13,AA13*2)</f>
        <v>0</v>
      </c>
    </row>
    <row r="14" spans="1:34" ht="16.5" thickBot="1">
      <c r="A14" s="74" t="s">
        <v>48</v>
      </c>
      <c r="B14" s="74"/>
      <c r="C14" s="65">
        <f>V20</f>
        <v>0</v>
      </c>
      <c r="D14" s="5" t="s">
        <v>0</v>
      </c>
      <c r="F14" s="74" t="s">
        <v>51</v>
      </c>
      <c r="G14" s="74"/>
      <c r="H14" s="76" t="e">
        <f>C16/C14</f>
        <v>#DIV/0!</v>
      </c>
      <c r="I14" s="5" t="s">
        <v>49</v>
      </c>
      <c r="O14" s="15" t="s">
        <v>91</v>
      </c>
      <c r="P14" s="9" t="s">
        <v>17</v>
      </c>
      <c r="Q14" s="265" t="str">
        <f>IF(P14="WATER",P14,P15&amp;"% "&amp;P14)</f>
        <v>Water</v>
      </c>
      <c r="R14" s="266"/>
      <c r="T14" s="264"/>
      <c r="U14" s="27" t="s">
        <v>127</v>
      </c>
      <c r="V14" s="28">
        <v>0</v>
      </c>
      <c r="W14" s="19"/>
      <c r="X14" s="19"/>
      <c r="Y14" s="19"/>
      <c r="Z14" s="19"/>
      <c r="AA14" s="19"/>
    </row>
    <row r="15" spans="1:34" ht="16.5" thickBot="1">
      <c r="A15" s="74" t="s">
        <v>29</v>
      </c>
      <c r="B15" s="74"/>
      <c r="C15" s="65">
        <f>V19</f>
        <v>0.5</v>
      </c>
      <c r="D15" s="5" t="s">
        <v>30</v>
      </c>
      <c r="F15" s="74" t="s">
        <v>394</v>
      </c>
      <c r="G15" s="74"/>
      <c r="H15" s="65" t="e">
        <f>V22</f>
        <v>#DIV/0!</v>
      </c>
      <c r="I15" s="5" t="s">
        <v>35</v>
      </c>
      <c r="O15" s="16" t="s">
        <v>92</v>
      </c>
      <c r="P15" s="10"/>
      <c r="Q15" s="267"/>
      <c r="R15" s="268"/>
      <c r="T15" s="262" t="s">
        <v>128</v>
      </c>
      <c r="U15" s="24" t="s">
        <v>124</v>
      </c>
      <c r="V15" s="26">
        <f t="array" ref="V15">INDEX('Look Up Tables'!$AM$5:$AP$22,MATCH($P$4&amp;$P$26&amp;$Q$29,'Look Up Tables'!$AJ$5:$AJ$22&amp;'Look Up Tables'!$AK$5:$AK$22&amp;'Look Up Tables'!$AL$5:$AL$22,0),1)</f>
        <v>0</v>
      </c>
      <c r="W15" s="19"/>
      <c r="X15" s="19"/>
      <c r="Y15" s="259" t="str">
        <f>"COMP SIZE 1 - "&amp;P28</f>
        <v xml:space="preserve">COMP SIZE 1 - </v>
      </c>
      <c r="Z15" s="260"/>
      <c r="AA15" s="260"/>
      <c r="AB15" s="261"/>
    </row>
    <row r="16" spans="1:34" ht="16.5" thickBot="1">
      <c r="A16" s="74" t="s">
        <v>31</v>
      </c>
      <c r="B16" s="74"/>
      <c r="C16" s="65">
        <f>SUM(V11:V14)</f>
        <v>0</v>
      </c>
      <c r="D16" s="5" t="s">
        <v>30</v>
      </c>
      <c r="F16" s="74"/>
      <c r="G16" s="74"/>
      <c r="H16" s="3"/>
      <c r="I16" s="5"/>
      <c r="O16" s="16" t="s">
        <v>89</v>
      </c>
      <c r="P16" s="10"/>
      <c r="T16" s="263"/>
      <c r="U16" s="23" t="s">
        <v>125</v>
      </c>
      <c r="V16" s="26">
        <f t="array" ref="V16">INDEX('Look Up Tables'!$AM$5:$AP$22,MATCH($P$4&amp;$P$26&amp;$Q$29,'Look Up Tables'!$AJ$5:$AJ$22&amp;'Look Up Tables'!$AK$5:$AK$22&amp;'Look Up Tables'!$AL$5:$AL$22,0),2)</f>
        <v>0</v>
      </c>
      <c r="W16" s="19"/>
      <c r="X16" s="19"/>
      <c r="Y16" s="19"/>
      <c r="Z16" s="257" t="s">
        <v>137</v>
      </c>
      <c r="AA16" s="258"/>
      <c r="AB16" s="49" t="s">
        <v>138</v>
      </c>
    </row>
    <row r="17" spans="1:28" ht="16.5" thickBot="1">
      <c r="A17" s="74" t="s">
        <v>32</v>
      </c>
      <c r="B17" s="74"/>
      <c r="C17" s="65">
        <f>SUM(V15:V18)</f>
        <v>0</v>
      </c>
      <c r="D17" s="5" t="s">
        <v>30</v>
      </c>
      <c r="F17" s="74"/>
      <c r="G17" s="74"/>
      <c r="H17" s="2"/>
      <c r="I17" s="5"/>
      <c r="O17" s="16" t="s">
        <v>90</v>
      </c>
      <c r="P17" s="10"/>
      <c r="T17" s="263"/>
      <c r="U17" s="23" t="s">
        <v>126</v>
      </c>
      <c r="V17" s="26">
        <f t="array" ref="V17">INDEX('Look Up Tables'!$AM$5:$AP$22,MATCH($P$4&amp;$P$26&amp;$Q$29,'Look Up Tables'!$AJ$5:$AJ$22&amp;'Look Up Tables'!$AK$5:$AK$22&amp;'Look Up Tables'!$AL$5:$AL$22,0),3)</f>
        <v>0</v>
      </c>
      <c r="W17" s="19"/>
      <c r="X17" s="19"/>
      <c r="Y17" s="40" t="s">
        <v>139</v>
      </c>
      <c r="Z17" s="41">
        <v>0</v>
      </c>
      <c r="AA17" s="42">
        <f>Z17/12000</f>
        <v>0</v>
      </c>
      <c r="AB17" s="43">
        <f>IF(P11="Single",AA17,AA17*2)</f>
        <v>0</v>
      </c>
    </row>
    <row r="18" spans="1:28" ht="16.5" thickBot="1">
      <c r="O18" s="17" t="s">
        <v>24</v>
      </c>
      <c r="P18" s="128">
        <f>IF(P14="P.G.",INDEX(FreezePoint_PG,MATCH('ACCA Primary Unit Rating'!P15,Percent_PG)),IF('ACCA Primary Unit Rating'!P14="E.G.",INDEX(FreezePoint__EG,MATCH('ACCA Primary Unit Rating'!P15,Percent_EG,0)),IF('ACCA Primary Unit Rating'!P14="Water",32,"ERR")))</f>
        <v>32</v>
      </c>
      <c r="T18" s="264"/>
      <c r="U18" s="27" t="s">
        <v>127</v>
      </c>
      <c r="V18" s="28">
        <f t="array" ref="V18">INDEX('Look Up Tables'!$AM$5:$AP$22,MATCH($P$4&amp;$P$26&amp;$Q$29,'Look Up Tables'!$AJ$5:$AJ$22&amp;'Look Up Tables'!$AK$5:$AK$22&amp;'Look Up Tables'!$AL$5:$AL$22,0),4)</f>
        <v>0</v>
      </c>
      <c r="W18" s="19"/>
      <c r="X18" s="19"/>
      <c r="Y18" s="40" t="s">
        <v>140</v>
      </c>
      <c r="Z18" s="44">
        <v>0</v>
      </c>
      <c r="AA18" s="42">
        <f>Z18/12000</f>
        <v>0</v>
      </c>
      <c r="AB18" s="45">
        <f>IF(P11="single",AA18,AA18*2)</f>
        <v>0</v>
      </c>
    </row>
    <row r="19" spans="1:28" ht="19.5" thickBot="1">
      <c r="A19" s="250" t="s">
        <v>45</v>
      </c>
      <c r="B19" s="250"/>
      <c r="C19" s="250"/>
      <c r="D19" s="250"/>
      <c r="E19" s="250"/>
      <c r="F19" s="250"/>
      <c r="G19" s="250"/>
      <c r="H19" s="250"/>
      <c r="I19" s="250"/>
      <c r="J19" s="250"/>
      <c r="T19" s="19"/>
      <c r="U19" s="23"/>
      <c r="V19" s="32">
        <f>SUM(V10:V18)</f>
        <v>0.5</v>
      </c>
      <c r="W19" s="23" t="s">
        <v>30</v>
      </c>
      <c r="X19" s="23"/>
      <c r="Y19" s="19" t="s">
        <v>141</v>
      </c>
      <c r="Z19" s="46">
        <f>Z18-Z17</f>
        <v>0</v>
      </c>
      <c r="AA19" s="47">
        <f>Z19/3412</f>
        <v>0</v>
      </c>
      <c r="AB19" s="48">
        <f>IF(P11="single",AA19,AA19*2)</f>
        <v>0</v>
      </c>
    </row>
    <row r="20" spans="1:28" ht="18" thickBot="1">
      <c r="A20" s="74" t="s">
        <v>302</v>
      </c>
      <c r="B20" s="74"/>
      <c r="C20" s="18" t="str">
        <f>Q14</f>
        <v>Water</v>
      </c>
      <c r="D20" s="5"/>
      <c r="F20" s="74" t="s">
        <v>21</v>
      </c>
      <c r="G20" s="74"/>
      <c r="H20" s="84">
        <v>1E-4</v>
      </c>
      <c r="I20" s="7" t="s">
        <v>25</v>
      </c>
      <c r="O20" s="249" t="s">
        <v>95</v>
      </c>
      <c r="P20" s="249"/>
      <c r="T20" s="19"/>
      <c r="U20" s="23"/>
      <c r="V20" s="39">
        <f>IF(ISBLANK(P28)=TRUE,AB11,AA11+AA17)</f>
        <v>0</v>
      </c>
      <c r="W20" s="27" t="s">
        <v>129</v>
      </c>
      <c r="X20" s="38"/>
      <c r="Y20" s="38"/>
      <c r="Z20" s="38"/>
      <c r="AA20" s="38"/>
    </row>
    <row r="21" spans="1:28" ht="16.5" thickBot="1">
      <c r="A21" s="74" t="s">
        <v>443</v>
      </c>
      <c r="B21" s="74"/>
      <c r="C21" s="78">
        <f>V25</f>
        <v>0</v>
      </c>
      <c r="D21" s="5" t="s">
        <v>194</v>
      </c>
      <c r="F21" s="74" t="s">
        <v>22</v>
      </c>
      <c r="G21" s="74"/>
      <c r="H21" s="64">
        <f>V24</f>
        <v>0</v>
      </c>
      <c r="I21" s="6" t="s">
        <v>23</v>
      </c>
      <c r="O21" s="15" t="s">
        <v>15</v>
      </c>
      <c r="P21" s="9"/>
      <c r="T21" s="19"/>
      <c r="U21" s="23"/>
      <c r="V21" s="33" t="e">
        <f>V19/V20</f>
        <v>#DIV/0!</v>
      </c>
      <c r="W21" s="23" t="s">
        <v>130</v>
      </c>
      <c r="X21" s="23"/>
      <c r="Y21" s="23"/>
      <c r="Z21" s="23"/>
      <c r="AA21" s="23"/>
    </row>
    <row r="22" spans="1:28" ht="16.5" thickBot="1">
      <c r="A22" s="74" t="s">
        <v>303</v>
      </c>
      <c r="B22" s="74"/>
      <c r="C22" s="78">
        <f>P16</f>
        <v>0</v>
      </c>
      <c r="D22" s="5" t="s">
        <v>14</v>
      </c>
      <c r="F22" s="74" t="s">
        <v>22</v>
      </c>
      <c r="G22" s="74"/>
      <c r="H22" s="64">
        <f>H21*2.307</f>
        <v>0</v>
      </c>
      <c r="I22" s="6" t="s">
        <v>46</v>
      </c>
      <c r="O22" s="16" t="s">
        <v>16</v>
      </c>
      <c r="P22" s="10"/>
      <c r="T22" s="19"/>
      <c r="U22" s="23"/>
      <c r="V22" s="34" t="e">
        <f>12/V21</f>
        <v>#DIV/0!</v>
      </c>
      <c r="W22" s="35" t="s">
        <v>1</v>
      </c>
      <c r="X22" s="38"/>
      <c r="Y22" s="269" t="s">
        <v>349</v>
      </c>
      <c r="Z22" s="270"/>
      <c r="AA22" s="38"/>
    </row>
    <row r="23" spans="1:28" ht="16.5" thickBot="1">
      <c r="A23" s="74" t="s">
        <v>304</v>
      </c>
      <c r="B23" s="74"/>
      <c r="C23" s="78">
        <f>P17</f>
        <v>0</v>
      </c>
      <c r="D23" s="5" t="s">
        <v>14</v>
      </c>
      <c r="F23" s="74" t="s">
        <v>24</v>
      </c>
      <c r="G23" s="74"/>
      <c r="H23" s="78">
        <f>P18</f>
        <v>32</v>
      </c>
      <c r="I23" s="7" t="s">
        <v>14</v>
      </c>
      <c r="O23" s="17" t="s">
        <v>99</v>
      </c>
      <c r="P23" s="11">
        <v>0</v>
      </c>
      <c r="T23" s="19"/>
      <c r="U23" s="19"/>
      <c r="V23" s="19"/>
      <c r="W23" s="19"/>
      <c r="X23" s="19"/>
      <c r="Y23" s="175">
        <v>107.09</v>
      </c>
      <c r="Z23" s="176" t="s">
        <v>350</v>
      </c>
      <c r="AA23" s="19"/>
    </row>
    <row r="24" spans="1:28" ht="16.5" thickBot="1">
      <c r="A24" s="74" t="s">
        <v>305</v>
      </c>
      <c r="B24" s="74"/>
      <c r="C24" s="78">
        <f>V29</f>
        <v>0</v>
      </c>
      <c r="D24" s="5" t="s">
        <v>14</v>
      </c>
      <c r="F24" s="74"/>
      <c r="G24" s="74"/>
      <c r="H24" s="2"/>
      <c r="I24" s="7"/>
      <c r="T24" s="36"/>
      <c r="U24" s="19"/>
      <c r="V24" s="51">
        <f>Y29</f>
        <v>0</v>
      </c>
      <c r="W24" s="19" t="s">
        <v>131</v>
      </c>
      <c r="X24" s="19"/>
      <c r="Y24" s="177">
        <f>CONVERT(Y23,"Pa","psi")*2.3*12</f>
        <v>0.42868572080537559</v>
      </c>
      <c r="Z24" s="178" t="s">
        <v>351</v>
      </c>
      <c r="AA24" s="19"/>
    </row>
    <row r="25" spans="1:28" ht="15.75" thickBot="1">
      <c r="A25" s="74" t="s">
        <v>306</v>
      </c>
      <c r="B25" s="74"/>
      <c r="C25" s="78">
        <f>IF(ISBLANK(P28)=TRUE,V29,V35)</f>
        <v>0</v>
      </c>
      <c r="D25" s="5" t="s">
        <v>14</v>
      </c>
      <c r="O25" s="249" t="s">
        <v>13</v>
      </c>
      <c r="P25" s="249"/>
      <c r="T25" s="19"/>
      <c r="U25" s="19"/>
      <c r="V25" s="50">
        <f>Y31</f>
        <v>0</v>
      </c>
      <c r="W25" s="37" t="s">
        <v>132</v>
      </c>
      <c r="X25" s="37"/>
      <c r="Y25" s="37"/>
      <c r="Z25" s="37"/>
      <c r="AA25" s="37"/>
    </row>
    <row r="26" spans="1:28" ht="15.75" thickBot="1">
      <c r="A26" s="74"/>
      <c r="B26" s="74"/>
      <c r="C26" s="2"/>
      <c r="D26" s="5"/>
      <c r="O26" s="52" t="s">
        <v>11</v>
      </c>
      <c r="P26" s="53" t="s">
        <v>12</v>
      </c>
      <c r="Q26" s="1" t="s">
        <v>109</v>
      </c>
    </row>
    <row r="27" spans="1:28" ht="19.5" thickBot="1">
      <c r="A27" s="250" t="s">
        <v>26</v>
      </c>
      <c r="B27" s="250"/>
      <c r="C27" s="250"/>
      <c r="D27" s="250"/>
      <c r="E27" s="250"/>
      <c r="F27" s="250"/>
      <c r="G27" s="250"/>
      <c r="H27" s="250"/>
      <c r="I27" s="250"/>
      <c r="J27" s="250"/>
      <c r="O27" s="12" t="s">
        <v>2</v>
      </c>
      <c r="P27" s="54"/>
      <c r="Q27" s="9"/>
      <c r="Y27" s="271" t="s">
        <v>358</v>
      </c>
      <c r="Z27" s="272"/>
    </row>
    <row r="28" spans="1:28">
      <c r="A28" s="74" t="s">
        <v>15</v>
      </c>
      <c r="B28" s="74"/>
      <c r="C28" s="78">
        <f>P21</f>
        <v>0</v>
      </c>
      <c r="D28" s="5" t="s">
        <v>14</v>
      </c>
      <c r="F28" s="74" t="s">
        <v>380</v>
      </c>
      <c r="G28" s="74"/>
      <c r="H28" s="64">
        <f>V31</f>
        <v>0</v>
      </c>
      <c r="I28" s="5" t="s">
        <v>14</v>
      </c>
      <c r="O28" s="12" t="s">
        <v>3</v>
      </c>
      <c r="P28" s="54"/>
      <c r="Q28" s="10"/>
      <c r="U28" s="255" t="str">
        <f>"CRKT #1 - "&amp;P27</f>
        <v xml:space="preserve">CRKT #1 - </v>
      </c>
      <c r="V28" s="256"/>
      <c r="Y28" s="14"/>
      <c r="Z28" s="244" t="s">
        <v>440</v>
      </c>
    </row>
    <row r="29" spans="1:28" ht="15.75" thickBot="1">
      <c r="A29" s="74" t="s">
        <v>16</v>
      </c>
      <c r="B29" s="74"/>
      <c r="C29" s="78">
        <f>P22</f>
        <v>0</v>
      </c>
      <c r="D29" s="5" t="s">
        <v>14</v>
      </c>
      <c r="F29" s="74" t="s">
        <v>381</v>
      </c>
      <c r="G29" s="74"/>
      <c r="H29" s="64">
        <f>IF(ISBLANK(P28)=TRUE,V31,V37)</f>
        <v>0</v>
      </c>
      <c r="I29" s="5" t="s">
        <v>14</v>
      </c>
      <c r="O29" s="202" t="s">
        <v>111</v>
      </c>
      <c r="P29" s="71"/>
      <c r="Q29" s="11"/>
      <c r="U29" s="58" t="s">
        <v>133</v>
      </c>
      <c r="V29" s="59"/>
      <c r="Y29" s="13">
        <f>Y28*0.14503774</f>
        <v>0</v>
      </c>
      <c r="Z29" s="243" t="s">
        <v>23</v>
      </c>
    </row>
    <row r="30" spans="1:28">
      <c r="A30" s="74" t="s">
        <v>291</v>
      </c>
      <c r="B30" s="74"/>
      <c r="C30" s="78">
        <f>P23</f>
        <v>0</v>
      </c>
      <c r="D30" s="5" t="s">
        <v>14</v>
      </c>
      <c r="F30" s="74" t="s">
        <v>307</v>
      </c>
      <c r="G30" s="74"/>
      <c r="H30" s="64">
        <f>V30</f>
        <v>0</v>
      </c>
      <c r="I30" s="5" t="s">
        <v>14</v>
      </c>
      <c r="O30" s="203" t="s">
        <v>113</v>
      </c>
      <c r="P30" s="62">
        <f>IF(ISBLANK(P27)=TRUE,0,INDEX('Look Up Tables'!$M$5:$M$7,MATCH($P$26,'Look Up Tables'!$L$5:$L$7,0)))</f>
        <v>0</v>
      </c>
      <c r="Q30" s="201"/>
      <c r="U30" s="60" t="s">
        <v>135</v>
      </c>
      <c r="V30" s="59"/>
      <c r="Y30" s="12"/>
      <c r="Z30" s="242" t="s">
        <v>441</v>
      </c>
    </row>
    <row r="31" spans="1:28" ht="15.75" thickBot="1">
      <c r="A31" s="74" t="s">
        <v>47</v>
      </c>
      <c r="B31" s="74"/>
      <c r="C31" s="90">
        <f>IF(ISBLANK(P28)=TRUE,(AB12*12000)/1000,(((AA12+AA18)*12000))/1000)</f>
        <v>0</v>
      </c>
      <c r="D31" s="5" t="s">
        <v>142</v>
      </c>
      <c r="F31" s="74" t="s">
        <v>308</v>
      </c>
      <c r="G31" s="74"/>
      <c r="H31" s="64">
        <f>IF(ISBLANK(P28)=TRUE,V30,V36)</f>
        <v>0</v>
      </c>
      <c r="I31" s="5" t="s">
        <v>14</v>
      </c>
      <c r="O31" s="202" t="s">
        <v>114</v>
      </c>
      <c r="P31" s="55">
        <f>IF(ISBLANK(P28)=TRUE,0,INDEX('Look Up Tables'!$M$5:$M$7,MATCH($P$26,'Look Up Tables'!$L$5:$L$7,0)))</f>
        <v>0</v>
      </c>
      <c r="U31" s="12" t="s">
        <v>134</v>
      </c>
      <c r="V31" s="59"/>
      <c r="Y31" s="13">
        <f>Y30/500.72</f>
        <v>0</v>
      </c>
      <c r="Z31" s="243" t="s">
        <v>442</v>
      </c>
    </row>
    <row r="32" spans="1:28" ht="15.75" thickBot="1">
      <c r="O32" s="202" t="s">
        <v>115</v>
      </c>
      <c r="P32" s="55">
        <f>IF(ISBLANK(Q29)=TRUE,0,INDEX('Look Up Tables'!$M$5:$M$7,MATCH($P$26,'Look Up Tables'!$L$5:$L$7,0)))</f>
        <v>0</v>
      </c>
      <c r="Q32" s="113"/>
      <c r="U32" s="13" t="s">
        <v>136</v>
      </c>
      <c r="V32" s="212">
        <f>V30-10</f>
        <v>-10</v>
      </c>
    </row>
    <row r="33" spans="1:25" ht="19.5" thickBot="1">
      <c r="A33" s="250" t="s">
        <v>13</v>
      </c>
      <c r="B33" s="250"/>
      <c r="C33" s="250"/>
      <c r="D33" s="250"/>
      <c r="E33" s="250"/>
      <c r="F33" s="250"/>
      <c r="G33" s="250"/>
      <c r="H33" s="250"/>
      <c r="I33" s="250"/>
      <c r="J33" s="250"/>
      <c r="O33" s="202" t="s">
        <v>117</v>
      </c>
      <c r="P33" s="199">
        <f>IF(ISBLANK(P27),0,INDEX('Look Up Tables'!$G$5:$G$47,MATCH(P27,'Look Up Tables'!$B$5:$B$47,0)))</f>
        <v>0</v>
      </c>
      <c r="Q33" s="113"/>
    </row>
    <row r="34" spans="1:25">
      <c r="A34" s="74" t="s">
        <v>294</v>
      </c>
      <c r="B34" s="74"/>
      <c r="C34" s="18" t="str">
        <f>P26</f>
        <v>460/3/60</v>
      </c>
      <c r="D34" s="1" t="s">
        <v>180</v>
      </c>
      <c r="F34" s="253" t="s">
        <v>293</v>
      </c>
      <c r="G34" s="253"/>
      <c r="H34" s="78">
        <f>P41</f>
        <v>5</v>
      </c>
      <c r="I34" s="1" t="s">
        <v>178</v>
      </c>
      <c r="O34" s="232" t="s">
        <v>118</v>
      </c>
      <c r="P34" s="233">
        <f>IF(ISBLANK(P28),0,INDEX('Look Up Tables'!$G$5:$G$47,MATCH(P28,'Look Up Tables'!$B$5:$B$47,0)))</f>
        <v>0</v>
      </c>
      <c r="Q34" s="113"/>
      <c r="U34" s="255" t="str">
        <f>"CRKT #2 - "&amp;P28</f>
        <v xml:space="preserve">CRKT #2 - </v>
      </c>
      <c r="V34" s="256"/>
    </row>
    <row r="35" spans="1:25" ht="15.75" thickBot="1">
      <c r="A35" s="253" t="s">
        <v>295</v>
      </c>
      <c r="B35" s="253"/>
      <c r="C35" s="18">
        <f>P30*0.9</f>
        <v>0</v>
      </c>
      <c r="D35" s="1" t="s">
        <v>176</v>
      </c>
      <c r="F35" s="74" t="s">
        <v>309</v>
      </c>
      <c r="G35" s="74"/>
      <c r="H35" s="64">
        <f>P39</f>
        <v>0</v>
      </c>
      <c r="I35" s="1" t="s">
        <v>179</v>
      </c>
      <c r="O35" s="234" t="s">
        <v>437</v>
      </c>
      <c r="P35" s="235">
        <f>IF(ISBLANK(Q29),0,5.17)</f>
        <v>0</v>
      </c>
      <c r="U35" s="58" t="s">
        <v>133</v>
      </c>
      <c r="V35" s="59"/>
    </row>
    <row r="36" spans="1:25">
      <c r="A36" s="253" t="s">
        <v>298</v>
      </c>
      <c r="B36" s="253"/>
      <c r="C36" s="18">
        <f>P30*1.1</f>
        <v>0</v>
      </c>
      <c r="D36" s="1" t="s">
        <v>176</v>
      </c>
      <c r="F36" s="74" t="s">
        <v>310</v>
      </c>
      <c r="G36" s="74"/>
      <c r="H36" s="64">
        <f>P40</f>
        <v>0</v>
      </c>
      <c r="I36" s="1" t="s">
        <v>179</v>
      </c>
      <c r="O36" s="113"/>
      <c r="P36" s="113"/>
      <c r="U36" s="60" t="s">
        <v>135</v>
      </c>
      <c r="V36" s="59"/>
    </row>
    <row r="37" spans="1:25" ht="15.75" thickBot="1">
      <c r="O37" s="113"/>
      <c r="P37" s="113"/>
      <c r="U37" s="12" t="s">
        <v>134</v>
      </c>
      <c r="V37" s="59"/>
    </row>
    <row r="38" spans="1:25" ht="15.75" thickBot="1">
      <c r="C38" s="4" t="s">
        <v>36</v>
      </c>
      <c r="D38" s="4" t="s">
        <v>4</v>
      </c>
      <c r="E38" s="4" t="s">
        <v>5</v>
      </c>
      <c r="F38" s="4" t="s">
        <v>6</v>
      </c>
      <c r="G38" s="4" t="s">
        <v>7</v>
      </c>
      <c r="H38" s="4" t="s">
        <v>8</v>
      </c>
      <c r="I38" s="4" t="s">
        <v>9</v>
      </c>
      <c r="J38" s="4" t="s">
        <v>10</v>
      </c>
      <c r="O38" s="230" t="s">
        <v>438</v>
      </c>
      <c r="P38" s="231">
        <f>IF(ISBLANK(P27),0,2.25*MAX(P33,P34,P35)+(SUM(P33*Q27,P34*Q28,P35*Q29)-MAX(P33,P34,P35)))</f>
        <v>0</v>
      </c>
      <c r="U38" s="13" t="s">
        <v>136</v>
      </c>
      <c r="V38" s="212">
        <f>V36-10</f>
        <v>-10</v>
      </c>
    </row>
    <row r="39" spans="1:25">
      <c r="A39" s="74" t="s">
        <v>297</v>
      </c>
      <c r="B39" s="74"/>
      <c r="C39" s="18" t="str">
        <f>IF(ISBLANK(P27)," ",INDEX('Look Up Tables'!C5:C47,MATCH(P27,'Look Up Tables'!B5:B47,0)))</f>
        <v xml:space="preserve"> </v>
      </c>
      <c r="D39" s="18" t="str">
        <f>IF(ISBLANK(P27)," ",Q27)</f>
        <v xml:space="preserve"> </v>
      </c>
      <c r="E39" s="18"/>
      <c r="F39" s="18" t="str">
        <f>IF(ISBLANK(Q27),"",P30)</f>
        <v/>
      </c>
      <c r="G39" s="18" t="str">
        <f>IF(ISBLANK(P27)," ",3)</f>
        <v xml:space="preserve"> </v>
      </c>
      <c r="H39" s="18"/>
      <c r="I39" s="18"/>
      <c r="J39" s="63" t="str">
        <f>IF(ISBLANK(Q27),"",P33)</f>
        <v/>
      </c>
      <c r="O39" s="229" t="s">
        <v>143</v>
      </c>
      <c r="P39" s="55">
        <f>IF(ISBLANK(P27),0,INDEX('Look Up Tables'!$AR$8:$AR$45,MATCH(LARGE('Look Up Tables'!$AR$8:$AR$45,COUNTIF('Look Up Tables'!$AR$8:$AR$45,"&gt; "&amp;P38)+1),'Look Up Tables'!$AR$8:$AR$45,0)))</f>
        <v>0</v>
      </c>
    </row>
    <row r="40" spans="1:25">
      <c r="A40" s="74" t="s">
        <v>300</v>
      </c>
      <c r="B40" s="74"/>
      <c r="C40" s="18" t="str">
        <f>IF(ISBLANK(P28)," ",INDEX('Look Up Tables'!C5:C47,MATCH(P28,'Look Up Tables'!B5:B47,0)))</f>
        <v xml:space="preserve"> </v>
      </c>
      <c r="D40" s="18" t="str">
        <f>IF(ISBLANK(Q28)," ",Q28)</f>
        <v xml:space="preserve"> </v>
      </c>
      <c r="E40" s="18"/>
      <c r="F40" s="18" t="str">
        <f t="shared" ref="F40:F41" si="0">IF(ISBLANK(Q28),"",P31)</f>
        <v/>
      </c>
      <c r="G40" s="18" t="str">
        <f>IF(ISBLANK(P28)," ",3)</f>
        <v xml:space="preserve"> </v>
      </c>
      <c r="H40" s="18"/>
      <c r="I40" s="18"/>
      <c r="J40" s="63" t="str">
        <f>IF(ISBLANK(Q28),"",P34)</f>
        <v/>
      </c>
      <c r="O40" s="12" t="s">
        <v>144</v>
      </c>
      <c r="P40" s="56">
        <f>IF(ISBLANK(P27),0,1.25*MAX(P33,P34,P35)+(SUM(P33*Q27,P34*Q28,P35*Q29)-MAX(P33,P34,P35)))</f>
        <v>0</v>
      </c>
    </row>
    <row r="41" spans="1:25">
      <c r="A41" s="74" t="s">
        <v>301</v>
      </c>
      <c r="B41" s="74"/>
      <c r="C41" s="18" t="str">
        <f>IF(ISBLANK(Q29),"",P29)</f>
        <v/>
      </c>
      <c r="D41" s="18" t="str">
        <f>IF(ISBLANK(Q29),"",Q29)</f>
        <v/>
      </c>
      <c r="E41" s="64" t="str">
        <f>IF(ISBLANK(Q29),"",(C17*1.341)/D41)</f>
        <v/>
      </c>
      <c r="F41" s="18" t="str">
        <f t="shared" si="0"/>
        <v/>
      </c>
      <c r="G41" s="18" t="str">
        <f>IF(ISBLANK(Q29),"",3)</f>
        <v/>
      </c>
      <c r="H41" s="18" t="str">
        <f>IF(ISBLANK(Q29),"",P42)</f>
        <v/>
      </c>
      <c r="I41" s="18" t="str">
        <f>IF(ISBLANK(Q29),"",5.17)</f>
        <v/>
      </c>
      <c r="J41" s="18"/>
      <c r="O41" s="12" t="s">
        <v>177</v>
      </c>
      <c r="P41" s="61">
        <v>5</v>
      </c>
    </row>
    <row r="42" spans="1:25" ht="15.75" thickBot="1">
      <c r="O42" s="13" t="s">
        <v>145</v>
      </c>
      <c r="P42" s="71">
        <v>1160</v>
      </c>
      <c r="Y42" s="19"/>
    </row>
    <row r="43" spans="1:25" ht="18.75">
      <c r="A43" s="250" t="s">
        <v>56</v>
      </c>
      <c r="B43" s="250"/>
      <c r="C43" s="250"/>
      <c r="D43" s="250"/>
      <c r="E43" s="250"/>
      <c r="F43" s="250"/>
      <c r="G43" s="250"/>
      <c r="H43" s="250"/>
      <c r="I43" s="250"/>
      <c r="J43" s="250"/>
      <c r="Y43" s="19"/>
    </row>
    <row r="44" spans="1:25" ht="15.75" thickBot="1">
      <c r="A44" s="74" t="s">
        <v>311</v>
      </c>
      <c r="B44" s="74"/>
      <c r="C44" s="75" t="str">
        <f>P45</f>
        <v>Brazed Plate</v>
      </c>
      <c r="D44" s="8"/>
      <c r="F44" s="74" t="s">
        <v>52</v>
      </c>
      <c r="G44" s="74"/>
      <c r="H44" s="78">
        <f>P46</f>
        <v>86.375</v>
      </c>
      <c r="I44" s="1" t="s">
        <v>54</v>
      </c>
      <c r="O44" s="72" t="s">
        <v>56</v>
      </c>
      <c r="P44" s="72"/>
      <c r="Y44" s="19"/>
    </row>
    <row r="45" spans="1:25">
      <c r="A45" s="74" t="s">
        <v>312</v>
      </c>
      <c r="B45" s="74"/>
      <c r="C45" s="75" t="s">
        <v>356</v>
      </c>
      <c r="F45" s="74" t="s">
        <v>53</v>
      </c>
      <c r="G45" s="74"/>
      <c r="H45" s="78">
        <f>P47</f>
        <v>39.375</v>
      </c>
      <c r="I45" s="1" t="s">
        <v>54</v>
      </c>
      <c r="O45" s="15" t="s">
        <v>146</v>
      </c>
      <c r="P45" s="9" t="s">
        <v>57</v>
      </c>
      <c r="Y45" s="19"/>
    </row>
    <row r="46" spans="1:25">
      <c r="A46" s="74" t="s">
        <v>313</v>
      </c>
      <c r="B46" s="74"/>
      <c r="C46" s="75" t="str">
        <f>IF(P29="AKFD 800","Fixed-Speed","Variable Speed")</f>
        <v>Variable Speed</v>
      </c>
      <c r="F46" s="74" t="s">
        <v>55</v>
      </c>
      <c r="G46" s="74"/>
      <c r="H46" s="78">
        <f>P48</f>
        <v>86.5</v>
      </c>
      <c r="I46" s="1" t="s">
        <v>54</v>
      </c>
      <c r="O46" s="16" t="s">
        <v>52</v>
      </c>
      <c r="P46" s="122">
        <f>INDEX('Look Up Tables'!$W$5:$W$7,MATCH(P4,'Look Up Tables'!$V$5:$V$7,0))</f>
        <v>86.375</v>
      </c>
    </row>
    <row r="47" spans="1:25">
      <c r="A47" s="74" t="s">
        <v>44</v>
      </c>
      <c r="B47" s="74"/>
      <c r="C47" s="75" t="s">
        <v>43</v>
      </c>
      <c r="O47" s="16" t="s">
        <v>53</v>
      </c>
      <c r="P47" s="122">
        <f>INDEX('Look Up Tables'!$X$5:$X$7,MATCH(P4,'Look Up Tables'!$V$5:$V$7,0))</f>
        <v>39.375</v>
      </c>
    </row>
    <row r="48" spans="1:25" ht="15.75" thickBot="1">
      <c r="O48" s="17" t="s">
        <v>55</v>
      </c>
      <c r="P48" s="115">
        <f>INDEX('Look Up Tables'!$Y$5:$Y$7,MATCH(P4,'Look Up Tables'!$V$5:$V$7,0))</f>
        <v>86.5</v>
      </c>
    </row>
    <row r="49" spans="1:10" ht="15" customHeight="1"/>
    <row r="50" spans="1:10" ht="15" customHeight="1">
      <c r="G50" s="251" t="s">
        <v>175</v>
      </c>
      <c r="H50" s="251"/>
      <c r="I50" s="251"/>
      <c r="J50" s="251"/>
    </row>
    <row r="51" spans="1:10" ht="15" customHeight="1" thickBot="1">
      <c r="A51" s="85"/>
      <c r="B51" s="85"/>
      <c r="C51" s="85"/>
      <c r="D51" s="85"/>
      <c r="E51" s="85"/>
      <c r="F51" s="85"/>
      <c r="G51" s="252"/>
      <c r="H51" s="252"/>
      <c r="I51" s="252"/>
      <c r="J51" s="252"/>
    </row>
    <row r="52" spans="1:10" ht="15.75" thickTop="1"/>
  </sheetData>
  <mergeCells count="29">
    <mergeCell ref="O2:P2"/>
    <mergeCell ref="U34:V34"/>
    <mergeCell ref="Z10:AA10"/>
    <mergeCell ref="Y9:AB9"/>
    <mergeCell ref="Y15:AB15"/>
    <mergeCell ref="Z16:AA16"/>
    <mergeCell ref="O25:P25"/>
    <mergeCell ref="T11:T14"/>
    <mergeCell ref="T15:T18"/>
    <mergeCell ref="U28:V28"/>
    <mergeCell ref="O6:P6"/>
    <mergeCell ref="O13:P13"/>
    <mergeCell ref="Q14:R15"/>
    <mergeCell ref="O20:P20"/>
    <mergeCell ref="Y22:Z22"/>
    <mergeCell ref="Y27:Z27"/>
    <mergeCell ref="A35:B35"/>
    <mergeCell ref="A36:B36"/>
    <mergeCell ref="G50:J51"/>
    <mergeCell ref="G1:J2"/>
    <mergeCell ref="A4:J4"/>
    <mergeCell ref="A12:J12"/>
    <mergeCell ref="A19:J19"/>
    <mergeCell ref="A27:J27"/>
    <mergeCell ref="A7:J7"/>
    <mergeCell ref="A33:J33"/>
    <mergeCell ref="F34:G34"/>
    <mergeCell ref="A5:J5"/>
    <mergeCell ref="A43:J43"/>
  </mergeCells>
  <conditionalFormatting sqref="C22:C23">
    <cfRule type="cellIs" dxfId="110" priority="15" operator="equal">
      <formula>0</formula>
    </cfRule>
  </conditionalFormatting>
  <conditionalFormatting sqref="H23">
    <cfRule type="cellIs" dxfId="109" priority="14" operator="equal">
      <formula>0</formula>
    </cfRule>
  </conditionalFormatting>
  <conditionalFormatting sqref="C28:C29">
    <cfRule type="cellIs" dxfId="108" priority="13" operator="equal">
      <formula>0</formula>
    </cfRule>
  </conditionalFormatting>
  <conditionalFormatting sqref="H30:H31">
    <cfRule type="cellIs" dxfId="107" priority="12" operator="equal">
      <formula>0</formula>
    </cfRule>
  </conditionalFormatting>
  <conditionalFormatting sqref="H35:H36">
    <cfRule type="cellIs" dxfId="106" priority="11" operator="equal">
      <formula>0</formula>
    </cfRule>
  </conditionalFormatting>
  <conditionalFormatting sqref="H41">
    <cfRule type="cellIs" dxfId="105" priority="10" operator="equal">
      <formula>0</formula>
    </cfRule>
  </conditionalFormatting>
  <conditionalFormatting sqref="C24:C25">
    <cfRule type="cellIs" dxfId="104" priority="9" operator="equal">
      <formula>0</formula>
    </cfRule>
  </conditionalFormatting>
  <conditionalFormatting sqref="H21">
    <cfRule type="cellIs" dxfId="103" priority="8" operator="equal">
      <formula>0</formula>
    </cfRule>
  </conditionalFormatting>
  <conditionalFormatting sqref="C21">
    <cfRule type="cellIs" dxfId="102" priority="7" operator="equal">
      <formula>0</formula>
    </cfRule>
  </conditionalFormatting>
  <conditionalFormatting sqref="C14 C16:C17">
    <cfRule type="cellIs" dxfId="101" priority="6" operator="equal">
      <formula>0</formula>
    </cfRule>
  </conditionalFormatting>
  <conditionalFormatting sqref="A5">
    <cfRule type="cellIs" dxfId="100" priority="5" operator="equal">
      <formula>0</formula>
    </cfRule>
  </conditionalFormatting>
  <conditionalFormatting sqref="C31">
    <cfRule type="cellIs" dxfId="99" priority="3" operator="equal">
      <formula>0</formula>
    </cfRule>
  </conditionalFormatting>
  <conditionalFormatting sqref="C9 H9:H10">
    <cfRule type="cellIs" dxfId="98" priority="2" operator="equal">
      <formula>0</formula>
    </cfRule>
  </conditionalFormatting>
  <conditionalFormatting sqref="H28:H29">
    <cfRule type="cellIs" dxfId="97" priority="1" operator="equal">
      <formula>0</formula>
    </cfRule>
  </conditionalFormatting>
  <printOptions horizontalCentered="1"/>
  <pageMargins left="0.7" right="0.7" top="0.75" bottom="0.75" header="0.3" footer="0.3"/>
  <pageSetup scale="82" orientation="portrait" r:id="rId1"/>
  <headerFooter>
    <oddFooter>&amp;Lwww.JetsonHVAC.com&amp;RPage &amp;P of &amp;N</oddFooter>
  </headerFooter>
  <drawing r:id="rId2"/>
  <legacyDrawing r:id="rId3"/>
  <oleObjects>
    <mc:AlternateContent xmlns:mc="http://schemas.openxmlformats.org/markup-compatibility/2006">
      <mc:Choice Requires="x14">
        <oleObject progId="AcroExch.Document.7" shapeId="2050" r:id="rId4">
          <objectPr defaultSize="0" autoPict="0" r:id="rId5">
            <anchor moveWithCells="1">
              <from>
                <xdr:col>11</xdr:col>
                <xdr:colOff>76200</xdr:colOff>
                <xdr:row>53</xdr:row>
                <xdr:rowOff>152400</xdr:rowOff>
              </from>
              <to>
                <xdr:col>17</xdr:col>
                <xdr:colOff>381000</xdr:colOff>
                <xdr:row>100</xdr:row>
                <xdr:rowOff>9525</xdr:rowOff>
              </to>
            </anchor>
          </objectPr>
        </oleObject>
      </mc:Choice>
      <mc:Fallback>
        <oleObject progId="AcroExch.Document.7" shapeId="2050" r:id="rId4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'Look Up Tables'!$J$5:$J$7</xm:f>
          </x14:formula1>
          <xm:sqref>P14</xm:sqref>
        </x14:dataValidation>
        <x14:dataValidation type="list" allowBlank="1" showInputMessage="1" showErrorMessage="1">
          <x14:formula1>
            <xm:f>'Look Up Tables'!$V$5:$V$7</xm:f>
          </x14:formula1>
          <xm:sqref>P4</xm:sqref>
        </x14:dataValidation>
        <x14:dataValidation type="list" allowBlank="1" showInputMessage="1" showErrorMessage="1">
          <x14:formula1>
            <xm:f>'Look Up Tables'!$K$5:$K$6</xm:f>
          </x14:formula1>
          <xm:sqref>P23</xm:sqref>
        </x14:dataValidation>
        <x14:dataValidation type="list" allowBlank="1" showInputMessage="1" showErrorMessage="1">
          <x14:formula1>
            <xm:f>'Look Up Tables'!$L$5:$L$7</xm:f>
          </x14:formula1>
          <xm:sqref>P26</xm:sqref>
        </x14:dataValidation>
        <x14:dataValidation type="list" allowBlank="1" showInputMessage="1" showErrorMessage="1">
          <x14:formula1>
            <xm:f>'Look Up Tables'!$P$5:$P$15</xm:f>
          </x14:formula1>
          <xm:sqref>Q27:Q28</xm:sqref>
        </x14:dataValidation>
        <x14:dataValidation type="list" allowBlank="1" showInputMessage="1" showErrorMessage="1">
          <x14:formula1>
            <xm:f>'Look Up Tables'!$T$5:$T$9</xm:f>
          </x14:formula1>
          <xm:sqref>P45</xm:sqref>
        </x14:dataValidation>
        <x14:dataValidation type="list" allowBlank="1" showInputMessage="1" showErrorMessage="1">
          <x14:formula1>
            <xm:f>'Look Up Tables'!$I$5:$I$18</xm:f>
          </x14:formula1>
          <xm:sqref>P15</xm:sqref>
        </x14:dataValidation>
        <x14:dataValidation type="list" allowBlank="1" showInputMessage="1" showErrorMessage="1">
          <x14:formula1>
            <xm:f>'Look Up Tables'!$Q$5:$Q$9</xm:f>
          </x14:formula1>
          <xm:sqref>Q29</xm:sqref>
        </x14:dataValidation>
        <x14:dataValidation type="list" allowBlank="1" showInputMessage="1" showErrorMessage="1">
          <x14:formula1>
            <xm:f>'Look Up Tables'!$AA$5:$AA$6</xm:f>
          </x14:formula1>
          <xm:sqref>P5</xm:sqref>
        </x14:dataValidation>
        <x14:dataValidation type="list" allowBlank="1" showInputMessage="1" showErrorMessage="1">
          <x14:formula1>
            <xm:f>'Look Up Tables'!$B$5:$B$47</xm:f>
          </x14:formula1>
          <xm:sqref>P27:P28</xm:sqref>
        </x14:dataValidation>
        <x14:dataValidation type="list" allowBlank="1" showInputMessage="1" showErrorMessage="1">
          <x14:formula1>
            <xm:f>'Look Up Tables'!$Z$5:$Z$7</xm:f>
          </x14:formula1>
          <xm:sqref>P29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52"/>
  <sheetViews>
    <sheetView zoomScale="85" zoomScaleNormal="85" zoomScaleSheetLayoutView="100" workbookViewId="0"/>
  </sheetViews>
  <sheetFormatPr defaultColWidth="8.85546875" defaultRowHeight="15"/>
  <cols>
    <col min="1" max="6" width="11" style="1" customWidth="1"/>
    <col min="7" max="7" width="11.42578125" style="1" customWidth="1"/>
    <col min="8" max="10" width="11" style="1" customWidth="1"/>
    <col min="15" max="16" width="22" customWidth="1"/>
    <col min="21" max="22" width="21.28515625" customWidth="1"/>
    <col min="23" max="23" width="9.85546875" bestFit="1" customWidth="1"/>
    <col min="24" max="27" width="9.85546875" customWidth="1"/>
  </cols>
  <sheetData>
    <row r="1" spans="1:28" ht="15" customHeight="1">
      <c r="G1" s="251" t="s">
        <v>172</v>
      </c>
      <c r="H1" s="251"/>
      <c r="I1" s="251"/>
      <c r="J1" s="251"/>
    </row>
    <row r="2" spans="1:28" ht="15.75" thickBot="1">
      <c r="A2" s="85"/>
      <c r="B2" s="85"/>
      <c r="C2" s="85"/>
      <c r="D2" s="85"/>
      <c r="E2" s="85"/>
      <c r="F2" s="85"/>
      <c r="G2" s="252"/>
      <c r="H2" s="252"/>
      <c r="I2" s="252"/>
      <c r="J2" s="252"/>
      <c r="O2" s="130" t="s">
        <v>339</v>
      </c>
      <c r="P2" s="130"/>
    </row>
    <row r="3" spans="1:28" ht="16.5" thickTop="1" thickBot="1">
      <c r="G3" s="86" t="s">
        <v>173</v>
      </c>
      <c r="H3" s="87">
        <v>1.2</v>
      </c>
      <c r="I3" s="86" t="s">
        <v>174</v>
      </c>
      <c r="J3" s="87">
        <v>7854991</v>
      </c>
      <c r="O3" s="123" t="s">
        <v>36</v>
      </c>
      <c r="P3" s="124"/>
    </row>
    <row r="4" spans="1:28" ht="18.75">
      <c r="A4" s="250" t="s">
        <v>36</v>
      </c>
      <c r="B4" s="250"/>
      <c r="C4" s="250"/>
      <c r="D4" s="250"/>
      <c r="E4" s="250"/>
      <c r="F4" s="250"/>
      <c r="G4" s="250"/>
      <c r="H4" s="250"/>
      <c r="I4" s="250"/>
      <c r="J4" s="250"/>
      <c r="O4" s="16" t="s">
        <v>340</v>
      </c>
      <c r="P4" s="127" t="str">
        <f>'ACCA Primary Unit Rating'!P4</f>
        <v>Green</v>
      </c>
    </row>
    <row r="5" spans="1:28" ht="19.5" thickBot="1">
      <c r="A5" s="254">
        <f>P3</f>
        <v>0</v>
      </c>
      <c r="B5" s="254"/>
      <c r="C5" s="254"/>
      <c r="D5" s="254"/>
      <c r="E5" s="254"/>
      <c r="F5" s="254"/>
      <c r="G5" s="254"/>
      <c r="H5" s="254"/>
      <c r="I5" s="254"/>
      <c r="J5" s="254"/>
      <c r="O5" s="17" t="s">
        <v>352</v>
      </c>
      <c r="P5" s="128" t="str">
        <f>'ACCA Primary Unit Rating'!P5</f>
        <v>Dual</v>
      </c>
    </row>
    <row r="6" spans="1:28" ht="15.75" thickBot="1">
      <c r="O6" s="249" t="s">
        <v>39</v>
      </c>
      <c r="P6" s="249"/>
    </row>
    <row r="7" spans="1:28" ht="18.75">
      <c r="A7" s="250" t="s">
        <v>39</v>
      </c>
      <c r="B7" s="250"/>
      <c r="C7" s="250"/>
      <c r="D7" s="250"/>
      <c r="E7" s="250"/>
      <c r="F7" s="250"/>
      <c r="G7" s="250"/>
      <c r="H7" s="250"/>
      <c r="I7" s="250"/>
      <c r="J7" s="250"/>
      <c r="O7" s="15" t="s">
        <v>60</v>
      </c>
      <c r="P7" s="126">
        <f>'ACCA Primary Unit Rating'!P7</f>
        <v>0</v>
      </c>
    </row>
    <row r="8" spans="1:28" ht="15.75" thickBot="1">
      <c r="A8" s="111" t="s">
        <v>288</v>
      </c>
      <c r="B8" s="111"/>
      <c r="C8" s="68" t="s">
        <v>337</v>
      </c>
      <c r="D8" s="69"/>
      <c r="F8" s="111" t="s">
        <v>42</v>
      </c>
      <c r="G8" s="111"/>
      <c r="H8" s="92">
        <f ca="1">P10</f>
        <v>44153</v>
      </c>
      <c r="I8" s="5"/>
      <c r="O8" s="16" t="s">
        <v>61</v>
      </c>
      <c r="P8" s="127">
        <f>'ACCA Primary Unit Rating'!P8</f>
        <v>0</v>
      </c>
    </row>
    <row r="9" spans="1:28" ht="15.75" thickBot="1">
      <c r="A9" s="111" t="s">
        <v>40</v>
      </c>
      <c r="B9" s="111"/>
      <c r="C9" s="75">
        <f>P9</f>
        <v>0</v>
      </c>
      <c r="D9" s="75"/>
      <c r="F9" s="111" t="s">
        <v>60</v>
      </c>
      <c r="G9" s="111"/>
      <c r="H9" s="111">
        <f>P7</f>
        <v>0</v>
      </c>
      <c r="I9" s="5"/>
      <c r="O9" s="16" t="s">
        <v>40</v>
      </c>
      <c r="P9" s="127">
        <f>'ACCA Primary Unit Rating'!P9</f>
        <v>0</v>
      </c>
      <c r="T9" s="19"/>
      <c r="U9" s="20" t="s">
        <v>121</v>
      </c>
      <c r="V9" s="21" t="s">
        <v>30</v>
      </c>
      <c r="W9" s="19"/>
      <c r="X9" s="19"/>
      <c r="Y9" s="259" t="str">
        <f>"COMP SIZE 1 - "&amp;P27</f>
        <v xml:space="preserve">COMP SIZE 1 - </v>
      </c>
      <c r="Z9" s="260"/>
      <c r="AA9" s="260"/>
      <c r="AB9" s="261"/>
    </row>
    <row r="10" spans="1:28" ht="16.5" thickBot="1">
      <c r="A10" s="111" t="s">
        <v>41</v>
      </c>
      <c r="B10" s="111"/>
      <c r="C10" s="75">
        <v>0</v>
      </c>
      <c r="D10" s="69" t="s">
        <v>33</v>
      </c>
      <c r="F10" s="111" t="s">
        <v>61</v>
      </c>
      <c r="G10" s="111"/>
      <c r="H10" s="83">
        <f>P8</f>
        <v>0</v>
      </c>
      <c r="I10" s="5"/>
      <c r="O10" s="16" t="s">
        <v>63</v>
      </c>
      <c r="P10" s="127">
        <f ca="1">'ACCA Primary Unit Rating'!P10</f>
        <v>44153</v>
      </c>
      <c r="T10" s="19"/>
      <c r="U10" s="22" t="s">
        <v>122</v>
      </c>
      <c r="V10" s="204">
        <v>0.5</v>
      </c>
      <c r="W10" s="23"/>
      <c r="X10" s="23"/>
      <c r="Y10" s="19"/>
      <c r="Z10" s="257" t="s">
        <v>137</v>
      </c>
      <c r="AA10" s="258"/>
      <c r="AB10" s="110" t="s">
        <v>138</v>
      </c>
    </row>
    <row r="11" spans="1:28" ht="16.5" thickBot="1">
      <c r="O11" s="17" t="s">
        <v>62</v>
      </c>
      <c r="P11" s="128">
        <f>'ACCA Primary Unit Rating'!P11</f>
        <v>0</v>
      </c>
      <c r="T11" s="262" t="s">
        <v>123</v>
      </c>
      <c r="U11" s="24" t="s">
        <v>124</v>
      </c>
      <c r="V11" s="25">
        <f>AA13</f>
        <v>0</v>
      </c>
      <c r="W11" s="23"/>
      <c r="X11" s="23"/>
      <c r="Y11" s="40" t="s">
        <v>139</v>
      </c>
      <c r="Z11" s="41"/>
      <c r="AA11" s="42">
        <f>Z11/12000</f>
        <v>0</v>
      </c>
      <c r="AB11" s="43">
        <f>IF(P5="single",AA11,AA11*2)</f>
        <v>0</v>
      </c>
    </row>
    <row r="12" spans="1:28" ht="19.5" thickBot="1">
      <c r="A12" s="250" t="s">
        <v>27</v>
      </c>
      <c r="B12" s="250"/>
      <c r="C12" s="250"/>
      <c r="D12" s="250"/>
      <c r="E12" s="250"/>
      <c r="F12" s="250"/>
      <c r="G12" s="250"/>
      <c r="H12" s="250"/>
      <c r="I12" s="250"/>
      <c r="J12" s="250"/>
      <c r="T12" s="263"/>
      <c r="U12" s="23" t="s">
        <v>125</v>
      </c>
      <c r="V12" s="26">
        <f>IF(Z17=0,AA13,AA19)</f>
        <v>0</v>
      </c>
      <c r="W12" s="23"/>
      <c r="X12" s="23"/>
      <c r="Y12" s="40" t="s">
        <v>140</v>
      </c>
      <c r="Z12" s="44"/>
      <c r="AA12" s="42">
        <f>Z12/12000</f>
        <v>0</v>
      </c>
      <c r="AB12" s="45">
        <f>IF(P5="single",AA12,AA12*2)</f>
        <v>0</v>
      </c>
    </row>
    <row r="13" spans="1:28" ht="16.5" thickBot="1">
      <c r="A13" s="111" t="s">
        <v>28</v>
      </c>
      <c r="B13" s="111"/>
      <c r="C13" s="66">
        <v>1</v>
      </c>
      <c r="D13" s="5"/>
      <c r="F13" s="111" t="s">
        <v>50</v>
      </c>
      <c r="G13" s="111"/>
      <c r="H13" s="76" t="e">
        <f>V21</f>
        <v>#DIV/0!</v>
      </c>
      <c r="I13" s="5" t="s">
        <v>49</v>
      </c>
      <c r="O13" s="249" t="s">
        <v>88</v>
      </c>
      <c r="P13" s="249"/>
      <c r="T13" s="263"/>
      <c r="U13" s="23" t="s">
        <v>126</v>
      </c>
      <c r="V13" s="26">
        <v>0</v>
      </c>
      <c r="W13" s="19"/>
      <c r="X13" s="19"/>
      <c r="Y13" s="19" t="s">
        <v>141</v>
      </c>
      <c r="Z13" s="46">
        <f>Z12-Z11</f>
        <v>0</v>
      </c>
      <c r="AA13" s="47">
        <f>Z13/3412</f>
        <v>0</v>
      </c>
      <c r="AB13" s="48">
        <f>IF(P5="Single",AA13,AA13*2)</f>
        <v>0</v>
      </c>
    </row>
    <row r="14" spans="1:28" ht="16.5" thickBot="1">
      <c r="A14" s="111" t="s">
        <v>48</v>
      </c>
      <c r="B14" s="111"/>
      <c r="C14" s="65">
        <f>V20</f>
        <v>0</v>
      </c>
      <c r="D14" s="5" t="s">
        <v>0</v>
      </c>
      <c r="F14" s="111" t="s">
        <v>51</v>
      </c>
      <c r="G14" s="111"/>
      <c r="H14" s="76" t="e">
        <f>C16/C14</f>
        <v>#DIV/0!</v>
      </c>
      <c r="I14" s="5" t="s">
        <v>49</v>
      </c>
      <c r="O14" s="15" t="s">
        <v>91</v>
      </c>
      <c r="P14" s="126"/>
      <c r="Q14" s="273" t="str">
        <f>'ACCA Primary Unit Rating'!Q14:R15</f>
        <v>Water</v>
      </c>
      <c r="R14" s="274"/>
      <c r="T14" s="264"/>
      <c r="U14" s="27" t="s">
        <v>127</v>
      </c>
      <c r="V14" s="28">
        <v>0</v>
      </c>
      <c r="W14" s="19"/>
      <c r="X14" s="19"/>
      <c r="Y14" s="19"/>
      <c r="Z14" s="19"/>
      <c r="AA14" s="19"/>
    </row>
    <row r="15" spans="1:28" ht="16.5" thickBot="1">
      <c r="A15" s="111" t="s">
        <v>29</v>
      </c>
      <c r="B15" s="111"/>
      <c r="C15" s="65">
        <f>V19</f>
        <v>0.5</v>
      </c>
      <c r="D15" s="5" t="s">
        <v>30</v>
      </c>
      <c r="F15" s="111" t="s">
        <v>394</v>
      </c>
      <c r="G15" s="111"/>
      <c r="H15" s="65" t="e">
        <f>V22</f>
        <v>#DIV/0!</v>
      </c>
      <c r="I15" s="5" t="s">
        <v>35</v>
      </c>
      <c r="O15" s="16" t="s">
        <v>92</v>
      </c>
      <c r="P15" s="127"/>
      <c r="Q15" s="275"/>
      <c r="R15" s="276"/>
      <c r="T15" s="262" t="s">
        <v>128</v>
      </c>
      <c r="U15" s="24" t="s">
        <v>124</v>
      </c>
      <c r="V15" s="26">
        <f t="array" ref="V15">INDEX('Look Up Tables'!$AM$5:$AP$22,MATCH($P$4&amp;$P$26&amp;$Q$29,'Look Up Tables'!$AJ$5:$AJ$22&amp;'Look Up Tables'!$AK$5:$AK$22&amp;'Look Up Tables'!$AL$5:$AL$22,0),1)</f>
        <v>0</v>
      </c>
      <c r="W15" s="19"/>
      <c r="X15" s="19"/>
      <c r="Y15" s="259" t="str">
        <f>"COMP SIZE 1 - "&amp;P28</f>
        <v xml:space="preserve">COMP SIZE 1 - </v>
      </c>
      <c r="Z15" s="260"/>
      <c r="AA15" s="260"/>
      <c r="AB15" s="261"/>
    </row>
    <row r="16" spans="1:28" ht="16.5" thickBot="1">
      <c r="A16" s="111" t="s">
        <v>31</v>
      </c>
      <c r="B16" s="111"/>
      <c r="C16" s="65">
        <f>SUM(V11:V14)</f>
        <v>0</v>
      </c>
      <c r="D16" s="5" t="s">
        <v>30</v>
      </c>
      <c r="F16" s="111"/>
      <c r="G16" s="111"/>
      <c r="H16" s="3"/>
      <c r="I16" s="5"/>
      <c r="O16" s="16" t="s">
        <v>89</v>
      </c>
      <c r="P16" s="127">
        <f>'ACCA Primary Unit Rating'!P16</f>
        <v>0</v>
      </c>
      <c r="T16" s="263"/>
      <c r="U16" s="23" t="s">
        <v>125</v>
      </c>
      <c r="V16" s="26">
        <f t="array" ref="V16">INDEX('Look Up Tables'!$AM$5:$AP$22,MATCH($P$4&amp;$P$26&amp;$Q$29,'Look Up Tables'!$AJ$5:$AJ$22&amp;'Look Up Tables'!$AK$5:$AK$22&amp;'Look Up Tables'!$AL$5:$AL$22,0),2)</f>
        <v>0</v>
      </c>
      <c r="W16" s="19"/>
      <c r="X16" s="19"/>
      <c r="Y16" s="19"/>
      <c r="Z16" s="257" t="s">
        <v>137</v>
      </c>
      <c r="AA16" s="258"/>
      <c r="AB16" s="110" t="s">
        <v>138</v>
      </c>
    </row>
    <row r="17" spans="1:28" ht="16.5" thickBot="1">
      <c r="A17" s="111" t="s">
        <v>32</v>
      </c>
      <c r="B17" s="111"/>
      <c r="C17" s="65">
        <f>SUM(V15:V18)</f>
        <v>0</v>
      </c>
      <c r="D17" s="5" t="s">
        <v>30</v>
      </c>
      <c r="F17" s="111"/>
      <c r="G17" s="111"/>
      <c r="H17" s="2"/>
      <c r="I17" s="5"/>
      <c r="O17" s="16" t="s">
        <v>90</v>
      </c>
      <c r="P17" s="127">
        <f>'ACCA Primary Unit Rating'!P17</f>
        <v>0</v>
      </c>
      <c r="T17" s="263"/>
      <c r="U17" s="23" t="s">
        <v>126</v>
      </c>
      <c r="V17" s="26">
        <f t="array" ref="V17">INDEX('Look Up Tables'!$AM$5:$AP$22,MATCH($P$4&amp;$P$26&amp;$Q$29,'Look Up Tables'!$AJ$5:$AJ$22&amp;'Look Up Tables'!$AK$5:$AK$22&amp;'Look Up Tables'!$AL$5:$AL$22,0),3)</f>
        <v>0</v>
      </c>
      <c r="W17" s="19"/>
      <c r="X17" s="19"/>
      <c r="Y17" s="40" t="s">
        <v>139</v>
      </c>
      <c r="Z17" s="41">
        <v>0</v>
      </c>
      <c r="AA17" s="42">
        <f>Z17/12000</f>
        <v>0</v>
      </c>
      <c r="AB17" s="43">
        <f>IF(P11="Single",AA17,AA17*2)</f>
        <v>0</v>
      </c>
    </row>
    <row r="18" spans="1:28" ht="16.5" thickBot="1">
      <c r="O18" s="17" t="s">
        <v>24</v>
      </c>
      <c r="P18" s="57">
        <f>'ACCA Primary Unit Rating'!P18</f>
        <v>32</v>
      </c>
      <c r="T18" s="264"/>
      <c r="U18" s="27" t="s">
        <v>127</v>
      </c>
      <c r="V18" s="28">
        <f t="array" ref="V18">INDEX('Look Up Tables'!$AM$5:$AP$22,MATCH($P$4&amp;$P$26&amp;$Q$29,'Look Up Tables'!$AJ$5:$AJ$22&amp;'Look Up Tables'!$AK$5:$AK$22&amp;'Look Up Tables'!$AL$5:$AL$22,0),4)</f>
        <v>0</v>
      </c>
      <c r="W18" s="19"/>
      <c r="X18" s="19"/>
      <c r="Y18" s="40" t="s">
        <v>140</v>
      </c>
      <c r="Z18" s="44">
        <v>0</v>
      </c>
      <c r="AA18" s="42">
        <f>Z18/12000</f>
        <v>0</v>
      </c>
      <c r="AB18" s="45">
        <f>IF(P11="single",AA18,AA18*2)</f>
        <v>0</v>
      </c>
    </row>
    <row r="19" spans="1:28" ht="19.5" thickBot="1">
      <c r="A19" s="250" t="s">
        <v>45</v>
      </c>
      <c r="B19" s="250"/>
      <c r="C19" s="250"/>
      <c r="D19" s="250"/>
      <c r="E19" s="250"/>
      <c r="F19" s="250"/>
      <c r="G19" s="250"/>
      <c r="H19" s="250"/>
      <c r="I19" s="250"/>
      <c r="J19" s="250"/>
      <c r="T19" s="19"/>
      <c r="U19" s="23"/>
      <c r="V19" s="32">
        <f>SUM(V10:V18)</f>
        <v>0.5</v>
      </c>
      <c r="W19" s="23" t="s">
        <v>30</v>
      </c>
      <c r="X19" s="23"/>
      <c r="Y19" s="19" t="s">
        <v>141</v>
      </c>
      <c r="Z19" s="46">
        <f>Z18-Z17</f>
        <v>0</v>
      </c>
      <c r="AA19" s="47">
        <f>Z19/3412</f>
        <v>0</v>
      </c>
      <c r="AB19" s="48">
        <f>IF(P11="single",AA19,AA19*2)</f>
        <v>0</v>
      </c>
    </row>
    <row r="20" spans="1:28" ht="18" thickBot="1">
      <c r="A20" s="111" t="s">
        <v>302</v>
      </c>
      <c r="B20" s="111"/>
      <c r="C20" s="18" t="str">
        <f>Q14</f>
        <v>Water</v>
      </c>
      <c r="D20" s="5"/>
      <c r="F20" s="111" t="s">
        <v>21</v>
      </c>
      <c r="G20" s="111"/>
      <c r="H20" s="84">
        <v>1E-4</v>
      </c>
      <c r="I20" s="7" t="s">
        <v>25</v>
      </c>
      <c r="O20" s="249" t="s">
        <v>95</v>
      </c>
      <c r="P20" s="249"/>
      <c r="T20" s="19"/>
      <c r="U20" s="23"/>
      <c r="V20" s="39">
        <f>IF(ISBLANK(P28)=TRUE,AB11,AA11+AA17)</f>
        <v>0</v>
      </c>
      <c r="W20" s="27" t="s">
        <v>129</v>
      </c>
      <c r="X20" s="38"/>
      <c r="Y20" s="38"/>
      <c r="Z20" s="38"/>
      <c r="AA20" s="38"/>
    </row>
    <row r="21" spans="1:28" ht="16.5" thickBot="1">
      <c r="A21" s="111" t="s">
        <v>443</v>
      </c>
      <c r="B21" s="111"/>
      <c r="C21" s="78">
        <f>V25</f>
        <v>0</v>
      </c>
      <c r="D21" s="5" t="s">
        <v>194</v>
      </c>
      <c r="F21" s="111" t="s">
        <v>22</v>
      </c>
      <c r="G21" s="111"/>
      <c r="H21" s="64">
        <f>V24</f>
        <v>0</v>
      </c>
      <c r="I21" s="6" t="s">
        <v>23</v>
      </c>
      <c r="O21" s="15" t="s">
        <v>15</v>
      </c>
      <c r="P21" s="126">
        <f>'ACCA Primary Unit Rating'!P21</f>
        <v>0</v>
      </c>
      <c r="T21" s="19"/>
      <c r="U21" s="23"/>
      <c r="V21" s="33" t="e">
        <f>V19/V20</f>
        <v>#DIV/0!</v>
      </c>
      <c r="W21" s="23" t="s">
        <v>130</v>
      </c>
      <c r="X21" s="23"/>
      <c r="Y21" s="23"/>
      <c r="Z21" s="23"/>
      <c r="AA21" s="23"/>
    </row>
    <row r="22" spans="1:28" ht="16.5" thickBot="1">
      <c r="A22" s="111" t="s">
        <v>303</v>
      </c>
      <c r="B22" s="111"/>
      <c r="C22" s="78">
        <f>P16</f>
        <v>0</v>
      </c>
      <c r="D22" s="5" t="s">
        <v>14</v>
      </c>
      <c r="F22" s="111" t="s">
        <v>22</v>
      </c>
      <c r="G22" s="111"/>
      <c r="H22" s="64">
        <f>H21*2.307</f>
        <v>0</v>
      </c>
      <c r="I22" s="6" t="s">
        <v>46</v>
      </c>
      <c r="O22" s="16" t="s">
        <v>16</v>
      </c>
      <c r="P22" s="127">
        <f>'ACCA Primary Unit Rating'!P22</f>
        <v>0</v>
      </c>
      <c r="T22" s="19"/>
      <c r="U22" s="23"/>
      <c r="V22" s="34" t="e">
        <f>12/V21</f>
        <v>#DIV/0!</v>
      </c>
      <c r="W22" s="35" t="s">
        <v>1</v>
      </c>
      <c r="X22" s="38"/>
      <c r="Y22" s="269" t="s">
        <v>349</v>
      </c>
      <c r="Z22" s="270"/>
      <c r="AA22" s="38"/>
    </row>
    <row r="23" spans="1:28" ht="16.5" thickBot="1">
      <c r="A23" s="111" t="s">
        <v>304</v>
      </c>
      <c r="B23" s="111"/>
      <c r="C23" s="78">
        <f>P17</f>
        <v>0</v>
      </c>
      <c r="D23" s="5" t="s">
        <v>14</v>
      </c>
      <c r="F23" s="111" t="s">
        <v>24</v>
      </c>
      <c r="G23" s="111"/>
      <c r="H23" s="78">
        <f>P18</f>
        <v>32</v>
      </c>
      <c r="I23" s="7" t="s">
        <v>14</v>
      </c>
      <c r="O23" s="17" t="s">
        <v>99</v>
      </c>
      <c r="P23" s="128">
        <f>'ACCA Primary Unit Rating'!P23</f>
        <v>0</v>
      </c>
      <c r="T23" s="19"/>
      <c r="U23" s="19"/>
      <c r="V23" s="19"/>
      <c r="W23" s="19"/>
      <c r="X23" s="19"/>
      <c r="Y23" s="175">
        <v>107.09</v>
      </c>
      <c r="Z23" s="176" t="s">
        <v>350</v>
      </c>
      <c r="AA23" s="19"/>
    </row>
    <row r="24" spans="1:28" ht="16.5" thickBot="1">
      <c r="A24" s="111" t="s">
        <v>305</v>
      </c>
      <c r="B24" s="111"/>
      <c r="C24" s="78">
        <f>V29</f>
        <v>0</v>
      </c>
      <c r="D24" s="5" t="s">
        <v>14</v>
      </c>
      <c r="F24" s="111"/>
      <c r="G24" s="111"/>
      <c r="H24" s="2"/>
      <c r="I24" s="7"/>
      <c r="T24" s="36"/>
      <c r="U24" s="19"/>
      <c r="V24" s="51">
        <f>Y29</f>
        <v>0</v>
      </c>
      <c r="W24" s="19" t="s">
        <v>131</v>
      </c>
      <c r="X24" s="19"/>
      <c r="Y24" s="177">
        <f>CONVERT(Y23,"Pa","psi")*2.3*12</f>
        <v>0.42868572080537559</v>
      </c>
      <c r="Z24" s="178" t="s">
        <v>351</v>
      </c>
      <c r="AA24" s="19"/>
    </row>
    <row r="25" spans="1:28" ht="15.75" thickBot="1">
      <c r="A25" s="111" t="s">
        <v>306</v>
      </c>
      <c r="B25" s="111"/>
      <c r="C25" s="78">
        <f>IF(ISBLANK(P28)=TRUE,V29,V35)</f>
        <v>0</v>
      </c>
      <c r="D25" s="5" t="s">
        <v>14</v>
      </c>
      <c r="O25" s="249" t="s">
        <v>13</v>
      </c>
      <c r="P25" s="249"/>
      <c r="T25" s="19"/>
      <c r="U25" s="19"/>
      <c r="V25" s="50">
        <f>Y31</f>
        <v>0</v>
      </c>
      <c r="W25" s="37" t="s">
        <v>132</v>
      </c>
      <c r="X25" s="37"/>
      <c r="Y25" s="37"/>
      <c r="Z25" s="37"/>
      <c r="AA25" s="37"/>
    </row>
    <row r="26" spans="1:28" ht="15.75" thickBot="1">
      <c r="A26" s="111"/>
      <c r="B26" s="111"/>
      <c r="C26" s="2"/>
      <c r="D26" s="5"/>
      <c r="O26" s="52" t="s">
        <v>11</v>
      </c>
      <c r="P26" s="137" t="str">
        <f>'ACCA Primary Unit Rating'!P26</f>
        <v>460/3/60</v>
      </c>
      <c r="Q26" s="1" t="s">
        <v>109</v>
      </c>
    </row>
    <row r="27" spans="1:28" ht="19.5" thickBot="1">
      <c r="A27" s="250" t="s">
        <v>26</v>
      </c>
      <c r="B27" s="250"/>
      <c r="C27" s="250"/>
      <c r="D27" s="250"/>
      <c r="E27" s="250"/>
      <c r="F27" s="250"/>
      <c r="G27" s="250"/>
      <c r="H27" s="250"/>
      <c r="I27" s="250"/>
      <c r="J27" s="250"/>
      <c r="O27" s="12" t="s">
        <v>2</v>
      </c>
      <c r="P27" s="54"/>
      <c r="Q27" s="134"/>
      <c r="Y27" s="271" t="s">
        <v>358</v>
      </c>
      <c r="Z27" s="272"/>
    </row>
    <row r="28" spans="1:28">
      <c r="A28" s="111" t="s">
        <v>15</v>
      </c>
      <c r="B28" s="111"/>
      <c r="C28" s="78">
        <f>P21</f>
        <v>0</v>
      </c>
      <c r="D28" s="5" t="s">
        <v>14</v>
      </c>
      <c r="F28" s="111" t="s">
        <v>380</v>
      </c>
      <c r="G28" s="111"/>
      <c r="H28" s="64">
        <f>V31</f>
        <v>0</v>
      </c>
      <c r="I28" s="5" t="s">
        <v>14</v>
      </c>
      <c r="O28" s="12" t="s">
        <v>3</v>
      </c>
      <c r="P28" s="54"/>
      <c r="Q28" s="135"/>
      <c r="U28" s="255" t="str">
        <f>"CRKT #1 - "&amp;P27</f>
        <v xml:space="preserve">CRKT #1 - </v>
      </c>
      <c r="V28" s="256"/>
      <c r="Y28" s="14"/>
      <c r="Z28" s="244" t="s">
        <v>440</v>
      </c>
    </row>
    <row r="29" spans="1:28" ht="15.75" thickBot="1">
      <c r="A29" s="111" t="s">
        <v>16</v>
      </c>
      <c r="B29" s="111"/>
      <c r="C29" s="78">
        <f>P22</f>
        <v>0</v>
      </c>
      <c r="D29" s="5" t="s">
        <v>14</v>
      </c>
      <c r="F29" s="111" t="s">
        <v>381</v>
      </c>
      <c r="G29" s="111"/>
      <c r="H29" s="64">
        <f>IF(ISBLANK(P28)=TRUE,V31,V37)</f>
        <v>0</v>
      </c>
      <c r="I29" s="5" t="s">
        <v>14</v>
      </c>
      <c r="O29" s="13" t="s">
        <v>111</v>
      </c>
      <c r="P29" s="71"/>
      <c r="Q29" s="136"/>
      <c r="U29" s="58" t="s">
        <v>133</v>
      </c>
      <c r="V29" s="59"/>
      <c r="Y29" s="13">
        <f>Y28*0.14503774</f>
        <v>0</v>
      </c>
      <c r="Z29" s="243" t="s">
        <v>23</v>
      </c>
    </row>
    <row r="30" spans="1:28">
      <c r="A30" s="111" t="s">
        <v>291</v>
      </c>
      <c r="B30" s="111"/>
      <c r="C30" s="78">
        <f>P23</f>
        <v>0</v>
      </c>
      <c r="D30" s="5" t="s">
        <v>14</v>
      </c>
      <c r="F30" s="111" t="s">
        <v>307</v>
      </c>
      <c r="G30" s="111"/>
      <c r="H30" s="64">
        <f>V30</f>
        <v>0</v>
      </c>
      <c r="I30" s="5" t="s">
        <v>14</v>
      </c>
      <c r="O30" s="14" t="s">
        <v>113</v>
      </c>
      <c r="P30" s="62">
        <f>IF(ISBLANK(P27)=TRUE,0,INDEX('Look Up Tables'!$M$5:$M$7,MATCH($P$26,'Look Up Tables'!$L$5:$L$7,0)))</f>
        <v>0</v>
      </c>
      <c r="U30" s="60" t="s">
        <v>135</v>
      </c>
      <c r="V30" s="59"/>
      <c r="Y30" s="12"/>
      <c r="Z30" s="242" t="s">
        <v>441</v>
      </c>
    </row>
    <row r="31" spans="1:28" ht="15.75" thickBot="1">
      <c r="A31" s="111" t="s">
        <v>47</v>
      </c>
      <c r="B31" s="111"/>
      <c r="C31" s="90">
        <f>IF(ISBLANK(P28)=TRUE,(AB12*12000)/1000,(((AA12+AA18)*12000))/1000)</f>
        <v>0</v>
      </c>
      <c r="D31" s="5" t="s">
        <v>142</v>
      </c>
      <c r="F31" s="111" t="s">
        <v>308</v>
      </c>
      <c r="G31" s="111"/>
      <c r="H31" s="64">
        <f>IF(ISBLANK(P28)=TRUE,V30,V36)</f>
        <v>0</v>
      </c>
      <c r="I31" s="5" t="s">
        <v>14</v>
      </c>
      <c r="O31" s="12" t="s">
        <v>114</v>
      </c>
      <c r="P31" s="55">
        <f>IF(ISBLANK(P28)=TRUE,0,INDEX('Look Up Tables'!$M$5:$M$7,MATCH($P$26,'Look Up Tables'!$L$5:$L$7,0)))</f>
        <v>0</v>
      </c>
      <c r="U31" s="12" t="s">
        <v>134</v>
      </c>
      <c r="V31" s="59"/>
      <c r="Y31" s="13">
        <f>Y30/500.72</f>
        <v>0</v>
      </c>
      <c r="Z31" s="243" t="s">
        <v>442</v>
      </c>
    </row>
    <row r="32" spans="1:28" ht="15.75" thickBot="1">
      <c r="O32" s="202" t="s">
        <v>115</v>
      </c>
      <c r="P32" s="55">
        <f>IF(ISBLANK(Q29)=TRUE,0,INDEX('Look Up Tables'!$M$5:$M$7,MATCH($P$26,'Look Up Tables'!$L$5:$L$7,0)))</f>
        <v>0</v>
      </c>
      <c r="U32" s="13" t="s">
        <v>136</v>
      </c>
      <c r="V32" s="212">
        <f>V30-10</f>
        <v>-10</v>
      </c>
    </row>
    <row r="33" spans="1:25" ht="19.5" thickBot="1">
      <c r="A33" s="250" t="s">
        <v>13</v>
      </c>
      <c r="B33" s="250"/>
      <c r="C33" s="250"/>
      <c r="D33" s="250"/>
      <c r="E33" s="250"/>
      <c r="F33" s="250"/>
      <c r="G33" s="250"/>
      <c r="H33" s="250"/>
      <c r="I33" s="250"/>
      <c r="J33" s="250"/>
      <c r="O33" s="202" t="s">
        <v>117</v>
      </c>
      <c r="P33" s="199">
        <f>IF(ISBLANK(P27),0,INDEX('Look Up Tables'!$G$5:$G$47,MATCH(P27,'Look Up Tables'!$B$5:$B$47,0)))</f>
        <v>0</v>
      </c>
    </row>
    <row r="34" spans="1:25">
      <c r="A34" s="111" t="s">
        <v>294</v>
      </c>
      <c r="B34" s="111"/>
      <c r="C34" s="18" t="str">
        <f>P26</f>
        <v>460/3/60</v>
      </c>
      <c r="D34" s="1" t="s">
        <v>180</v>
      </c>
      <c r="F34" s="253" t="s">
        <v>293</v>
      </c>
      <c r="G34" s="253"/>
      <c r="H34" s="78">
        <f>P41</f>
        <v>5</v>
      </c>
      <c r="I34" s="1" t="s">
        <v>178</v>
      </c>
      <c r="O34" s="232" t="s">
        <v>118</v>
      </c>
      <c r="P34" s="233">
        <f>IF(ISBLANK(P28),0,INDEX('Look Up Tables'!$G$5:$G$47,MATCH(P28,'Look Up Tables'!$B$5:$B$47,0)))</f>
        <v>0</v>
      </c>
      <c r="U34" s="255" t="str">
        <f>"CRKT #2 - "&amp;P28</f>
        <v xml:space="preserve">CRKT #2 - </v>
      </c>
      <c r="V34" s="256"/>
    </row>
    <row r="35" spans="1:25" ht="15.75" thickBot="1">
      <c r="A35" s="253" t="s">
        <v>295</v>
      </c>
      <c r="B35" s="253"/>
      <c r="C35" s="18">
        <f>P30*0.9</f>
        <v>0</v>
      </c>
      <c r="D35" s="1" t="s">
        <v>176</v>
      </c>
      <c r="F35" s="111" t="s">
        <v>309</v>
      </c>
      <c r="G35" s="111"/>
      <c r="H35" s="64">
        <f>P39</f>
        <v>0</v>
      </c>
      <c r="I35" s="1" t="s">
        <v>179</v>
      </c>
      <c r="O35" s="234" t="s">
        <v>437</v>
      </c>
      <c r="P35" s="235">
        <f>IF(ISBLANK(Q29),0,5.17)</f>
        <v>0</v>
      </c>
      <c r="U35" s="58" t="s">
        <v>133</v>
      </c>
      <c r="V35" s="59"/>
    </row>
    <row r="36" spans="1:25">
      <c r="A36" s="253" t="s">
        <v>298</v>
      </c>
      <c r="B36" s="253"/>
      <c r="C36" s="18">
        <f>P30*1.1</f>
        <v>0</v>
      </c>
      <c r="D36" s="1" t="s">
        <v>176</v>
      </c>
      <c r="F36" s="111" t="s">
        <v>310</v>
      </c>
      <c r="G36" s="111"/>
      <c r="H36" s="64">
        <f>P40</f>
        <v>0</v>
      </c>
      <c r="I36" s="1" t="s">
        <v>179</v>
      </c>
      <c r="O36" s="113"/>
      <c r="P36" s="113"/>
      <c r="U36" s="60" t="s">
        <v>135</v>
      </c>
      <c r="V36" s="59"/>
    </row>
    <row r="37" spans="1:25" ht="15.75" thickBot="1">
      <c r="O37" s="113"/>
      <c r="P37" s="113"/>
      <c r="U37" s="12" t="s">
        <v>134</v>
      </c>
      <c r="V37" s="59"/>
    </row>
    <row r="38" spans="1:25" ht="15.75" thickBot="1">
      <c r="C38" s="4" t="s">
        <v>36</v>
      </c>
      <c r="D38" s="4" t="s">
        <v>4</v>
      </c>
      <c r="E38" s="4" t="s">
        <v>5</v>
      </c>
      <c r="F38" s="4" t="s">
        <v>6</v>
      </c>
      <c r="G38" s="4" t="s">
        <v>7</v>
      </c>
      <c r="H38" s="4" t="s">
        <v>8</v>
      </c>
      <c r="I38" s="4" t="s">
        <v>9</v>
      </c>
      <c r="J38" s="4" t="s">
        <v>10</v>
      </c>
      <c r="O38" s="230" t="s">
        <v>438</v>
      </c>
      <c r="P38" s="231">
        <f>IF(ISBLANK(P27),0,2.25*MAX(P33,P34,P35)+(SUM(P33*Q27,P34*Q28,P35*Q29)-MAX(P33,P34,P35)))</f>
        <v>0</v>
      </c>
      <c r="U38" s="13" t="s">
        <v>136</v>
      </c>
      <c r="V38" s="212">
        <f>V36-10</f>
        <v>-10</v>
      </c>
    </row>
    <row r="39" spans="1:25">
      <c r="A39" s="111" t="s">
        <v>297</v>
      </c>
      <c r="B39" s="111"/>
      <c r="C39" s="18" t="str">
        <f>IF(ISBLANK(P27)," ",INDEX('Look Up Tables'!C5:C47,MATCH(P27,'Look Up Tables'!B5:B47,0)))</f>
        <v xml:space="preserve"> </v>
      </c>
      <c r="D39" s="18" t="str">
        <f>IF(ISBLANK(P27)," ",Q27)</f>
        <v xml:space="preserve"> </v>
      </c>
      <c r="E39" s="18"/>
      <c r="F39" s="18" t="str">
        <f>IF(ISBLANK(Q27),"",P30)</f>
        <v/>
      </c>
      <c r="G39" s="18" t="str">
        <f>IF(ISBLANK(P27)," ",3)</f>
        <v xml:space="preserve"> </v>
      </c>
      <c r="H39" s="18"/>
      <c r="I39" s="18"/>
      <c r="J39" s="63" t="str">
        <f>IF(ISBLANK(Q27),"",P33)</f>
        <v/>
      </c>
      <c r="O39" s="229" t="s">
        <v>143</v>
      </c>
      <c r="P39" s="55">
        <f>IF(ISBLANK(P27),0,INDEX('Look Up Tables'!$AR$8:$AR$45,MATCH(LARGE('Look Up Tables'!$AR$8:$AR$45,COUNTIF('Look Up Tables'!$AR$8:$AR$45,"&gt; "&amp;P38)+1),'Look Up Tables'!$AR$8:$AR$45,0)))</f>
        <v>0</v>
      </c>
    </row>
    <row r="40" spans="1:25">
      <c r="A40" s="111" t="s">
        <v>300</v>
      </c>
      <c r="B40" s="111"/>
      <c r="C40" s="18" t="str">
        <f>IF(ISBLANK(P28)," ",INDEX('Look Up Tables'!C5:C47,MATCH(P28,'Look Up Tables'!B5:B47,0)))</f>
        <v xml:space="preserve"> </v>
      </c>
      <c r="D40" s="18" t="str">
        <f>IF(ISBLANK(Q28)," ",Q28)</f>
        <v xml:space="preserve"> </v>
      </c>
      <c r="E40" s="18"/>
      <c r="F40" s="18" t="str">
        <f t="shared" ref="F40:F41" si="0">IF(ISBLANK(Q28),"",P31)</f>
        <v/>
      </c>
      <c r="G40" s="18" t="str">
        <f>IF(ISBLANK(P28)," ",3)</f>
        <v xml:space="preserve"> </v>
      </c>
      <c r="H40" s="18"/>
      <c r="I40" s="18"/>
      <c r="J40" s="63" t="str">
        <f>IF(ISBLANK(Q28),"",P34)</f>
        <v/>
      </c>
      <c r="O40" s="12" t="s">
        <v>144</v>
      </c>
      <c r="P40" s="56">
        <f>IF(ISBLANK(P27),0,1.25*MAX(P33,P34,P35)+(SUM(P33*Q27,P34*Q28,P35*Q29)-MAX(P33,P34,P35)))</f>
        <v>0</v>
      </c>
    </row>
    <row r="41" spans="1:25">
      <c r="A41" s="111" t="s">
        <v>301</v>
      </c>
      <c r="B41" s="111"/>
      <c r="C41" s="18" t="str">
        <f>IF(ISBLANK(Q29),"",P29)</f>
        <v/>
      </c>
      <c r="D41" s="18" t="str">
        <f>IF(ISBLANK(Q29),"",Q29)</f>
        <v/>
      </c>
      <c r="E41" s="64" t="str">
        <f>IF(ISBLANK(Q29),"",(C17*1.341)/D41)</f>
        <v/>
      </c>
      <c r="F41" s="18" t="str">
        <f t="shared" si="0"/>
        <v/>
      </c>
      <c r="G41" s="18" t="str">
        <f>IF(ISBLANK(Q29),"",3)</f>
        <v/>
      </c>
      <c r="H41" s="18" t="str">
        <f>IF(ISBLANK(Q29),"",P42)</f>
        <v/>
      </c>
      <c r="I41" s="18" t="str">
        <f>IF(ISBLANK(Q29),"",5.17)</f>
        <v/>
      </c>
      <c r="J41" s="18"/>
      <c r="O41" s="12" t="s">
        <v>177</v>
      </c>
      <c r="P41" s="56">
        <f>'ACCA Primary Unit Rating'!P41</f>
        <v>5</v>
      </c>
    </row>
    <row r="42" spans="1:25" ht="15.75" thickBot="1">
      <c r="O42" s="13" t="s">
        <v>145</v>
      </c>
      <c r="P42" s="133">
        <f>'ACCA Primary Unit Rating'!P42</f>
        <v>1160</v>
      </c>
      <c r="Y42" s="19"/>
    </row>
    <row r="43" spans="1:25" ht="18.75">
      <c r="A43" s="250" t="s">
        <v>56</v>
      </c>
      <c r="B43" s="250"/>
      <c r="C43" s="250"/>
      <c r="D43" s="250"/>
      <c r="E43" s="250"/>
      <c r="F43" s="250"/>
      <c r="G43" s="250"/>
      <c r="H43" s="250"/>
      <c r="I43" s="250"/>
      <c r="J43" s="250"/>
      <c r="Y43" s="19"/>
    </row>
    <row r="44" spans="1:25" ht="15.75" thickBot="1">
      <c r="A44" s="111" t="s">
        <v>311</v>
      </c>
      <c r="B44" s="111"/>
      <c r="C44" s="75" t="str">
        <f>P45</f>
        <v>Brazed Plate</v>
      </c>
      <c r="D44" s="8"/>
      <c r="F44" s="111" t="s">
        <v>52</v>
      </c>
      <c r="G44" s="111"/>
      <c r="H44" s="78">
        <f>P46</f>
        <v>86.375</v>
      </c>
      <c r="I44" s="1" t="s">
        <v>54</v>
      </c>
      <c r="O44" s="109" t="s">
        <v>56</v>
      </c>
      <c r="P44" s="109"/>
      <c r="Y44" s="19"/>
    </row>
    <row r="45" spans="1:25">
      <c r="A45" s="111" t="s">
        <v>312</v>
      </c>
      <c r="B45" s="111"/>
      <c r="C45" s="75" t="s">
        <v>356</v>
      </c>
      <c r="F45" s="111" t="s">
        <v>53</v>
      </c>
      <c r="G45" s="111"/>
      <c r="H45" s="78">
        <f>P47</f>
        <v>39.375</v>
      </c>
      <c r="I45" s="1" t="s">
        <v>54</v>
      </c>
      <c r="O45" s="15" t="s">
        <v>146</v>
      </c>
      <c r="P45" s="62" t="str">
        <f>'ACCA Primary Unit Rating'!P45</f>
        <v>Brazed Plate</v>
      </c>
      <c r="Y45" s="19"/>
    </row>
    <row r="46" spans="1:25">
      <c r="A46" s="111" t="s">
        <v>313</v>
      </c>
      <c r="B46" s="111"/>
      <c r="C46" s="75" t="str">
        <f>IF(P29="AKFD 800","Fixed-Speed","Variable Speed")</f>
        <v>Variable Speed</v>
      </c>
      <c r="F46" s="111" t="s">
        <v>55</v>
      </c>
      <c r="G46" s="111"/>
      <c r="H46" s="78">
        <f>P48</f>
        <v>86.5</v>
      </c>
      <c r="I46" s="1" t="s">
        <v>54</v>
      </c>
      <c r="O46" s="16" t="s">
        <v>52</v>
      </c>
      <c r="P46" s="122">
        <f>INDEX('Look Up Tables'!$W$5:$W$7,MATCH(P4,'Look Up Tables'!$V$5:$V$7,0))</f>
        <v>86.375</v>
      </c>
    </row>
    <row r="47" spans="1:25">
      <c r="A47" s="111" t="s">
        <v>44</v>
      </c>
      <c r="B47" s="111"/>
      <c r="C47" s="75" t="s">
        <v>43</v>
      </c>
      <c r="O47" s="16" t="s">
        <v>53</v>
      </c>
      <c r="P47" s="122">
        <f>INDEX('Look Up Tables'!$X$5:$X$7,MATCH(P4,'Look Up Tables'!$V$5:$V$7,0))</f>
        <v>39.375</v>
      </c>
    </row>
    <row r="48" spans="1:25" ht="15.75" thickBot="1">
      <c r="O48" s="17" t="s">
        <v>55</v>
      </c>
      <c r="P48" s="115">
        <f>INDEX('Look Up Tables'!$Y$5:$Y$7,MATCH(P4,'Look Up Tables'!$V$5:$V$7,0))</f>
        <v>86.5</v>
      </c>
    </row>
    <row r="49" spans="1:10" ht="15" customHeight="1"/>
    <row r="50" spans="1:10" ht="15" customHeight="1">
      <c r="G50" s="251" t="s">
        <v>175</v>
      </c>
      <c r="H50" s="251"/>
      <c r="I50" s="251"/>
      <c r="J50" s="251"/>
    </row>
    <row r="51" spans="1:10" ht="15" customHeight="1" thickBot="1">
      <c r="A51" s="85"/>
      <c r="B51" s="85"/>
      <c r="C51" s="85"/>
      <c r="D51" s="85"/>
      <c r="E51" s="85"/>
      <c r="F51" s="85"/>
      <c r="G51" s="252"/>
      <c r="H51" s="252"/>
      <c r="I51" s="252"/>
      <c r="J51" s="252"/>
    </row>
    <row r="52" spans="1:10" ht="15.75" thickTop="1"/>
  </sheetData>
  <mergeCells count="28">
    <mergeCell ref="A7:J7"/>
    <mergeCell ref="G1:J2"/>
    <mergeCell ref="A4:J4"/>
    <mergeCell ref="A5:J5"/>
    <mergeCell ref="O6:P6"/>
    <mergeCell ref="A19:J19"/>
    <mergeCell ref="O20:P20"/>
    <mergeCell ref="O25:P25"/>
    <mergeCell ref="A27:J27"/>
    <mergeCell ref="Y9:AB9"/>
    <mergeCell ref="Z10:AA10"/>
    <mergeCell ref="T11:T14"/>
    <mergeCell ref="A12:J12"/>
    <mergeCell ref="O13:P13"/>
    <mergeCell ref="Q14:R15"/>
    <mergeCell ref="T15:T18"/>
    <mergeCell ref="Y15:AB15"/>
    <mergeCell ref="Z16:AA16"/>
    <mergeCell ref="Y22:Z22"/>
    <mergeCell ref="Y27:Z27"/>
    <mergeCell ref="U28:V28"/>
    <mergeCell ref="A33:J33"/>
    <mergeCell ref="G50:J51"/>
    <mergeCell ref="F34:G34"/>
    <mergeCell ref="U34:V34"/>
    <mergeCell ref="A35:B35"/>
    <mergeCell ref="A36:B36"/>
    <mergeCell ref="A43:J43"/>
  </mergeCells>
  <conditionalFormatting sqref="C22:C23">
    <cfRule type="cellIs" dxfId="96" priority="16" operator="equal">
      <formula>0</formula>
    </cfRule>
  </conditionalFormatting>
  <conditionalFormatting sqref="H23">
    <cfRule type="cellIs" dxfId="95" priority="15" operator="equal">
      <formula>0</formula>
    </cfRule>
  </conditionalFormatting>
  <conditionalFormatting sqref="C28:C29">
    <cfRule type="cellIs" dxfId="94" priority="14" operator="equal">
      <formula>0</formula>
    </cfRule>
  </conditionalFormatting>
  <conditionalFormatting sqref="H30:H31">
    <cfRule type="cellIs" dxfId="93" priority="13" operator="equal">
      <formula>0</formula>
    </cfRule>
  </conditionalFormatting>
  <conditionalFormatting sqref="H35:H36">
    <cfRule type="cellIs" dxfId="92" priority="12" operator="equal">
      <formula>0</formula>
    </cfRule>
  </conditionalFormatting>
  <conditionalFormatting sqref="C24:C25">
    <cfRule type="cellIs" dxfId="91" priority="10" operator="equal">
      <formula>0</formula>
    </cfRule>
  </conditionalFormatting>
  <conditionalFormatting sqref="H21">
    <cfRule type="cellIs" dxfId="90" priority="9" operator="equal">
      <formula>0</formula>
    </cfRule>
  </conditionalFormatting>
  <conditionalFormatting sqref="C21">
    <cfRule type="cellIs" dxfId="89" priority="8" operator="equal">
      <formula>0</formula>
    </cfRule>
  </conditionalFormatting>
  <conditionalFormatting sqref="C14 C16:C17">
    <cfRule type="cellIs" dxfId="88" priority="7" operator="equal">
      <formula>0</formula>
    </cfRule>
  </conditionalFormatting>
  <conditionalFormatting sqref="A5">
    <cfRule type="cellIs" dxfId="87" priority="6" operator="equal">
      <formula>0</formula>
    </cfRule>
  </conditionalFormatting>
  <conditionalFormatting sqref="C31">
    <cfRule type="cellIs" dxfId="86" priority="5" operator="equal">
      <formula>0</formula>
    </cfRule>
  </conditionalFormatting>
  <conditionalFormatting sqref="C9 H9:H10">
    <cfRule type="cellIs" dxfId="85" priority="4" operator="equal">
      <formula>0</formula>
    </cfRule>
  </conditionalFormatting>
  <conditionalFormatting sqref="H28:H29">
    <cfRule type="cellIs" dxfId="84" priority="2" operator="equal">
      <formula>0</formula>
    </cfRule>
  </conditionalFormatting>
  <conditionalFormatting sqref="H41">
    <cfRule type="cellIs" dxfId="83" priority="1" operator="equal">
      <formula>0</formula>
    </cfRule>
  </conditionalFormatting>
  <dataValidations count="1">
    <dataValidation type="list" allowBlank="1" showInputMessage="1" showErrorMessage="1" sqref="P14:P15">
      <formula1>#REF!</formula1>
    </dataValidation>
  </dataValidations>
  <printOptions horizontalCentered="1"/>
  <pageMargins left="0.7" right="0.7" top="0.75" bottom="0.75" header="0.3" footer="0.3"/>
  <pageSetup scale="82" orientation="portrait" r:id="rId1"/>
  <headerFooter>
    <oddFooter>&amp;Lwww.JetsonHVAC.com&amp;RPage &amp;P of &amp;N</oddFooter>
  </headerFooter>
  <drawing r:id="rId2"/>
  <legacyDrawing r:id="rId3"/>
  <oleObjects>
    <mc:AlternateContent xmlns:mc="http://schemas.openxmlformats.org/markup-compatibility/2006">
      <mc:Choice Requires="x14">
        <oleObject progId="AcroExch.Document.7" shapeId="3073" r:id="rId4">
          <objectPr defaultSize="0" autoPict="0" r:id="rId5">
            <anchor moveWithCells="1">
              <from>
                <xdr:col>31</xdr:col>
                <xdr:colOff>409575</xdr:colOff>
                <xdr:row>49</xdr:row>
                <xdr:rowOff>66675</xdr:rowOff>
              </from>
              <to>
                <xdr:col>41</xdr:col>
                <xdr:colOff>314325</xdr:colOff>
                <xdr:row>96</xdr:row>
                <xdr:rowOff>104775</xdr:rowOff>
              </to>
            </anchor>
          </objectPr>
        </oleObject>
      </mc:Choice>
      <mc:Fallback>
        <oleObject progId="AcroExch.Document.7" shapeId="3073" r:id="rId4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'Look Up Tables'!$Q$5:$Q$9</xm:f>
          </x14:formula1>
          <xm:sqref>Q29</xm:sqref>
        </x14:dataValidation>
        <x14:dataValidation type="list" allowBlank="1" showInputMessage="1" showErrorMessage="1">
          <x14:formula1>
            <xm:f>'Look Up Tables'!$P$5:$P$15</xm:f>
          </x14:formula1>
          <xm:sqref>Q27:Q28</xm:sqref>
        </x14:dataValidation>
        <x14:dataValidation type="list" allowBlank="1" showInputMessage="1" showErrorMessage="1">
          <x14:formula1>
            <xm:f>'Look Up Tables'!$B$5:$B$47</xm:f>
          </x14:formula1>
          <xm:sqref>P27:P28</xm:sqref>
        </x14:dataValidation>
        <x14:dataValidation type="list" allowBlank="1" showInputMessage="1" showErrorMessage="1">
          <x14:formula1>
            <xm:f>'Look Up Tables'!$Z$5:$Z$7</xm:f>
          </x14:formula1>
          <xm:sqref>P29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41"/>
  <sheetViews>
    <sheetView tabSelected="1" zoomScale="85" zoomScaleNormal="85" zoomScaleSheetLayoutView="115" workbookViewId="0"/>
  </sheetViews>
  <sheetFormatPr defaultColWidth="8.85546875" defaultRowHeight="15"/>
  <cols>
    <col min="1" max="1" width="15.85546875" style="1" customWidth="1"/>
    <col min="2" max="2" width="11.42578125" style="1" customWidth="1"/>
    <col min="3" max="4" width="11" style="1" customWidth="1"/>
    <col min="5" max="5" width="8.140625" style="1" customWidth="1"/>
    <col min="6" max="6" width="11" style="1" customWidth="1"/>
    <col min="7" max="7" width="12.140625" style="1" customWidth="1"/>
    <col min="8" max="10" width="11" style="1" customWidth="1"/>
    <col min="15" max="16" width="22" customWidth="1"/>
    <col min="18" max="18" width="15" bestFit="1" customWidth="1"/>
    <col min="19" max="19" width="17.7109375" bestFit="1" customWidth="1"/>
  </cols>
  <sheetData>
    <row r="1" spans="1:45">
      <c r="G1" s="251" t="s">
        <v>263</v>
      </c>
      <c r="H1" s="251"/>
      <c r="I1" s="251"/>
      <c r="J1" s="251"/>
    </row>
    <row r="2" spans="1:45" ht="15.75" thickBot="1">
      <c r="A2" s="85"/>
      <c r="B2" s="85"/>
      <c r="C2" s="85"/>
      <c r="D2" s="85"/>
      <c r="E2" s="85"/>
      <c r="F2" s="85"/>
      <c r="G2" s="252"/>
      <c r="H2" s="252"/>
      <c r="I2" s="252"/>
      <c r="J2" s="252"/>
    </row>
    <row r="3" spans="1:45" ht="15.75" thickTop="1">
      <c r="G3" s="86" t="s">
        <v>173</v>
      </c>
      <c r="H3" s="87">
        <v>1.2</v>
      </c>
      <c r="I3" s="86" t="s">
        <v>174</v>
      </c>
      <c r="J3" s="87">
        <v>7854991</v>
      </c>
    </row>
    <row r="4" spans="1:45" ht="18.75">
      <c r="A4" s="250" t="s">
        <v>39</v>
      </c>
      <c r="B4" s="250"/>
      <c r="C4" s="250"/>
      <c r="D4" s="250"/>
      <c r="E4" s="250"/>
      <c r="F4" s="250"/>
      <c r="G4" s="250"/>
      <c r="H4" s="250"/>
      <c r="I4" s="250"/>
      <c r="J4" s="250"/>
    </row>
    <row r="5" spans="1:45">
      <c r="A5" s="117" t="s">
        <v>288</v>
      </c>
      <c r="B5" s="117"/>
      <c r="C5" s="68" t="s">
        <v>59</v>
      </c>
      <c r="D5" s="69"/>
      <c r="F5" s="117" t="s">
        <v>60</v>
      </c>
      <c r="G5" s="117"/>
      <c r="H5" s="117">
        <f>'FWCD Primary Unit Rating'!H8</f>
        <v>0</v>
      </c>
      <c r="I5" s="5"/>
    </row>
    <row r="6" spans="1:45">
      <c r="A6" s="117" t="s">
        <v>40</v>
      </c>
      <c r="B6" s="117"/>
      <c r="C6" s="75">
        <f>'FWCD Primary Unit Rating'!P9</f>
        <v>0</v>
      </c>
      <c r="D6" s="75"/>
      <c r="F6" s="117" t="s">
        <v>61</v>
      </c>
      <c r="G6" s="117"/>
      <c r="H6" s="67">
        <f>'FWCD Primary Unit Rating'!H9</f>
        <v>0</v>
      </c>
      <c r="I6" s="5"/>
    </row>
    <row r="7" spans="1:45" ht="15.75" thickBot="1">
      <c r="A7" s="117" t="s">
        <v>42</v>
      </c>
      <c r="B7" s="117"/>
      <c r="C7" s="92">
        <f ca="1">'FWCD Primary Unit Rating'!C10</f>
        <v>44153</v>
      </c>
      <c r="D7" s="69"/>
      <c r="I7" s="5"/>
      <c r="O7" s="249" t="s">
        <v>162</v>
      </c>
      <c r="P7" s="249"/>
    </row>
    <row r="8" spans="1:45" ht="18.75">
      <c r="O8" s="15" t="s">
        <v>157</v>
      </c>
      <c r="P8" s="126" t="str">
        <f>IF(ISBLANK(P10),"None",'FWCD Primary Unit Rating'!A5)</f>
        <v>None</v>
      </c>
      <c r="S8" s="112"/>
      <c r="T8" s="112"/>
      <c r="U8" s="112"/>
      <c r="V8" s="112"/>
      <c r="W8" s="112"/>
      <c r="X8" s="112"/>
      <c r="Y8" s="112"/>
      <c r="Z8" s="112"/>
      <c r="AA8" s="112"/>
    </row>
    <row r="9" spans="1:45" ht="18.75">
      <c r="A9" s="250" t="s">
        <v>162</v>
      </c>
      <c r="B9" s="250"/>
      <c r="C9" s="250"/>
      <c r="D9" s="250"/>
      <c r="E9" s="250"/>
      <c r="F9" s="250"/>
      <c r="G9" s="250"/>
      <c r="H9" s="250"/>
      <c r="I9" s="250"/>
      <c r="J9" s="250"/>
      <c r="O9" s="16" t="s">
        <v>163</v>
      </c>
      <c r="P9" s="198">
        <f>IF(ISBLANK(P10),0,'FWCD Primary Unit Rating'!C14)</f>
        <v>0</v>
      </c>
      <c r="S9" s="6"/>
      <c r="T9" s="6"/>
      <c r="U9" s="6"/>
      <c r="V9" s="6"/>
      <c r="W9" s="6"/>
      <c r="X9" s="6"/>
      <c r="Y9" s="6"/>
      <c r="Z9" s="1"/>
      <c r="AA9" s="1"/>
    </row>
    <row r="10" spans="1:45" ht="15.75" thickBot="1">
      <c r="A10" s="117" t="s">
        <v>317</v>
      </c>
      <c r="C10" s="117" t="str">
        <f t="shared" ref="C10:C15" si="0">P8</f>
        <v>None</v>
      </c>
      <c r="F10" s="117" t="s">
        <v>314</v>
      </c>
      <c r="G10" s="117"/>
      <c r="H10" s="82">
        <f>C11*C12+C14*C15</f>
        <v>0</v>
      </c>
      <c r="I10" s="5" t="s">
        <v>0</v>
      </c>
      <c r="O10" s="16" t="s">
        <v>164</v>
      </c>
      <c r="P10" s="11"/>
      <c r="S10" s="117"/>
      <c r="T10" s="1"/>
      <c r="U10" s="1"/>
      <c r="V10" s="1"/>
      <c r="W10" s="1"/>
      <c r="X10" s="117"/>
      <c r="Y10" s="1"/>
      <c r="Z10" s="1"/>
      <c r="AA10" s="1"/>
    </row>
    <row r="11" spans="1:45" ht="15.75" thickBot="1">
      <c r="A11" s="117" t="s">
        <v>315</v>
      </c>
      <c r="B11" s="117"/>
      <c r="C11" s="70">
        <f t="shared" si="0"/>
        <v>0</v>
      </c>
      <c r="D11" s="5" t="s">
        <v>0</v>
      </c>
      <c r="F11" s="117" t="s">
        <v>316</v>
      </c>
      <c r="H11" s="90">
        <f>S23*P10+S24*P13</f>
        <v>0</v>
      </c>
      <c r="I11" s="5" t="s">
        <v>142</v>
      </c>
      <c r="O11" s="15" t="s">
        <v>155</v>
      </c>
      <c r="P11" s="126" t="str">
        <f>IF(ISBLANK(P13),"None",'FWCD Secondary Unit Rating '!A5)</f>
        <v>None</v>
      </c>
      <c r="R11" s="249" t="s">
        <v>271</v>
      </c>
      <c r="S11" s="249"/>
      <c r="T11" s="1"/>
      <c r="U11" s="1"/>
      <c r="V11" s="1"/>
      <c r="W11" s="1"/>
      <c r="X11" s="117"/>
      <c r="Y11" s="1"/>
      <c r="Z11" s="1"/>
      <c r="AA11" s="1"/>
    </row>
    <row r="12" spans="1:45">
      <c r="A12" s="117" t="s">
        <v>317</v>
      </c>
      <c r="B12" s="117"/>
      <c r="C12" s="79">
        <f t="shared" si="0"/>
        <v>0</v>
      </c>
      <c r="D12" s="5" t="s">
        <v>109</v>
      </c>
      <c r="F12" s="117" t="s">
        <v>318</v>
      </c>
      <c r="G12" s="117"/>
      <c r="H12" s="82">
        <f>P15*P10+P16*P13</f>
        <v>0</v>
      </c>
      <c r="I12" s="5" t="s">
        <v>30</v>
      </c>
      <c r="O12" s="16" t="s">
        <v>163</v>
      </c>
      <c r="P12" s="198">
        <f>IF(ISBLANK(P13),0,'FWCD Secondary Unit Rating '!C14)</f>
        <v>0</v>
      </c>
      <c r="R12" s="15" t="s">
        <v>272</v>
      </c>
      <c r="S12" s="114">
        <f>MAX('FWCD Primary Unit Rating'!H20,'FWCD Secondary Unit Rating '!H20)</f>
        <v>0</v>
      </c>
      <c r="T12" s="1"/>
      <c r="U12" s="1"/>
      <c r="V12" s="1"/>
      <c r="W12" s="1"/>
      <c r="X12" s="117"/>
      <c r="Y12" s="1"/>
      <c r="Z12" s="1"/>
      <c r="AA12" s="1"/>
    </row>
    <row r="13" spans="1:45" ht="15.75" thickBot="1">
      <c r="A13" s="117" t="s">
        <v>319</v>
      </c>
      <c r="C13" s="1" t="str">
        <f t="shared" si="0"/>
        <v>None</v>
      </c>
      <c r="F13" s="117" t="s">
        <v>320</v>
      </c>
      <c r="G13" s="117"/>
      <c r="H13" s="81" t="e">
        <f>H12/H10</f>
        <v>#DIV/0!</v>
      </c>
      <c r="I13" s="5" t="s">
        <v>49</v>
      </c>
      <c r="O13" s="17" t="s">
        <v>164</v>
      </c>
      <c r="P13" s="197"/>
      <c r="R13" s="17" t="s">
        <v>273</v>
      </c>
      <c r="S13" s="115">
        <f>MAX('FWCD Primary Unit Rating'!H27,'FWCD Secondary Unit Rating '!H27)</f>
        <v>0</v>
      </c>
      <c r="T13" s="1"/>
      <c r="U13" s="1"/>
      <c r="V13" s="1"/>
      <c r="W13" s="1"/>
      <c r="X13" s="117"/>
      <c r="Y13" s="1"/>
      <c r="Z13" s="1"/>
      <c r="AA13" s="1"/>
    </row>
    <row r="14" spans="1:45" ht="15.75" thickBot="1">
      <c r="A14" s="117" t="s">
        <v>321</v>
      </c>
      <c r="B14" s="117"/>
      <c r="C14" s="70">
        <f t="shared" si="0"/>
        <v>0</v>
      </c>
      <c r="D14" s="5" t="s">
        <v>0</v>
      </c>
      <c r="F14" s="117" t="s">
        <v>154</v>
      </c>
      <c r="G14" s="117"/>
      <c r="H14" s="70" t="e">
        <f>12/H13</f>
        <v>#DIV/0!</v>
      </c>
      <c r="I14" s="5" t="s">
        <v>35</v>
      </c>
      <c r="S14" s="117"/>
      <c r="T14" s="1"/>
      <c r="U14" s="89"/>
      <c r="V14" s="1"/>
      <c r="W14" s="1"/>
      <c r="X14" s="117"/>
      <c r="Y14" s="89"/>
      <c r="Z14" s="1"/>
      <c r="AA14" s="1"/>
    </row>
    <row r="15" spans="1:45">
      <c r="A15" s="117" t="s">
        <v>319</v>
      </c>
      <c r="B15" s="117"/>
      <c r="C15" s="79">
        <f t="shared" si="0"/>
        <v>0</v>
      </c>
      <c r="D15" s="5" t="s">
        <v>109</v>
      </c>
      <c r="O15" s="15" t="s">
        <v>165</v>
      </c>
      <c r="P15" s="138">
        <f>IF(P8="None",0,'FWCD Primary Unit Rating'!C15)</f>
        <v>0</v>
      </c>
      <c r="S15" s="1"/>
      <c r="T15" s="1"/>
      <c r="U15" s="1"/>
      <c r="V15" s="1"/>
      <c r="W15" s="1"/>
      <c r="X15" s="117"/>
      <c r="Y15" s="1"/>
      <c r="Z15" s="1"/>
      <c r="AA15" s="1"/>
    </row>
    <row r="16" spans="1:45" s="1" customFormat="1" ht="15.75" thickBot="1">
      <c r="K16"/>
      <c r="L16"/>
      <c r="M16"/>
      <c r="N16"/>
      <c r="O16" s="17" t="s">
        <v>166</v>
      </c>
      <c r="P16" s="139">
        <f>IF(P11="None",0,'FWCD Secondary Unit Rating '!C15)</f>
        <v>0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 spans="1:45" s="1" customFormat="1" ht="18.75">
      <c r="A17" s="250" t="s">
        <v>153</v>
      </c>
      <c r="B17" s="250"/>
      <c r="C17" s="250"/>
      <c r="D17" s="250"/>
      <c r="E17" s="250"/>
      <c r="F17" s="250"/>
      <c r="G17" s="250"/>
      <c r="H17" s="250"/>
      <c r="I17" s="250"/>
      <c r="J17" s="250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 spans="1:45" s="1" customFormat="1" ht="18" thickBot="1">
      <c r="A18" s="117" t="s">
        <v>302</v>
      </c>
      <c r="B18" s="117"/>
      <c r="C18" s="18" t="str">
        <f>'FWCD Primary Unit Rating'!C19</f>
        <v>Water</v>
      </c>
      <c r="D18" s="5"/>
      <c r="F18" s="117" t="s">
        <v>21</v>
      </c>
      <c r="G18" s="117"/>
      <c r="H18" s="84">
        <v>1E-4</v>
      </c>
      <c r="I18" s="80" t="s">
        <v>25</v>
      </c>
      <c r="K18"/>
      <c r="L18"/>
      <c r="M18"/>
      <c r="N18"/>
      <c r="O18" s="249" t="s">
        <v>265</v>
      </c>
      <c r="P18" s="249"/>
      <c r="Q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 spans="1:45" s="1" customFormat="1">
      <c r="A19" s="117" t="s">
        <v>445</v>
      </c>
      <c r="B19" s="117"/>
      <c r="C19" s="78">
        <f>P19*P10+P20*P13</f>
        <v>0</v>
      </c>
      <c r="D19" s="5" t="s">
        <v>194</v>
      </c>
      <c r="F19" s="117" t="s">
        <v>152</v>
      </c>
      <c r="G19" s="117"/>
      <c r="H19" s="78">
        <f>S12</f>
        <v>0</v>
      </c>
      <c r="I19" t="s">
        <v>23</v>
      </c>
      <c r="K19"/>
      <c r="L19"/>
      <c r="M19"/>
      <c r="N19"/>
      <c r="O19" s="15" t="s">
        <v>167</v>
      </c>
      <c r="P19" s="138">
        <f>'FWCD Primary Unit Rating'!V25</f>
        <v>0</v>
      </c>
      <c r="Q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</row>
    <row r="20" spans="1:45" s="1" customFormat="1" ht="15.75" thickBot="1">
      <c r="A20" s="117" t="s">
        <v>303</v>
      </c>
      <c r="B20" s="117"/>
      <c r="C20" s="78">
        <f>'FWCD Primary Unit Rating'!C21</f>
        <v>0</v>
      </c>
      <c r="D20" s="5" t="s">
        <v>14</v>
      </c>
      <c r="F20" s="117" t="s">
        <v>152</v>
      </c>
      <c r="G20" s="117"/>
      <c r="H20" s="78">
        <f>H19*2.307</f>
        <v>0</v>
      </c>
      <c r="I20" t="s">
        <v>46</v>
      </c>
      <c r="K20"/>
      <c r="L20"/>
      <c r="M20"/>
      <c r="N20"/>
      <c r="O20" s="17" t="s">
        <v>168</v>
      </c>
      <c r="P20" s="139">
        <f>IF(P11="None",0,'FWCD Secondary Unit Rating '!C20)</f>
        <v>0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 spans="1:45" s="1" customFormat="1">
      <c r="A21" s="117" t="s">
        <v>304</v>
      </c>
      <c r="B21" s="117"/>
      <c r="C21" s="78">
        <f>'FWCD Primary Unit Rating'!C22</f>
        <v>0</v>
      </c>
      <c r="D21" s="5" t="s">
        <v>14</v>
      </c>
      <c r="F21" s="117" t="s">
        <v>24</v>
      </c>
      <c r="G21" s="117"/>
      <c r="H21" s="78">
        <f>'FWCD Primary Unit Rating'!H22</f>
        <v>32</v>
      </c>
      <c r="I21" s="80" t="s">
        <v>14</v>
      </c>
      <c r="K21"/>
      <c r="L21"/>
      <c r="M21"/>
      <c r="N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 spans="1:45" s="1" customFormat="1" ht="15.75" thickBot="1">
      <c r="A22" s="117"/>
      <c r="B22" s="117"/>
      <c r="C22" s="2"/>
      <c r="D22" s="5"/>
      <c r="K22"/>
      <c r="L22"/>
      <c r="M22"/>
      <c r="N22"/>
      <c r="O22" s="249" t="s">
        <v>266</v>
      </c>
      <c r="P22" s="249"/>
      <c r="R22" s="249" t="s">
        <v>266</v>
      </c>
      <c r="S22" s="249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</row>
    <row r="23" spans="1:45" s="1" customFormat="1">
      <c r="A23" s="117" t="s">
        <v>322</v>
      </c>
      <c r="C23" s="90">
        <f>H10</f>
        <v>0</v>
      </c>
      <c r="D23" s="117" t="s">
        <v>0</v>
      </c>
      <c r="K23"/>
      <c r="L23"/>
      <c r="M23"/>
      <c r="N23"/>
      <c r="O23" s="15" t="s">
        <v>167</v>
      </c>
      <c r="P23" s="138">
        <f>'FWCD Primary Unit Rating'!V28</f>
        <v>0</v>
      </c>
      <c r="R23" s="15" t="s">
        <v>267</v>
      </c>
      <c r="S23" s="138">
        <f>'FWCD Primary Unit Rating'!C30</f>
        <v>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</row>
    <row r="24" spans="1:45" s="1" customFormat="1" ht="15.75" thickBot="1">
      <c r="K24"/>
      <c r="L24"/>
      <c r="M24"/>
      <c r="N24"/>
      <c r="O24" s="17" t="s">
        <v>168</v>
      </c>
      <c r="P24" s="139">
        <f>IF(P11="None",0,'FWCD Secondary Unit Rating '!C27)</f>
        <v>0</v>
      </c>
      <c r="R24" s="17" t="s">
        <v>268</v>
      </c>
      <c r="S24" s="139">
        <f>IF(P11="None",0,'FWCD Secondary Unit Rating '!C30)</f>
        <v>0</v>
      </c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 spans="1:45" s="1" customFormat="1" ht="18.75">
      <c r="A25" s="250" t="s">
        <v>269</v>
      </c>
      <c r="B25" s="250"/>
      <c r="C25" s="250"/>
      <c r="D25" s="250"/>
      <c r="E25" s="250"/>
      <c r="F25" s="250"/>
      <c r="G25" s="250"/>
      <c r="H25" s="250"/>
      <c r="I25" s="250"/>
      <c r="J25" s="250"/>
      <c r="K25"/>
      <c r="L25"/>
      <c r="M25"/>
      <c r="N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 spans="1:45" s="1" customFormat="1" ht="18" thickBot="1">
      <c r="A26" s="117" t="s">
        <v>302</v>
      </c>
      <c r="B26" s="117"/>
      <c r="C26" s="18" t="str">
        <f>'FWCD Primary Unit Rating'!C26</f>
        <v>Water</v>
      </c>
      <c r="D26" s="5"/>
      <c r="F26" s="117" t="s">
        <v>21</v>
      </c>
      <c r="G26" s="117"/>
      <c r="H26" s="84">
        <v>1E-4</v>
      </c>
      <c r="I26" s="80" t="s">
        <v>25</v>
      </c>
      <c r="K26"/>
      <c r="L26"/>
      <c r="M26"/>
      <c r="N26"/>
      <c r="O26" s="249" t="s">
        <v>171</v>
      </c>
      <c r="P26" s="249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</row>
    <row r="27" spans="1:45" s="1" customFormat="1">
      <c r="A27" s="117" t="s">
        <v>444</v>
      </c>
      <c r="B27" s="117"/>
      <c r="C27" s="78">
        <f>P23*P10+P24*P13</f>
        <v>0</v>
      </c>
      <c r="D27" s="5" t="s">
        <v>194</v>
      </c>
      <c r="F27" s="117" t="s">
        <v>152</v>
      </c>
      <c r="G27" s="117"/>
      <c r="H27" s="78">
        <f>S13</f>
        <v>0</v>
      </c>
      <c r="I27" t="s">
        <v>23</v>
      </c>
      <c r="K27"/>
      <c r="L27"/>
      <c r="M27"/>
      <c r="N27"/>
      <c r="O27" s="15" t="s">
        <v>438</v>
      </c>
      <c r="P27" s="239">
        <f>(P10*'FWCD Primary Unit Rating'!P38)+(P13*'FWCD Secondary Unit Rating '!P38)</f>
        <v>0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</row>
    <row r="28" spans="1:45" s="1" customFormat="1">
      <c r="A28" s="117" t="s">
        <v>303</v>
      </c>
      <c r="B28" s="117"/>
      <c r="C28" s="78">
        <f>'FWCD Primary Unit Rating'!C28</f>
        <v>0</v>
      </c>
      <c r="D28" s="5" t="s">
        <v>14</v>
      </c>
      <c r="F28" s="117" t="s">
        <v>152</v>
      </c>
      <c r="G28" s="117"/>
      <c r="H28" s="78">
        <f>H27*2.307</f>
        <v>0</v>
      </c>
      <c r="I28" t="s">
        <v>46</v>
      </c>
      <c r="K28"/>
      <c r="L28"/>
      <c r="M28"/>
      <c r="N28"/>
      <c r="O28" s="16" t="s">
        <v>169</v>
      </c>
      <c r="P28" s="238">
        <f>IF(P27=0,0,INDEX('Look Up Tables'!$AR$8:$AR$45,MATCH(LARGE('Look Up Tables'!$AR$8:$AR$45,COUNTIF('Look Up Tables'!$AR$8:$AR$45,"&gt; "&amp;P27)+1),'Look Up Tables'!$AR$8:$AR$45,0)))</f>
        <v>0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 spans="1:45" ht="15.75" thickBot="1">
      <c r="A29" s="117" t="s">
        <v>304</v>
      </c>
      <c r="B29" s="117"/>
      <c r="C29" s="78">
        <f>'FWCD Primary Unit Rating'!C29</f>
        <v>0</v>
      </c>
      <c r="D29" s="5" t="s">
        <v>14</v>
      </c>
      <c r="F29" s="117"/>
      <c r="G29" s="117"/>
      <c r="I29" s="80"/>
      <c r="O29" s="17" t="s">
        <v>170</v>
      </c>
      <c r="P29" s="240">
        <f>(P10*'FWCD Primary Unit Rating'!P40)+(P13*'FWCD Secondary Unit Rating '!P40)</f>
        <v>0</v>
      </c>
    </row>
    <row r="30" spans="1:45">
      <c r="A30" s="117"/>
      <c r="B30" s="117"/>
      <c r="C30" s="2"/>
      <c r="D30" s="5"/>
    </row>
    <row r="31" spans="1:45">
      <c r="A31" s="117" t="s">
        <v>323</v>
      </c>
      <c r="C31" s="90">
        <f>H11</f>
        <v>0</v>
      </c>
      <c r="D31" s="117" t="s">
        <v>270</v>
      </c>
    </row>
    <row r="32" spans="1:45" ht="15.75" thickBot="1">
      <c r="O32" s="118" t="s">
        <v>13</v>
      </c>
      <c r="P32" s="118"/>
    </row>
    <row r="33" spans="1:24" ht="17.25" customHeight="1" thickBot="1">
      <c r="A33" s="250" t="s">
        <v>149</v>
      </c>
      <c r="B33" s="250"/>
      <c r="C33" s="250"/>
      <c r="D33" s="250"/>
      <c r="E33" s="250"/>
      <c r="F33" s="250"/>
      <c r="G33" s="250"/>
      <c r="H33" s="250"/>
      <c r="I33" s="250"/>
      <c r="J33" s="250"/>
      <c r="O33" s="52" t="s">
        <v>11</v>
      </c>
      <c r="P33" s="62" t="str">
        <f>'FWCD Primary Unit Rating'!P29</f>
        <v>460/3/60</v>
      </c>
      <c r="Q33" s="1" t="s">
        <v>109</v>
      </c>
    </row>
    <row r="34" spans="1:24">
      <c r="A34" s="117" t="s">
        <v>292</v>
      </c>
      <c r="B34" s="117"/>
      <c r="C34" s="18" t="str">
        <f>P33</f>
        <v>460/3/60</v>
      </c>
      <c r="D34" s="1" t="s">
        <v>180</v>
      </c>
      <c r="F34" s="117" t="s">
        <v>293</v>
      </c>
      <c r="G34" s="117"/>
      <c r="H34" s="78">
        <f>'FWCD Primary Unit Rating'!H33</f>
        <v>5</v>
      </c>
      <c r="I34" s="1" t="s">
        <v>178</v>
      </c>
      <c r="O34" s="12" t="s">
        <v>2</v>
      </c>
      <c r="P34" s="54"/>
      <c r="Q34" s="9"/>
    </row>
    <row r="35" spans="1:24" ht="15.75" thickBot="1">
      <c r="A35" s="117" t="s">
        <v>295</v>
      </c>
      <c r="B35" s="117"/>
      <c r="C35" s="18" t="e">
        <f>P36*0.9</f>
        <v>#VALUE!</v>
      </c>
      <c r="D35" s="1" t="s">
        <v>176</v>
      </c>
      <c r="F35" s="117" t="s">
        <v>296</v>
      </c>
      <c r="G35" s="117"/>
      <c r="H35" s="78">
        <f>P28</f>
        <v>0</v>
      </c>
      <c r="I35" s="1" t="s">
        <v>179</v>
      </c>
      <c r="O35" s="13" t="s">
        <v>3</v>
      </c>
      <c r="P35" s="184"/>
      <c r="Q35" s="11"/>
    </row>
    <row r="36" spans="1:24">
      <c r="A36" s="117" t="s">
        <v>298</v>
      </c>
      <c r="B36" s="117"/>
      <c r="C36" s="18" t="e">
        <f>P36*1.1</f>
        <v>#VALUE!</v>
      </c>
      <c r="D36" s="1" t="s">
        <v>176</v>
      </c>
      <c r="F36" s="117" t="s">
        <v>299</v>
      </c>
      <c r="G36" s="117"/>
      <c r="H36" s="78">
        <f>P29</f>
        <v>0</v>
      </c>
      <c r="I36" s="1" t="s">
        <v>179</v>
      </c>
      <c r="O36" s="12" t="s">
        <v>113</v>
      </c>
      <c r="P36" s="183" t="str">
        <f>IF(ISBLANK(P34)=TRUE," ",INDEX('Look Up Tables'!$M$5:$M$7,MATCH($P$33,'Look Up Tables'!$L$5:$L$7,0)))</f>
        <v xml:space="preserve"> </v>
      </c>
    </row>
    <row r="37" spans="1:24">
      <c r="O37" s="12" t="s">
        <v>114</v>
      </c>
      <c r="P37" s="55" t="str">
        <f>IF(ISBLANK(P35)=TRUE," ",INDEX('Look Up Tables'!$M$5:$M$7,MATCH($P$33,'Look Up Tables'!$L$5:$L$7,0)))</f>
        <v xml:space="preserve"> </v>
      </c>
    </row>
    <row r="38" spans="1:24">
      <c r="C38" s="4" t="s">
        <v>36</v>
      </c>
      <c r="D38" s="4" t="s">
        <v>4</v>
      </c>
      <c r="E38" s="4" t="s">
        <v>5</v>
      </c>
      <c r="F38" s="4" t="s">
        <v>6</v>
      </c>
      <c r="G38" s="4" t="s">
        <v>7</v>
      </c>
      <c r="H38" s="4" t="s">
        <v>8</v>
      </c>
      <c r="I38" s="4" t="s">
        <v>9</v>
      </c>
      <c r="J38" s="4" t="s">
        <v>10</v>
      </c>
      <c r="O38" s="12" t="s">
        <v>115</v>
      </c>
      <c r="P38" s="55">
        <f>IF(ISBLANK(P36)=TRUE," ",INDEX('Look Up Tables'!$M$5:$M$7,MATCH($P$33,'Look Up Tables'!$L$5:$L$7,0)))</f>
        <v>460</v>
      </c>
    </row>
    <row r="39" spans="1:24">
      <c r="A39" s="117" t="s">
        <v>297</v>
      </c>
      <c r="B39" s="117"/>
      <c r="C39" s="18" t="str">
        <f>IF(ISBLANK(P34)," ",INDEX('Look Up Tables'!C5:C47,MATCH('FWCD Array Rating'!P34,'Look Up Tables'!B5:B47)))</f>
        <v xml:space="preserve"> </v>
      </c>
      <c r="D39" s="116" t="str">
        <f>IF(ISBLANK(P34)," ",Q34)</f>
        <v xml:space="preserve"> </v>
      </c>
      <c r="E39" s="116"/>
      <c r="F39" s="116" t="str">
        <f>P36</f>
        <v xml:space="preserve"> </v>
      </c>
      <c r="G39" s="116" t="str">
        <f>IF(ISBLANK(P34)," ",3)</f>
        <v xml:space="preserve"> </v>
      </c>
      <c r="H39" s="116"/>
      <c r="I39" s="116"/>
      <c r="J39" s="63" t="str">
        <f>P39</f>
        <v xml:space="preserve"> </v>
      </c>
      <c r="O39" s="12" t="s">
        <v>117</v>
      </c>
      <c r="P39" s="56" t="str">
        <f>IF(ISBLANK(P34)=TRUE," ",INDEX('Look Up Tables'!G5:G47,MATCH(P34,'Look Up Tables'!B5:B47,0)))</f>
        <v xml:space="preserve"> </v>
      </c>
      <c r="R39" s="1"/>
      <c r="S39" s="1"/>
      <c r="T39" s="117"/>
      <c r="U39" s="1"/>
      <c r="V39" s="89"/>
      <c r="W39" s="1"/>
      <c r="X39" s="1"/>
    </row>
    <row r="40" spans="1:24" ht="15.75" thickBot="1">
      <c r="A40" s="117" t="s">
        <v>300</v>
      </c>
      <c r="B40" s="117"/>
      <c r="C40" s="18" t="str">
        <f>IF(ISBLANK(P35)," ",INDEX('Look Up Tables'!C5:C47,MATCH('FWCD Array Rating'!P35,'Look Up Tables'!B5:B47,0)))</f>
        <v xml:space="preserve"> </v>
      </c>
      <c r="D40" s="116" t="str">
        <f>IF(ISBLANK(P35)," ",Q35)</f>
        <v xml:space="preserve"> </v>
      </c>
      <c r="E40" s="116"/>
      <c r="F40" s="116" t="str">
        <f>P37</f>
        <v xml:space="preserve"> </v>
      </c>
      <c r="G40" s="116" t="str">
        <f>IF(ISBLANK(P35)," ",3)</f>
        <v xml:space="preserve"> </v>
      </c>
      <c r="H40" s="116"/>
      <c r="I40" s="116"/>
      <c r="J40" s="63" t="str">
        <f>P40</f>
        <v xml:space="preserve"> </v>
      </c>
      <c r="O40" s="13" t="s">
        <v>118</v>
      </c>
      <c r="P40" s="57" t="str">
        <f>IF(ISBLANK(P35)=TRUE," ",INDEX('Look Up Tables'!G5:G47,MATCH(P35,'Look Up Tables'!B5:B47,0)))</f>
        <v xml:space="preserve"> </v>
      </c>
      <c r="R40" s="1"/>
      <c r="S40" s="1"/>
      <c r="T40" s="117"/>
      <c r="U40" s="1"/>
      <c r="V40" s="1"/>
      <c r="W40" s="1"/>
      <c r="X40" s="1"/>
    </row>
    <row r="41" spans="1:24">
      <c r="A41" s="117"/>
      <c r="B41" s="117"/>
      <c r="C41" s="18"/>
      <c r="D41" s="116"/>
      <c r="E41" s="64"/>
      <c r="F41" s="116"/>
      <c r="G41" s="116"/>
      <c r="I41" s="116"/>
      <c r="J41" s="116"/>
      <c r="O41" s="1"/>
      <c r="P41" s="1"/>
      <c r="Q41" s="1"/>
    </row>
  </sheetData>
  <mergeCells count="12">
    <mergeCell ref="G1:J2"/>
    <mergeCell ref="A4:J4"/>
    <mergeCell ref="O7:P7"/>
    <mergeCell ref="A9:J9"/>
    <mergeCell ref="A17:J17"/>
    <mergeCell ref="O18:P18"/>
    <mergeCell ref="O22:P22"/>
    <mergeCell ref="R22:S22"/>
    <mergeCell ref="R11:S11"/>
    <mergeCell ref="A33:J33"/>
    <mergeCell ref="A25:J25"/>
    <mergeCell ref="O26:P26"/>
  </mergeCells>
  <conditionalFormatting sqref="C20:C21">
    <cfRule type="cellIs" dxfId="82" priority="14" operator="equal">
      <formula>0</formula>
    </cfRule>
  </conditionalFormatting>
  <conditionalFormatting sqref="H21">
    <cfRule type="cellIs" dxfId="81" priority="13" operator="equal">
      <formula>0</formula>
    </cfRule>
  </conditionalFormatting>
  <conditionalFormatting sqref="H35:H36">
    <cfRule type="cellIs" dxfId="80" priority="11" operator="equal">
      <formula>0</formula>
    </cfRule>
  </conditionalFormatting>
  <conditionalFormatting sqref="H19">
    <cfRule type="cellIs" dxfId="79" priority="9" operator="equal">
      <formula>0</formula>
    </cfRule>
  </conditionalFormatting>
  <conditionalFormatting sqref="C19">
    <cfRule type="cellIs" dxfId="78" priority="8" operator="equal">
      <formula>0</formula>
    </cfRule>
  </conditionalFormatting>
  <conditionalFormatting sqref="C6">
    <cfRule type="cellIs" dxfId="77" priority="7" operator="equal">
      <formula>0</formula>
    </cfRule>
  </conditionalFormatting>
  <conditionalFormatting sqref="C28:C29">
    <cfRule type="cellIs" dxfId="76" priority="6" operator="equal">
      <formula>0</formula>
    </cfRule>
  </conditionalFormatting>
  <conditionalFormatting sqref="H27">
    <cfRule type="cellIs" dxfId="75" priority="4" operator="equal">
      <formula>0</formula>
    </cfRule>
  </conditionalFormatting>
  <conditionalFormatting sqref="C27">
    <cfRule type="cellIs" dxfId="74" priority="3" operator="equal">
      <formula>0</formula>
    </cfRule>
  </conditionalFormatting>
  <conditionalFormatting sqref="H12:H13">
    <cfRule type="cellIs" dxfId="73" priority="2" operator="equal">
      <formula>0</formula>
    </cfRule>
  </conditionalFormatting>
  <conditionalFormatting sqref="H5:H6">
    <cfRule type="cellIs" dxfId="72" priority="1" operator="equal">
      <formula>0</formula>
    </cfRule>
  </conditionalFormatting>
  <printOptions horizontalCentered="1"/>
  <pageMargins left="0.7" right="0.7" top="0.75" bottom="0.75" header="0.3" footer="0.3"/>
  <pageSetup scale="80" orientation="portrait" r:id="rId1"/>
  <headerFooter>
    <oddFooter>&amp;Lwww.JetsonHVAC.com&amp;RPage &amp;P of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'Look Up Tables'!$R$5:$R$15</xm:f>
          </x14:formula1>
          <xm:sqref>P13</xm:sqref>
        </x14:dataValidation>
        <x14:dataValidation type="list" allowBlank="1" showInputMessage="1" showErrorMessage="1">
          <x14:formula1>
            <xm:f>'Look Up Tables'!$R$5:$R$25</xm:f>
          </x14:formula1>
          <xm:sqref>P10</xm:sqref>
        </x14:dataValidation>
        <x14:dataValidation type="list" allowBlank="1" showInputMessage="1" showErrorMessage="1">
          <x14:formula1>
            <xm:f>'Look Up Tables'!$P$5:$P$25</xm:f>
          </x14:formula1>
          <xm:sqref>Q34:Q35</xm:sqref>
        </x14:dataValidation>
        <x14:dataValidation type="list" allowBlank="1" showInputMessage="1" showErrorMessage="1">
          <x14:formula1>
            <xm:f>'Look Up Tables'!$B$5:$B$47</xm:f>
          </x14:formula1>
          <xm:sqref>P34:P35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11"/>
  <sheetViews>
    <sheetView zoomScale="85" zoomScaleNormal="85" zoomScaleSheetLayoutView="85" workbookViewId="0"/>
  </sheetViews>
  <sheetFormatPr defaultColWidth="8.85546875" defaultRowHeight="15"/>
  <cols>
    <col min="1" max="1" width="11" style="1" customWidth="1"/>
    <col min="2" max="2" width="11.85546875" style="1" customWidth="1"/>
    <col min="3" max="4" width="11" style="1" customWidth="1"/>
    <col min="5" max="5" width="8.85546875" style="1" customWidth="1"/>
    <col min="6" max="6" width="11" style="1" customWidth="1"/>
    <col min="7" max="7" width="13.42578125" style="1" customWidth="1"/>
    <col min="8" max="10" width="11" style="1" customWidth="1"/>
    <col min="15" max="16" width="22" customWidth="1"/>
    <col min="21" max="22" width="21.28515625" customWidth="1"/>
    <col min="23" max="23" width="9.85546875" bestFit="1" customWidth="1"/>
    <col min="24" max="27" width="9.85546875" customWidth="1"/>
  </cols>
  <sheetData>
    <row r="1" spans="1:28" ht="15" customHeight="1">
      <c r="G1" s="251" t="s">
        <v>172</v>
      </c>
      <c r="H1" s="251"/>
      <c r="I1" s="251"/>
      <c r="J1" s="251"/>
    </row>
    <row r="2" spans="1:28" ht="15.75" thickBot="1">
      <c r="A2" s="85"/>
      <c r="B2" s="85"/>
      <c r="C2" s="85"/>
      <c r="D2" s="85"/>
      <c r="E2" s="85"/>
      <c r="F2" s="85"/>
      <c r="G2" s="252"/>
      <c r="H2" s="252"/>
      <c r="I2" s="252"/>
      <c r="J2" s="252"/>
    </row>
    <row r="3" spans="1:28" ht="16.5" thickTop="1" thickBot="1">
      <c r="G3" s="86" t="s">
        <v>173</v>
      </c>
      <c r="H3" s="87">
        <v>1.2</v>
      </c>
      <c r="I3" s="86" t="s">
        <v>174</v>
      </c>
      <c r="J3" s="87">
        <v>7854991</v>
      </c>
      <c r="O3" s="249" t="s">
        <v>39</v>
      </c>
      <c r="P3" s="249"/>
    </row>
    <row r="4" spans="1:28" ht="19.5" thickBot="1">
      <c r="A4" s="250" t="s">
        <v>36</v>
      </c>
      <c r="B4" s="250"/>
      <c r="C4" s="250"/>
      <c r="D4" s="250"/>
      <c r="E4" s="250"/>
      <c r="F4" s="250"/>
      <c r="G4" s="250"/>
      <c r="H4" s="250"/>
      <c r="I4" s="250"/>
      <c r="J4" s="250"/>
      <c r="O4" s="123" t="s">
        <v>36</v>
      </c>
      <c r="P4" s="124" t="s">
        <v>360</v>
      </c>
    </row>
    <row r="5" spans="1:28" ht="18.75">
      <c r="A5" s="254" t="str">
        <f>CONCATENATE(P4,"-",VLOOKUP(P29,'Look Up Tables'!L5:N7,3))</f>
        <v>FWCD-015-F</v>
      </c>
      <c r="B5" s="254"/>
      <c r="C5" s="254"/>
      <c r="D5" s="254"/>
      <c r="E5" s="254"/>
      <c r="F5" s="254"/>
      <c r="G5" s="254"/>
      <c r="H5" s="254"/>
      <c r="I5" s="254"/>
      <c r="J5" s="254"/>
    </row>
    <row r="6" spans="1:28" ht="15.75" thickBot="1">
      <c r="O6" s="249" t="s">
        <v>39</v>
      </c>
      <c r="P6" s="249"/>
    </row>
    <row r="7" spans="1:28" ht="18.75">
      <c r="A7" s="250" t="s">
        <v>39</v>
      </c>
      <c r="B7" s="250"/>
      <c r="C7" s="250"/>
      <c r="D7" s="250"/>
      <c r="E7" s="250"/>
      <c r="F7" s="250"/>
      <c r="G7" s="250"/>
      <c r="H7" s="250"/>
      <c r="I7" s="250"/>
      <c r="J7" s="250"/>
      <c r="O7" s="15" t="s">
        <v>60</v>
      </c>
      <c r="P7" s="9"/>
    </row>
    <row r="8" spans="1:28" ht="15.75" thickBot="1">
      <c r="A8" s="74" t="s">
        <v>288</v>
      </c>
      <c r="B8" s="74"/>
      <c r="C8" s="68" t="s">
        <v>59</v>
      </c>
      <c r="D8" s="69"/>
      <c r="F8" s="74" t="s">
        <v>60</v>
      </c>
      <c r="G8" s="74"/>
      <c r="H8" s="74">
        <f>P7</f>
        <v>0</v>
      </c>
      <c r="I8" s="5"/>
      <c r="O8" s="16" t="s">
        <v>61</v>
      </c>
      <c r="P8" s="10"/>
    </row>
    <row r="9" spans="1:28" ht="15.75" thickBot="1">
      <c r="A9" s="74" t="s">
        <v>40</v>
      </c>
      <c r="B9" s="74"/>
      <c r="C9" s="75">
        <f>P9</f>
        <v>0</v>
      </c>
      <c r="D9" s="75"/>
      <c r="F9" s="74" t="s">
        <v>61</v>
      </c>
      <c r="G9" s="74"/>
      <c r="H9" s="83">
        <f>P8</f>
        <v>0</v>
      </c>
      <c r="I9" s="5"/>
      <c r="O9" s="16" t="s">
        <v>40</v>
      </c>
      <c r="P9" s="10"/>
      <c r="T9" s="19"/>
      <c r="U9" s="20" t="s">
        <v>121</v>
      </c>
      <c r="V9" s="21" t="s">
        <v>30</v>
      </c>
      <c r="W9" s="19"/>
      <c r="X9" s="19"/>
      <c r="Y9" s="259" t="str">
        <f>"COMP SIZE 1 - "&amp;P30</f>
        <v xml:space="preserve">COMP SIZE 1 - </v>
      </c>
      <c r="Z9" s="260"/>
      <c r="AA9" s="260"/>
      <c r="AB9" s="261"/>
    </row>
    <row r="10" spans="1:28" ht="16.5" thickBot="1">
      <c r="A10" s="74" t="s">
        <v>42</v>
      </c>
      <c r="B10" s="74"/>
      <c r="C10" s="92">
        <f ca="1">P10</f>
        <v>44153</v>
      </c>
      <c r="D10" s="69"/>
      <c r="I10" s="5"/>
      <c r="O10" s="16" t="s">
        <v>63</v>
      </c>
      <c r="P10" s="91">
        <f ca="1">TODAY()</f>
        <v>44153</v>
      </c>
      <c r="T10" s="19"/>
      <c r="U10" s="22" t="s">
        <v>122</v>
      </c>
      <c r="V10" s="23">
        <v>0.1</v>
      </c>
      <c r="W10" s="23"/>
      <c r="X10" s="23"/>
      <c r="Y10" s="19"/>
      <c r="Z10" s="257" t="s">
        <v>137</v>
      </c>
      <c r="AA10" s="258"/>
      <c r="AB10" s="73" t="s">
        <v>138</v>
      </c>
    </row>
    <row r="11" spans="1:28" ht="16.5" thickBot="1">
      <c r="O11" s="17" t="s">
        <v>62</v>
      </c>
      <c r="P11" s="11"/>
      <c r="T11" s="262" t="s">
        <v>123</v>
      </c>
      <c r="U11" s="24" t="s">
        <v>124</v>
      </c>
      <c r="V11" s="25">
        <f>AA13</f>
        <v>0</v>
      </c>
      <c r="W11" s="23"/>
      <c r="X11" s="23"/>
      <c r="Y11" s="40" t="s">
        <v>139</v>
      </c>
      <c r="Z11" s="41"/>
      <c r="AA11" s="42">
        <f>Z11/12000</f>
        <v>0</v>
      </c>
      <c r="AB11" s="43">
        <f>AA11*2</f>
        <v>0</v>
      </c>
    </row>
    <row r="12" spans="1:28" ht="19.5" thickBot="1">
      <c r="A12" s="250" t="s">
        <v>27</v>
      </c>
      <c r="B12" s="250"/>
      <c r="C12" s="250"/>
      <c r="D12" s="250"/>
      <c r="E12" s="250"/>
      <c r="F12" s="250"/>
      <c r="G12" s="250"/>
      <c r="H12" s="250"/>
      <c r="I12" s="250"/>
      <c r="J12" s="250"/>
      <c r="T12" s="263"/>
      <c r="U12" s="23" t="s">
        <v>125</v>
      </c>
      <c r="V12" s="26">
        <f>IF(Z17=0,AA13,AA19)</f>
        <v>0</v>
      </c>
      <c r="W12" s="23"/>
      <c r="X12" s="23"/>
      <c r="Y12" s="40" t="s">
        <v>140</v>
      </c>
      <c r="Z12" s="44"/>
      <c r="AA12" s="42">
        <f>Z12/12000</f>
        <v>0</v>
      </c>
      <c r="AB12" s="45">
        <f>AA12*2</f>
        <v>0</v>
      </c>
    </row>
    <row r="13" spans="1:28" ht="16.5" thickBot="1">
      <c r="A13" s="74" t="s">
        <v>327</v>
      </c>
      <c r="B13" s="74"/>
      <c r="C13" s="66">
        <v>1</v>
      </c>
      <c r="D13" s="5"/>
      <c r="F13" s="74" t="s">
        <v>50</v>
      </c>
      <c r="G13" s="74"/>
      <c r="H13" s="76" t="e">
        <f>V21</f>
        <v>#DIV/0!</v>
      </c>
      <c r="I13" s="5" t="s">
        <v>49</v>
      </c>
      <c r="O13" s="249" t="s">
        <v>88</v>
      </c>
      <c r="P13" s="249"/>
      <c r="T13" s="263"/>
      <c r="U13" s="23" t="s">
        <v>126</v>
      </c>
      <c r="V13" s="26">
        <v>0</v>
      </c>
      <c r="W13" s="19"/>
      <c r="X13" s="19"/>
      <c r="Y13" s="19" t="s">
        <v>141</v>
      </c>
      <c r="Z13" s="46">
        <f>Z12-Z11</f>
        <v>0</v>
      </c>
      <c r="AA13" s="47">
        <f>Z13/3412</f>
        <v>0</v>
      </c>
      <c r="AB13" s="48">
        <f>AA13*2</f>
        <v>0</v>
      </c>
    </row>
    <row r="14" spans="1:28" ht="16.5" thickBot="1">
      <c r="A14" s="74" t="s">
        <v>48</v>
      </c>
      <c r="B14" s="74"/>
      <c r="C14" s="65">
        <f>V20</f>
        <v>0</v>
      </c>
      <c r="D14" s="5" t="s">
        <v>0</v>
      </c>
      <c r="F14" s="74" t="s">
        <v>51</v>
      </c>
      <c r="G14" s="74"/>
      <c r="H14" s="76" t="e">
        <f>C16/C14</f>
        <v>#DIV/0!</v>
      </c>
      <c r="I14" s="5" t="s">
        <v>49</v>
      </c>
      <c r="O14" s="15" t="s">
        <v>91</v>
      </c>
      <c r="P14" s="9" t="s">
        <v>17</v>
      </c>
      <c r="Q14" s="265" t="str">
        <f>IF(P14="WATER",P14,P15&amp;"% "&amp;P14)</f>
        <v>Water</v>
      </c>
      <c r="R14" s="266"/>
      <c r="T14" s="264"/>
      <c r="U14" s="27" t="s">
        <v>127</v>
      </c>
      <c r="V14" s="28">
        <v>0</v>
      </c>
      <c r="W14" s="19"/>
      <c r="X14" s="19"/>
      <c r="Y14" s="19"/>
      <c r="Z14" s="19"/>
      <c r="AA14" s="19"/>
    </row>
    <row r="15" spans="1:28" ht="16.5" thickBot="1">
      <c r="A15" s="74" t="s">
        <v>29</v>
      </c>
      <c r="B15" s="74"/>
      <c r="C15" s="65">
        <f>V19</f>
        <v>0.1</v>
      </c>
      <c r="D15" s="5" t="s">
        <v>30</v>
      </c>
      <c r="F15" s="74" t="s">
        <v>34</v>
      </c>
      <c r="G15" s="74"/>
      <c r="H15" s="65" t="e">
        <f>V22</f>
        <v>#DIV/0!</v>
      </c>
      <c r="I15" s="5" t="s">
        <v>35</v>
      </c>
      <c r="O15" s="16" t="s">
        <v>92</v>
      </c>
      <c r="P15" s="10"/>
      <c r="Q15" s="267"/>
      <c r="R15" s="268"/>
      <c r="T15" s="262" t="s">
        <v>128</v>
      </c>
      <c r="U15" s="24" t="s">
        <v>124</v>
      </c>
      <c r="V15" s="29">
        <v>0</v>
      </c>
      <c r="W15" s="19"/>
      <c r="X15" s="19"/>
      <c r="Y15" s="259" t="str">
        <f>"COMP SIZE 1 - "&amp;P31</f>
        <v xml:space="preserve">COMP SIZE 1 - </v>
      </c>
      <c r="Z15" s="260"/>
      <c r="AA15" s="260"/>
      <c r="AB15" s="261"/>
    </row>
    <row r="16" spans="1:28" ht="16.5" thickBot="1">
      <c r="A16" s="74" t="s">
        <v>31</v>
      </c>
      <c r="B16" s="74"/>
      <c r="C16" s="65">
        <f>SUM(V11:V14)</f>
        <v>0</v>
      </c>
      <c r="D16" s="5" t="s">
        <v>30</v>
      </c>
      <c r="F16" s="74"/>
      <c r="G16" s="74"/>
      <c r="H16" s="3"/>
      <c r="I16" s="5"/>
      <c r="O16" s="16" t="s">
        <v>89</v>
      </c>
      <c r="P16" s="10"/>
      <c r="T16" s="263"/>
      <c r="U16" s="23" t="s">
        <v>125</v>
      </c>
      <c r="V16" s="30">
        <v>0</v>
      </c>
      <c r="W16" s="19"/>
      <c r="X16" s="19"/>
      <c r="Y16" s="19"/>
      <c r="Z16" s="257" t="s">
        <v>137</v>
      </c>
      <c r="AA16" s="258"/>
      <c r="AB16" s="73" t="s">
        <v>138</v>
      </c>
    </row>
    <row r="17" spans="1:28" ht="16.5" thickBot="1">
      <c r="A17" s="74"/>
      <c r="B17" s="74"/>
      <c r="C17" s="5"/>
      <c r="D17" s="5"/>
      <c r="F17" s="74"/>
      <c r="G17" s="74"/>
      <c r="H17" s="2"/>
      <c r="I17" s="5"/>
      <c r="O17" s="16" t="s">
        <v>90</v>
      </c>
      <c r="P17" s="10"/>
      <c r="T17" s="263"/>
      <c r="U17" s="23" t="s">
        <v>126</v>
      </c>
      <c r="V17" s="30">
        <v>0</v>
      </c>
      <c r="W17" s="19"/>
      <c r="X17" s="19"/>
      <c r="Y17" s="40" t="s">
        <v>139</v>
      </c>
      <c r="Z17" s="41">
        <v>0</v>
      </c>
      <c r="AA17" s="42">
        <f>Z17/12000</f>
        <v>0</v>
      </c>
      <c r="AB17" s="43">
        <f>AA17*2</f>
        <v>0</v>
      </c>
    </row>
    <row r="18" spans="1:28" ht="19.5" thickBot="1">
      <c r="A18" s="250" t="s">
        <v>45</v>
      </c>
      <c r="B18" s="250"/>
      <c r="C18" s="250"/>
      <c r="D18" s="250"/>
      <c r="E18" s="250"/>
      <c r="F18" s="250"/>
      <c r="G18" s="250"/>
      <c r="H18" s="250"/>
      <c r="I18" s="250"/>
      <c r="J18" s="250"/>
      <c r="O18" s="17" t="s">
        <v>24</v>
      </c>
      <c r="P18" s="128">
        <f>IF(P14="P.G.",INDEX(FreezePoint_PG,MATCH(P15,Percent_PG)),IF(P14="E.G.",INDEX(FreezePoint__EG,MATCH(P15,Percent_EG,0)),IF(P14="Water",32,"ERR")))</f>
        <v>32</v>
      </c>
      <c r="T18" s="264"/>
      <c r="U18" s="27" t="s">
        <v>127</v>
      </c>
      <c r="V18" s="31">
        <v>0</v>
      </c>
      <c r="W18" s="19"/>
      <c r="X18" s="19"/>
      <c r="Y18" s="40" t="s">
        <v>140</v>
      </c>
      <c r="Z18" s="41">
        <v>0</v>
      </c>
      <c r="AA18" s="42">
        <f>Z18/12000</f>
        <v>0</v>
      </c>
      <c r="AB18" s="45">
        <f>AA18*2</f>
        <v>0</v>
      </c>
    </row>
    <row r="19" spans="1:28" ht="18" thickBot="1">
      <c r="A19" s="117" t="s">
        <v>302</v>
      </c>
      <c r="B19" s="117"/>
      <c r="C19" s="18" t="str">
        <f>Q14</f>
        <v>Water</v>
      </c>
      <c r="D19" s="5"/>
      <c r="F19" s="117" t="s">
        <v>21</v>
      </c>
      <c r="G19" s="117"/>
      <c r="H19" s="84">
        <v>1E-4</v>
      </c>
      <c r="I19" s="7" t="s">
        <v>25</v>
      </c>
      <c r="T19" s="19"/>
      <c r="U19" s="23"/>
      <c r="V19" s="32">
        <f>SUM(V10:V18)</f>
        <v>0.1</v>
      </c>
      <c r="W19" s="23" t="s">
        <v>30</v>
      </c>
      <c r="X19" s="23"/>
      <c r="Y19" s="19" t="s">
        <v>141</v>
      </c>
      <c r="Z19" s="46">
        <f>Z18-Z17</f>
        <v>0</v>
      </c>
      <c r="AA19" s="47">
        <f>Z19/3412</f>
        <v>0</v>
      </c>
      <c r="AB19" s="48">
        <f>AA19*2</f>
        <v>0</v>
      </c>
    </row>
    <row r="20" spans="1:28" ht="16.5" thickBot="1">
      <c r="A20" s="117" t="s">
        <v>443</v>
      </c>
      <c r="B20" s="117"/>
      <c r="C20" s="78">
        <f>V25</f>
        <v>0</v>
      </c>
      <c r="D20" s="5" t="s">
        <v>194</v>
      </c>
      <c r="F20" s="117" t="s">
        <v>22</v>
      </c>
      <c r="G20" s="117"/>
      <c r="H20" s="64">
        <f>V24</f>
        <v>0</v>
      </c>
      <c r="I20" s="6" t="s">
        <v>23</v>
      </c>
      <c r="O20" s="249" t="s">
        <v>182</v>
      </c>
      <c r="P20" s="249"/>
      <c r="T20" s="19"/>
      <c r="U20" s="23"/>
      <c r="V20" s="39">
        <f>IF(ISBLANK(P31)=TRUE,AB11,AA11+AA17)</f>
        <v>0</v>
      </c>
      <c r="W20" s="27" t="s">
        <v>129</v>
      </c>
      <c r="X20" s="38"/>
      <c r="Y20" s="38"/>
      <c r="Z20" s="38"/>
      <c r="AA20" s="38"/>
    </row>
    <row r="21" spans="1:28" ht="16.5" thickBot="1">
      <c r="A21" s="117" t="s">
        <v>303</v>
      </c>
      <c r="B21" s="117"/>
      <c r="C21" s="78">
        <f>P16</f>
        <v>0</v>
      </c>
      <c r="D21" s="5" t="s">
        <v>14</v>
      </c>
      <c r="F21" s="117" t="s">
        <v>22</v>
      </c>
      <c r="G21" s="117"/>
      <c r="H21" s="64">
        <f>H20*2.307</f>
        <v>0</v>
      </c>
      <c r="I21" s="6" t="s">
        <v>46</v>
      </c>
      <c r="O21" s="15" t="s">
        <v>91</v>
      </c>
      <c r="P21" s="9" t="s">
        <v>17</v>
      </c>
      <c r="Q21" s="277" t="str">
        <f>IF(P21="WATER",P21,P22&amp;"% "&amp;P21)</f>
        <v>Water</v>
      </c>
      <c r="R21" s="266"/>
      <c r="T21" s="19"/>
      <c r="U21" s="23"/>
      <c r="V21" s="33" t="e">
        <f>V19/V20</f>
        <v>#DIV/0!</v>
      </c>
      <c r="W21" s="23" t="s">
        <v>130</v>
      </c>
      <c r="X21" s="23"/>
      <c r="Y21" s="23"/>
      <c r="Z21" s="23"/>
      <c r="AA21" s="23"/>
    </row>
    <row r="22" spans="1:28" ht="16.5" thickBot="1">
      <c r="A22" s="117" t="s">
        <v>304</v>
      </c>
      <c r="B22" s="117"/>
      <c r="C22" s="78">
        <f>P17</f>
        <v>0</v>
      </c>
      <c r="D22" s="5" t="s">
        <v>14</v>
      </c>
      <c r="F22" s="117" t="s">
        <v>24</v>
      </c>
      <c r="G22" s="117"/>
      <c r="H22" s="78">
        <f>P18</f>
        <v>32</v>
      </c>
      <c r="I22" s="7" t="s">
        <v>14</v>
      </c>
      <c r="O22" s="16" t="s">
        <v>92</v>
      </c>
      <c r="P22" s="10"/>
      <c r="Q22" s="278"/>
      <c r="R22" s="268"/>
      <c r="T22" s="19"/>
      <c r="U22" s="23"/>
      <c r="V22" s="34" t="e">
        <f>12/V21</f>
        <v>#DIV/0!</v>
      </c>
      <c r="W22" s="35" t="s">
        <v>1</v>
      </c>
      <c r="X22" s="38"/>
      <c r="Y22" s="38"/>
      <c r="Z22" s="38"/>
      <c r="AA22" s="38"/>
    </row>
    <row r="23" spans="1:28">
      <c r="A23" s="117" t="s">
        <v>324</v>
      </c>
      <c r="B23" s="117"/>
      <c r="C23" s="78">
        <f>IF(ISBLANK(P31),V31,CONCATENATE(V31,"/",V37))</f>
        <v>0</v>
      </c>
      <c r="D23" s="5" t="s">
        <v>14</v>
      </c>
      <c r="F23" s="117"/>
      <c r="G23" s="117"/>
      <c r="H23" s="2"/>
      <c r="I23" s="7"/>
      <c r="O23" s="16" t="s">
        <v>89</v>
      </c>
      <c r="P23" s="10"/>
      <c r="T23" s="19"/>
      <c r="U23" s="19"/>
      <c r="V23" s="19"/>
      <c r="W23" s="19"/>
      <c r="X23" s="19"/>
      <c r="Y23" s="19"/>
      <c r="Z23" s="19"/>
      <c r="AA23" s="19"/>
    </row>
    <row r="24" spans="1:28">
      <c r="A24" s="117"/>
      <c r="B24" s="117"/>
      <c r="C24" s="2"/>
      <c r="D24" s="5"/>
      <c r="O24" s="16" t="s">
        <v>90</v>
      </c>
      <c r="P24" s="10"/>
      <c r="T24" s="36"/>
      <c r="U24" s="19"/>
      <c r="V24" s="51">
        <f>IF('FWCD Array Rating'!$P$10+'FWCD Array Rating'!$P$13 &lt; 2,Y32,(V25/Y24)^2)</f>
        <v>0</v>
      </c>
      <c r="W24" s="19" t="s">
        <v>131</v>
      </c>
      <c r="X24" s="19"/>
      <c r="Y24" s="195">
        <f t="array" ref="Y24">INDEX('Look Up Tables'!AC7:AF30,MATCH(P4&amp;P29,'Look Up Tables'!AC7:AC30&amp;'Look Up Tables'!AD7:AD30,0),3)</f>
        <v>24.9</v>
      </c>
      <c r="Z24" s="88" t="s">
        <v>371</v>
      </c>
      <c r="AA24" s="19"/>
    </row>
    <row r="25" spans="1:28" ht="19.5" thickBot="1">
      <c r="A25" s="250" t="s">
        <v>181</v>
      </c>
      <c r="B25" s="250"/>
      <c r="C25" s="250"/>
      <c r="D25" s="250"/>
      <c r="E25" s="250"/>
      <c r="F25" s="250"/>
      <c r="G25" s="250"/>
      <c r="H25" s="250"/>
      <c r="I25" s="250"/>
      <c r="J25" s="250"/>
      <c r="O25" s="17" t="s">
        <v>24</v>
      </c>
      <c r="P25" s="128">
        <f>IF(P21="P.G.",INDEX(FreezePoint_PG,MATCH(P22,Percent_PG)),IF(P21="E.G.",INDEX(FreezePoint__EG,MATCH(P22,Percent_EG,0)),IF(P21="Water",32,"ERR")))</f>
        <v>32</v>
      </c>
      <c r="T25" s="19"/>
      <c r="U25" s="19"/>
      <c r="V25" s="50">
        <f>Y34</f>
        <v>0</v>
      </c>
      <c r="W25" s="37" t="s">
        <v>132</v>
      </c>
      <c r="X25" s="37"/>
      <c r="Y25" s="37"/>
      <c r="Z25" s="37"/>
      <c r="AA25" s="37"/>
    </row>
    <row r="26" spans="1:28" ht="17.25">
      <c r="A26" s="117" t="s">
        <v>302</v>
      </c>
      <c r="B26" s="117"/>
      <c r="C26" s="18" t="str">
        <f>Q21</f>
        <v>Water</v>
      </c>
      <c r="D26" s="5"/>
      <c r="F26" s="117" t="s">
        <v>21</v>
      </c>
      <c r="G26" s="117"/>
      <c r="H26" s="84">
        <v>2.5000000000000001E-4</v>
      </c>
      <c r="I26" s="7" t="s">
        <v>25</v>
      </c>
    </row>
    <row r="27" spans="1:28">
      <c r="A27" s="117" t="s">
        <v>446</v>
      </c>
      <c r="B27" s="117"/>
      <c r="C27" s="78">
        <f>V28</f>
        <v>0</v>
      </c>
      <c r="D27" s="5" t="s">
        <v>194</v>
      </c>
      <c r="F27" s="117" t="s">
        <v>22</v>
      </c>
      <c r="G27" s="117"/>
      <c r="H27" s="78">
        <f>V27</f>
        <v>0</v>
      </c>
      <c r="I27" s="6" t="s">
        <v>23</v>
      </c>
      <c r="V27" s="51">
        <f>IF('FWCD Array Rating'!$P$10+'FWCD Array Rating'!$P$13 &lt; 2,AA32,(V28/Y27)^2)</f>
        <v>0</v>
      </c>
      <c r="W27" s="88" t="s">
        <v>184</v>
      </c>
      <c r="Y27" s="196">
        <f t="array" ref="Y27">INDEX('Look Up Tables'!AC7:AF30,MATCH(P4&amp;P29,'Look Up Tables'!AC7:AC30&amp;'Look Up Tables'!AD7:AD30,0),4)</f>
        <v>30.31</v>
      </c>
      <c r="Z27" t="s">
        <v>372</v>
      </c>
    </row>
    <row r="28" spans="1:28" ht="15.75" thickBot="1">
      <c r="A28" s="117" t="s">
        <v>303</v>
      </c>
      <c r="B28" s="117"/>
      <c r="C28" s="78">
        <f>P23</f>
        <v>0</v>
      </c>
      <c r="D28" s="5" t="s">
        <v>14</v>
      </c>
      <c r="F28" s="117" t="s">
        <v>22</v>
      </c>
      <c r="G28" s="117"/>
      <c r="H28" s="64">
        <f>H27*2.307</f>
        <v>0</v>
      </c>
      <c r="I28" s="6" t="s">
        <v>46</v>
      </c>
      <c r="O28" s="72" t="s">
        <v>13</v>
      </c>
      <c r="P28" s="72"/>
      <c r="V28" s="50">
        <f>AA34</f>
        <v>0</v>
      </c>
      <c r="W28" s="37" t="s">
        <v>185</v>
      </c>
    </row>
    <row r="29" spans="1:28" ht="15.75" thickBot="1">
      <c r="A29" s="117" t="s">
        <v>304</v>
      </c>
      <c r="B29" s="117"/>
      <c r="C29" s="78">
        <f>P24</f>
        <v>0</v>
      </c>
      <c r="D29" s="5" t="s">
        <v>14</v>
      </c>
      <c r="F29" s="117" t="s">
        <v>325</v>
      </c>
      <c r="G29" s="117"/>
      <c r="H29" s="78">
        <f>IF(ISBLANK(P31),V32,CONCATENATE(V32,"/",V38))</f>
        <v>0</v>
      </c>
      <c r="I29" s="5" t="s">
        <v>14</v>
      </c>
      <c r="O29" s="52" t="s">
        <v>11</v>
      </c>
      <c r="P29" s="53" t="s">
        <v>12</v>
      </c>
      <c r="Q29" s="1" t="s">
        <v>109</v>
      </c>
    </row>
    <row r="30" spans="1:28" ht="15.75" thickBot="1">
      <c r="A30" s="117" t="s">
        <v>326</v>
      </c>
      <c r="B30" s="117"/>
      <c r="C30" s="90">
        <f>IF(Z18=0,(AB12*12000)/1000,((AA12+AA18)*12000)/1000)</f>
        <v>0</v>
      </c>
      <c r="D30" s="5" t="s">
        <v>142</v>
      </c>
      <c r="F30" s="117" t="s">
        <v>384</v>
      </c>
      <c r="G30" s="117"/>
      <c r="H30" s="78">
        <f>IF(ISBLANK(P31),V33,CONCATENATE(V33,"/",V39))</f>
        <v>0</v>
      </c>
      <c r="I30" s="5" t="s">
        <v>14</v>
      </c>
      <c r="O30" s="12" t="s">
        <v>2</v>
      </c>
      <c r="P30" s="54"/>
      <c r="Q30" s="9"/>
      <c r="U30" s="255" t="str">
        <f>"CRKT #1 - "&amp;P30</f>
        <v xml:space="preserve">CRKT #1 - </v>
      </c>
      <c r="V30" s="256"/>
      <c r="Y30" s="271" t="s">
        <v>358</v>
      </c>
      <c r="Z30" s="272"/>
      <c r="AA30" s="279" t="s">
        <v>359</v>
      </c>
      <c r="AB30" s="272"/>
    </row>
    <row r="31" spans="1:28" ht="15.75" thickBot="1">
      <c r="H31" s="82"/>
      <c r="O31" s="12" t="s">
        <v>3</v>
      </c>
      <c r="P31" s="54"/>
      <c r="Q31" s="11"/>
      <c r="U31" s="58" t="s">
        <v>133</v>
      </c>
      <c r="V31" s="59"/>
      <c r="Y31" s="14"/>
      <c r="Z31" s="244" t="s">
        <v>440</v>
      </c>
      <c r="AA31" s="201"/>
      <c r="AB31" s="244" t="s">
        <v>440</v>
      </c>
    </row>
    <row r="32" spans="1:28" ht="19.5" thickBot="1">
      <c r="A32" s="250" t="s">
        <v>13</v>
      </c>
      <c r="B32" s="250"/>
      <c r="C32" s="250"/>
      <c r="D32" s="250"/>
      <c r="E32" s="250"/>
      <c r="F32" s="250"/>
      <c r="G32" s="250"/>
      <c r="H32" s="250"/>
      <c r="I32" s="250"/>
      <c r="J32" s="250"/>
      <c r="O32" s="14" t="s">
        <v>113</v>
      </c>
      <c r="P32" s="62">
        <f>IF(ISBLANK(P30),0,INDEX('Look Up Tables'!M5:M7,MATCH(P29,'Look Up Tables'!L5:L7,0)))</f>
        <v>0</v>
      </c>
      <c r="U32" s="60" t="s">
        <v>135</v>
      </c>
      <c r="V32" s="59"/>
      <c r="Y32" s="13">
        <f>Y31*0.14503774</f>
        <v>0</v>
      </c>
      <c r="Z32" s="243" t="s">
        <v>23</v>
      </c>
      <c r="AA32" s="13">
        <f>AA31*0.14503774</f>
        <v>0</v>
      </c>
      <c r="AB32" s="243" t="s">
        <v>23</v>
      </c>
    </row>
    <row r="33" spans="1:28">
      <c r="A33" s="117" t="s">
        <v>329</v>
      </c>
      <c r="B33" s="117"/>
      <c r="C33" s="18" t="str">
        <f>P29</f>
        <v>460/3/60</v>
      </c>
      <c r="D33" s="1" t="s">
        <v>180</v>
      </c>
      <c r="F33" s="117" t="s">
        <v>331</v>
      </c>
      <c r="G33" s="117"/>
      <c r="H33" s="18">
        <f>P41</f>
        <v>5</v>
      </c>
      <c r="I33" s="1" t="s">
        <v>178</v>
      </c>
      <c r="O33" s="12" t="s">
        <v>114</v>
      </c>
      <c r="P33" s="55">
        <f>IF(ISBLANK(P31),0,INDEX('Look Up Tables'!M5:M7,MATCH(P29,'Look Up Tables'!L5:L7,0)))</f>
        <v>0</v>
      </c>
      <c r="U33" s="12" t="s">
        <v>382</v>
      </c>
      <c r="V33" s="59"/>
      <c r="Y33" s="12"/>
      <c r="Z33" s="242" t="s">
        <v>441</v>
      </c>
      <c r="AA33" s="113"/>
      <c r="AB33" s="242" t="s">
        <v>441</v>
      </c>
    </row>
    <row r="34" spans="1:28" ht="15.75" thickBot="1">
      <c r="A34" s="117" t="s">
        <v>330</v>
      </c>
      <c r="B34" s="117"/>
      <c r="C34" s="18">
        <f>P32*0.9</f>
        <v>0</v>
      </c>
      <c r="D34" s="1" t="s">
        <v>176</v>
      </c>
      <c r="F34" s="117" t="s">
        <v>143</v>
      </c>
      <c r="G34" s="117"/>
      <c r="H34" s="64">
        <f>P39</f>
        <v>0</v>
      </c>
      <c r="I34" s="1" t="s">
        <v>179</v>
      </c>
      <c r="O34" s="12" t="s">
        <v>117</v>
      </c>
      <c r="P34" s="56">
        <f>IF(ISBLANK(P30),0,INDEX('Look Up Tables'!G5:G47,MATCH(P30,'Look Up Tables'!B5:B47,0)))</f>
        <v>0</v>
      </c>
      <c r="U34" s="13" t="s">
        <v>136</v>
      </c>
      <c r="V34" s="212">
        <f>V32-5</f>
        <v>-5</v>
      </c>
      <c r="Y34" s="13">
        <f>Y33/500.72</f>
        <v>0</v>
      </c>
      <c r="Z34" s="243" t="s">
        <v>442</v>
      </c>
      <c r="AA34" s="13">
        <f>AA33/500.72</f>
        <v>0</v>
      </c>
      <c r="AB34" s="243" t="s">
        <v>442</v>
      </c>
    </row>
    <row r="35" spans="1:28" ht="15.75" thickBot="1">
      <c r="A35" s="117" t="s">
        <v>328</v>
      </c>
      <c r="B35" s="117"/>
      <c r="C35" s="18">
        <f>P32*1.1</f>
        <v>0</v>
      </c>
      <c r="D35" s="1" t="s">
        <v>176</v>
      </c>
      <c r="F35" s="117" t="s">
        <v>144</v>
      </c>
      <c r="G35" s="117"/>
      <c r="H35" s="64">
        <f>P40</f>
        <v>0</v>
      </c>
      <c r="I35" s="1" t="s">
        <v>179</v>
      </c>
      <c r="O35" s="13" t="s">
        <v>118</v>
      </c>
      <c r="P35" s="57">
        <f>IF(ISBLANK(P31),0,INDEX('Look Up Tables'!G5:G47,MATCH(P31,'Look Up Tables'!B5:B47,0)))</f>
        <v>0</v>
      </c>
    </row>
    <row r="36" spans="1:28">
      <c r="O36" s="113"/>
      <c r="P36" s="241"/>
      <c r="U36" s="206" t="str">
        <f>"CRKT #2 - "&amp;P31</f>
        <v xml:space="preserve">CRKT #2 - </v>
      </c>
      <c r="V36" s="207"/>
    </row>
    <row r="37" spans="1:28" ht="15.75" thickBot="1">
      <c r="C37" s="4" t="s">
        <v>36</v>
      </c>
      <c r="D37" s="4" t="s">
        <v>4</v>
      </c>
      <c r="E37" s="4" t="s">
        <v>5</v>
      </c>
      <c r="F37" s="4" t="s">
        <v>6</v>
      </c>
      <c r="G37" s="4" t="s">
        <v>7</v>
      </c>
      <c r="H37" s="4" t="s">
        <v>8</v>
      </c>
      <c r="I37" s="4" t="s">
        <v>9</v>
      </c>
      <c r="J37" s="4" t="s">
        <v>10</v>
      </c>
      <c r="U37" s="58" t="s">
        <v>133</v>
      </c>
      <c r="V37" s="59"/>
    </row>
    <row r="38" spans="1:28">
      <c r="A38" s="117" t="s">
        <v>332</v>
      </c>
      <c r="B38" s="117"/>
      <c r="C38" s="18" t="e">
        <f>INDEX('Look Up Tables'!C5:C47,MATCH(P30,'Look Up Tables'!B5:B47,0))</f>
        <v>#N/A</v>
      </c>
      <c r="D38" s="18" t="str">
        <f>IF(ISBLANK(Q30)=TRUE," ",Q30)</f>
        <v xml:space="preserve"> </v>
      </c>
      <c r="E38" s="18"/>
      <c r="F38" s="18" t="str">
        <f>IF(ISBLANK(P30)=TRUE," ",P32)</f>
        <v xml:space="preserve"> </v>
      </c>
      <c r="G38" s="18" t="str">
        <f>IF(ISBLANK(P30)=TRUE," ",3)</f>
        <v xml:space="preserve"> </v>
      </c>
      <c r="H38" s="18"/>
      <c r="I38" s="18"/>
      <c r="J38" s="63" t="str">
        <f>IF(ISBLANK(Q30),"",P34)</f>
        <v/>
      </c>
      <c r="O38" s="230" t="s">
        <v>438</v>
      </c>
      <c r="P38" s="231">
        <f>IF(ISBLANK(P30),0,2.25*MAX(P34,P35)+(SUM(P34*Q30,P35*Q31,)-MAX(P34,P35)))</f>
        <v>0</v>
      </c>
      <c r="U38" s="60" t="s">
        <v>135</v>
      </c>
      <c r="V38" s="59"/>
    </row>
    <row r="39" spans="1:28">
      <c r="A39" s="117" t="s">
        <v>333</v>
      </c>
      <c r="B39" s="117"/>
      <c r="C39" s="18" t="str">
        <f>IF(ISBLANK(P31)=TRUE," ",INDEX('Look Up Tables'!C5:C47,MATCH(P31,'Look Up Tables'!B5:B47,0)))</f>
        <v xml:space="preserve"> </v>
      </c>
      <c r="D39" s="18" t="str">
        <f>IF(ISBLANK(Q31)=TRUE," ",Q31)</f>
        <v xml:space="preserve"> </v>
      </c>
      <c r="E39" s="18"/>
      <c r="F39" s="18" t="str">
        <f>IF(ISBLANK(P31)=TRUE," ",P33)</f>
        <v xml:space="preserve"> </v>
      </c>
      <c r="G39" s="18" t="str">
        <f>IF(ISBLANK(P31)=TRUE," ",3)</f>
        <v xml:space="preserve"> </v>
      </c>
      <c r="H39" s="18"/>
      <c r="I39" s="18"/>
      <c r="J39" s="63" t="str">
        <f>IF(ISBLANK(Q31),"",P35)</f>
        <v/>
      </c>
      <c r="O39" s="229" t="s">
        <v>143</v>
      </c>
      <c r="P39" s="55">
        <f>IF(ISBLANK(P30),0,INDEX('Look Up Tables'!$AR$8:$AR$45,MATCH(LARGE('Look Up Tables'!$AR$8:$AR$45,COUNTIF('Look Up Tables'!$AR$8:$AR$45,"&gt; "&amp;P38)+1),'Look Up Tables'!$AR$8:$AR$45,0)))</f>
        <v>0</v>
      </c>
      <c r="U39" s="208" t="s">
        <v>382</v>
      </c>
      <c r="V39" s="59"/>
    </row>
    <row r="40" spans="1:28" ht="15.75" thickBot="1">
      <c r="A40" s="117"/>
      <c r="B40" s="117"/>
      <c r="C40" s="18"/>
      <c r="D40" s="18"/>
      <c r="E40" s="64"/>
      <c r="F40" s="18"/>
      <c r="G40" s="18"/>
      <c r="I40" s="18"/>
      <c r="J40" s="18"/>
      <c r="O40" s="12" t="s">
        <v>144</v>
      </c>
      <c r="P40" s="56">
        <f>IF(ISBLANK(P30),0,1.25*MAX(P34,P35)+(SUM(P34*Q30,P35*Q31)-MAX(P34,P35)))</f>
        <v>0</v>
      </c>
      <c r="U40" s="13" t="s">
        <v>136</v>
      </c>
      <c r="V40" s="212">
        <f>V38-5</f>
        <v>-5</v>
      </c>
      <c r="Y40" s="19"/>
    </row>
    <row r="41" spans="1:28" ht="19.5" thickBot="1">
      <c r="A41" s="250" t="s">
        <v>56</v>
      </c>
      <c r="B41" s="250"/>
      <c r="C41" s="250"/>
      <c r="D41" s="250"/>
      <c r="E41" s="250"/>
      <c r="F41" s="250"/>
      <c r="G41" s="250"/>
      <c r="H41" s="250"/>
      <c r="I41" s="250"/>
      <c r="J41" s="250"/>
      <c r="O41" s="13" t="s">
        <v>177</v>
      </c>
      <c r="P41" s="71">
        <v>5</v>
      </c>
      <c r="Y41" s="19"/>
    </row>
    <row r="42" spans="1:28">
      <c r="A42" s="117" t="s">
        <v>334</v>
      </c>
      <c r="B42" s="117"/>
      <c r="C42" s="75" t="str">
        <f>P44</f>
        <v>Brazed Plate</v>
      </c>
      <c r="D42" s="8"/>
      <c r="F42" s="117" t="s">
        <v>52</v>
      </c>
      <c r="G42" s="117"/>
      <c r="H42" s="78">
        <f>P46</f>
        <v>60</v>
      </c>
      <c r="I42" s="1" t="s">
        <v>54</v>
      </c>
      <c r="Y42" s="19"/>
    </row>
    <row r="43" spans="1:28" ht="15.75" thickBot="1">
      <c r="A43" s="117" t="s">
        <v>335</v>
      </c>
      <c r="B43" s="117"/>
      <c r="C43" s="75" t="str">
        <f>P45</f>
        <v>Brazed Plate</v>
      </c>
      <c r="F43" s="117" t="s">
        <v>53</v>
      </c>
      <c r="G43" s="117"/>
      <c r="H43" s="78">
        <f>P47</f>
        <v>31.5</v>
      </c>
      <c r="I43" s="1" t="s">
        <v>54</v>
      </c>
      <c r="O43" s="72" t="s">
        <v>56</v>
      </c>
      <c r="P43" s="72"/>
      <c r="Y43" s="19"/>
    </row>
    <row r="44" spans="1:28">
      <c r="A44" s="74" t="s">
        <v>44</v>
      </c>
      <c r="B44" s="74"/>
      <c r="C44" s="75" t="s">
        <v>43</v>
      </c>
      <c r="F44" s="117" t="s">
        <v>55</v>
      </c>
      <c r="G44" s="117"/>
      <c r="H44" s="78">
        <f>P48</f>
        <v>76</v>
      </c>
      <c r="I44" s="1" t="s">
        <v>54</v>
      </c>
      <c r="O44" s="15" t="s">
        <v>146</v>
      </c>
      <c r="P44" s="9" t="s">
        <v>57</v>
      </c>
    </row>
    <row r="45" spans="1:28">
      <c r="O45" s="12" t="s">
        <v>183</v>
      </c>
      <c r="P45" s="10" t="s">
        <v>57</v>
      </c>
    </row>
    <row r="46" spans="1:28" ht="15" customHeight="1">
      <c r="O46" s="16" t="s">
        <v>52</v>
      </c>
      <c r="P46" s="122">
        <v>60</v>
      </c>
    </row>
    <row r="47" spans="1:28" ht="15" customHeight="1">
      <c r="O47" s="16" t="s">
        <v>53</v>
      </c>
      <c r="P47" s="122">
        <v>31.5</v>
      </c>
    </row>
    <row r="48" spans="1:28" ht="15" customHeight="1" thickBot="1">
      <c r="O48" s="17" t="s">
        <v>55</v>
      </c>
      <c r="P48" s="115">
        <v>76</v>
      </c>
    </row>
    <row r="51" spans="1:10" ht="15" customHeight="1">
      <c r="G51" s="251" t="s">
        <v>175</v>
      </c>
      <c r="H51" s="251"/>
      <c r="I51" s="251"/>
      <c r="J51" s="251"/>
    </row>
    <row r="52" spans="1:10" ht="15" customHeight="1" thickBot="1">
      <c r="A52" s="85"/>
      <c r="B52" s="85"/>
      <c r="C52" s="85"/>
      <c r="D52" s="85"/>
      <c r="E52" s="85"/>
      <c r="F52" s="85"/>
      <c r="G52" s="252"/>
      <c r="H52" s="252"/>
      <c r="I52" s="252"/>
      <c r="J52" s="252"/>
    </row>
    <row r="53" spans="1:10" ht="15.75" thickTop="1"/>
    <row r="71" ht="15" customHeight="1"/>
    <row r="72" ht="15.75" customHeight="1"/>
    <row r="108" spans="1:10">
      <c r="G108" s="251" t="s">
        <v>274</v>
      </c>
      <c r="H108" s="251"/>
      <c r="I108" s="251"/>
      <c r="J108" s="251"/>
    </row>
    <row r="109" spans="1:10" ht="15.75" thickBot="1">
      <c r="A109" s="85"/>
      <c r="B109" s="85"/>
      <c r="C109" s="85"/>
      <c r="D109" s="85"/>
      <c r="E109" s="85"/>
      <c r="F109" s="85"/>
      <c r="G109" s="252"/>
      <c r="H109" s="252"/>
      <c r="I109" s="252"/>
      <c r="J109" s="252"/>
    </row>
    <row r="110" spans="1:10" ht="15.75" thickTop="1"/>
    <row r="111" spans="1:10">
      <c r="A111" s="117" t="s">
        <v>275</v>
      </c>
    </row>
  </sheetData>
  <mergeCells count="26">
    <mergeCell ref="Y9:AB9"/>
    <mergeCell ref="G1:J2"/>
    <mergeCell ref="O3:P3"/>
    <mergeCell ref="A4:J4"/>
    <mergeCell ref="O6:P6"/>
    <mergeCell ref="A7:J7"/>
    <mergeCell ref="A5:J5"/>
    <mergeCell ref="O20:P20"/>
    <mergeCell ref="U30:V30"/>
    <mergeCell ref="Z10:AA10"/>
    <mergeCell ref="T11:T14"/>
    <mergeCell ref="A12:J12"/>
    <mergeCell ref="O13:P13"/>
    <mergeCell ref="Q14:R15"/>
    <mergeCell ref="T15:T18"/>
    <mergeCell ref="Y15:AB15"/>
    <mergeCell ref="Z16:AA16"/>
    <mergeCell ref="Q21:R22"/>
    <mergeCell ref="A18:J18"/>
    <mergeCell ref="Y30:Z30"/>
    <mergeCell ref="AA30:AB30"/>
    <mergeCell ref="G51:J52"/>
    <mergeCell ref="A25:J25"/>
    <mergeCell ref="A32:J32"/>
    <mergeCell ref="A41:J41"/>
    <mergeCell ref="G108:J109"/>
  </mergeCells>
  <conditionalFormatting sqref="C21:C22">
    <cfRule type="cellIs" dxfId="71" priority="21" operator="equal">
      <formula>0</formula>
    </cfRule>
  </conditionalFormatting>
  <conditionalFormatting sqref="H22">
    <cfRule type="cellIs" dxfId="70" priority="20" operator="equal">
      <formula>0</formula>
    </cfRule>
  </conditionalFormatting>
  <conditionalFormatting sqref="H20">
    <cfRule type="cellIs" dxfId="69" priority="14" operator="equal">
      <formula>0</formula>
    </cfRule>
  </conditionalFormatting>
  <conditionalFormatting sqref="C20">
    <cfRule type="cellIs" dxfId="68" priority="13" operator="equal">
      <formula>0</formula>
    </cfRule>
  </conditionalFormatting>
  <conditionalFormatting sqref="H34:H35">
    <cfRule type="cellIs" dxfId="67" priority="17" operator="equal">
      <formula>0</formula>
    </cfRule>
  </conditionalFormatting>
  <conditionalFormatting sqref="C23">
    <cfRule type="cellIs" dxfId="66" priority="15" operator="equal">
      <formula>0</formula>
    </cfRule>
  </conditionalFormatting>
  <conditionalFormatting sqref="C14 C16">
    <cfRule type="cellIs" dxfId="65" priority="12" operator="equal">
      <formula>0</formula>
    </cfRule>
  </conditionalFormatting>
  <conditionalFormatting sqref="A5">
    <cfRule type="cellIs" dxfId="64" priority="11" operator="equal">
      <formula>0</formula>
    </cfRule>
  </conditionalFormatting>
  <conditionalFormatting sqref="C28:C29">
    <cfRule type="cellIs" dxfId="63" priority="9" operator="equal">
      <formula>0</formula>
    </cfRule>
  </conditionalFormatting>
  <conditionalFormatting sqref="H29:H30">
    <cfRule type="cellIs" dxfId="62" priority="7" operator="equal">
      <formula>0</formula>
    </cfRule>
  </conditionalFormatting>
  <conditionalFormatting sqref="C27">
    <cfRule type="cellIs" dxfId="61" priority="5" operator="equal">
      <formula>0</formula>
    </cfRule>
  </conditionalFormatting>
  <conditionalFormatting sqref="C9">
    <cfRule type="cellIs" dxfId="60" priority="4" operator="equal">
      <formula>0</formula>
    </cfRule>
  </conditionalFormatting>
  <conditionalFormatting sqref="C30">
    <cfRule type="cellIs" dxfId="59" priority="3" operator="equal">
      <formula>0</formula>
    </cfRule>
  </conditionalFormatting>
  <conditionalFormatting sqref="H8:H9">
    <cfRule type="cellIs" dxfId="58" priority="2" operator="equal">
      <formula>0</formula>
    </cfRule>
  </conditionalFormatting>
  <conditionalFormatting sqref="H27">
    <cfRule type="cellIs" dxfId="57" priority="1" operator="equal">
      <formula>0</formula>
    </cfRule>
  </conditionalFormatting>
  <printOptions horizontalCentered="1"/>
  <pageMargins left="0.7" right="0.7" top="0.75" bottom="0.75" header="0.3" footer="0.3"/>
  <pageSetup scale="81" orientation="portrait" r:id="rId1"/>
  <headerFooter>
    <oddFooter>&amp;Lwww.JetsonHVAC.com&amp;RPage &amp;P of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'Look Up Tables'!$I$5:$I$18</xm:f>
          </x14:formula1>
          <xm:sqref>P22 P15</xm:sqref>
        </x14:dataValidation>
        <x14:dataValidation type="list" allowBlank="1" showInputMessage="1" showErrorMessage="1">
          <x14:formula1>
            <xm:f>'Look Up Tables'!$U$5:$U$6</xm:f>
          </x14:formula1>
          <xm:sqref>P45</xm:sqref>
        </x14:dataValidation>
        <x14:dataValidation type="list" allowBlank="1" showInputMessage="1" showErrorMessage="1">
          <x14:formula1>
            <xm:f>'Look Up Tables'!$P$5:$P$15</xm:f>
          </x14:formula1>
          <xm:sqref>Q30:Q31</xm:sqref>
        </x14:dataValidation>
        <x14:dataValidation type="list" allowBlank="1" showInputMessage="1" showErrorMessage="1">
          <x14:formula1>
            <xm:f>'Look Up Tables'!$L$5:$L$7</xm:f>
          </x14:formula1>
          <xm:sqref>P29</xm:sqref>
        </x14:dataValidation>
        <x14:dataValidation type="list" allowBlank="1" showInputMessage="1" showErrorMessage="1">
          <x14:formula1>
            <xm:f>'Look Up Tables'!$J$5:$J$7</xm:f>
          </x14:formula1>
          <xm:sqref>P21 P14</xm:sqref>
        </x14:dataValidation>
        <x14:dataValidation type="list" allowBlank="1" showInputMessage="1" showErrorMessage="1">
          <x14:formula1>
            <xm:f>'Look Up Tables'!$T$5:$T$9</xm:f>
          </x14:formula1>
          <xm:sqref>P44</xm:sqref>
        </x14:dataValidation>
        <x14:dataValidation type="list" allowBlank="1" showInputMessage="1" showErrorMessage="1">
          <x14:formula1>
            <xm:f>'Look Up Tables'!$AH$7:$AH$14</xm:f>
          </x14:formula1>
          <xm:sqref>P4</xm:sqref>
        </x14:dataValidation>
        <x14:dataValidation type="list" allowBlank="1" showInputMessage="1" showErrorMessage="1">
          <x14:formula1>
            <xm:f>'Look Up Tables'!$B$5:$B$47</xm:f>
          </x14:formula1>
          <xm:sqref>P30:P31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113"/>
  <sheetViews>
    <sheetView zoomScale="85" zoomScaleNormal="85" zoomScaleSheetLayoutView="115" workbookViewId="0"/>
  </sheetViews>
  <sheetFormatPr defaultColWidth="8.85546875" defaultRowHeight="15"/>
  <cols>
    <col min="1" max="4" width="11" style="1" customWidth="1"/>
    <col min="5" max="5" width="8.28515625" style="1" customWidth="1"/>
    <col min="6" max="6" width="11" style="1" customWidth="1"/>
    <col min="7" max="7" width="13.140625" style="1" customWidth="1"/>
    <col min="8" max="10" width="11" style="1" customWidth="1"/>
    <col min="15" max="16" width="22" customWidth="1"/>
    <col min="21" max="22" width="21.28515625" customWidth="1"/>
    <col min="23" max="23" width="9.85546875" bestFit="1" customWidth="1"/>
    <col min="24" max="27" width="9.85546875" customWidth="1"/>
  </cols>
  <sheetData>
    <row r="1" spans="1:28" ht="15" customHeight="1">
      <c r="G1" s="251" t="s">
        <v>172</v>
      </c>
      <c r="H1" s="251"/>
      <c r="I1" s="251"/>
      <c r="J1" s="251"/>
    </row>
    <row r="2" spans="1:28" ht="15.75" thickBot="1">
      <c r="A2" s="85"/>
      <c r="B2" s="85"/>
      <c r="C2" s="85"/>
      <c r="D2" s="85"/>
      <c r="E2" s="85"/>
      <c r="F2" s="85"/>
      <c r="G2" s="252"/>
      <c r="H2" s="252"/>
      <c r="I2" s="252"/>
      <c r="J2" s="252"/>
    </row>
    <row r="3" spans="1:28" ht="16.5" thickTop="1" thickBot="1">
      <c r="G3" s="86" t="s">
        <v>173</v>
      </c>
      <c r="H3" s="87">
        <v>1.2</v>
      </c>
      <c r="I3" s="86" t="s">
        <v>174</v>
      </c>
      <c r="J3" s="87">
        <v>7854991</v>
      </c>
      <c r="O3" s="249" t="s">
        <v>39</v>
      </c>
      <c r="P3" s="249"/>
    </row>
    <row r="4" spans="1:28" ht="19.5" thickBot="1">
      <c r="A4" s="250" t="s">
        <v>36</v>
      </c>
      <c r="B4" s="250"/>
      <c r="C4" s="250"/>
      <c r="D4" s="250"/>
      <c r="E4" s="250"/>
      <c r="F4" s="250"/>
      <c r="G4" s="250"/>
      <c r="H4" s="250"/>
      <c r="I4" s="250"/>
      <c r="J4" s="250"/>
      <c r="O4" s="123" t="s">
        <v>36</v>
      </c>
      <c r="P4" s="124" t="s">
        <v>360</v>
      </c>
    </row>
    <row r="5" spans="1:28" ht="18.75">
      <c r="A5" s="254" t="str">
        <f>CONCATENATE(P4,"-",VLOOKUP(P29,'Look Up Tables'!L5:N7,3))</f>
        <v>FWCD-015-F</v>
      </c>
      <c r="B5" s="254"/>
      <c r="C5" s="254"/>
      <c r="D5" s="254"/>
      <c r="E5" s="254"/>
      <c r="F5" s="254"/>
      <c r="G5" s="254"/>
      <c r="H5" s="254"/>
      <c r="I5" s="254"/>
      <c r="J5" s="254"/>
    </row>
    <row r="6" spans="1:28" ht="15.75" thickBot="1">
      <c r="O6" s="249" t="s">
        <v>39</v>
      </c>
      <c r="P6" s="249"/>
    </row>
    <row r="7" spans="1:28" ht="18.75">
      <c r="A7" s="250" t="s">
        <v>39</v>
      </c>
      <c r="B7" s="250"/>
      <c r="C7" s="250"/>
      <c r="D7" s="250"/>
      <c r="E7" s="250"/>
      <c r="F7" s="250"/>
      <c r="G7" s="250"/>
      <c r="H7" s="250"/>
      <c r="I7" s="250"/>
      <c r="J7" s="250"/>
      <c r="O7" s="15" t="s">
        <v>60</v>
      </c>
      <c r="P7" s="62">
        <f>'FWCD Primary Unit Rating'!P7</f>
        <v>0</v>
      </c>
    </row>
    <row r="8" spans="1:28" ht="15.75" thickBot="1">
      <c r="A8" s="117" t="s">
        <v>288</v>
      </c>
      <c r="B8" s="117"/>
      <c r="C8" s="68" t="s">
        <v>59</v>
      </c>
      <c r="D8" s="69"/>
      <c r="F8" s="117" t="s">
        <v>60</v>
      </c>
      <c r="G8" s="117"/>
      <c r="H8" s="117">
        <f>P7</f>
        <v>0</v>
      </c>
      <c r="I8" s="5"/>
      <c r="O8" s="16" t="s">
        <v>61</v>
      </c>
      <c r="P8" s="55">
        <f>'FWCD Primary Unit Rating'!P8</f>
        <v>0</v>
      </c>
    </row>
    <row r="9" spans="1:28" ht="15.75" thickBot="1">
      <c r="A9" s="117" t="s">
        <v>40</v>
      </c>
      <c r="B9" s="117"/>
      <c r="C9" s="75">
        <f>P9</f>
        <v>0</v>
      </c>
      <c r="D9" s="75"/>
      <c r="F9" s="117" t="s">
        <v>61</v>
      </c>
      <c r="G9" s="117"/>
      <c r="H9" s="83">
        <f>P8</f>
        <v>0</v>
      </c>
      <c r="I9" s="5"/>
      <c r="O9" s="16" t="s">
        <v>40</v>
      </c>
      <c r="P9" s="55">
        <f>'FWCD Primary Unit Rating'!P9</f>
        <v>0</v>
      </c>
      <c r="T9" s="19"/>
      <c r="U9" s="20" t="s">
        <v>121</v>
      </c>
      <c r="V9" s="21" t="s">
        <v>30</v>
      </c>
      <c r="W9" s="19"/>
      <c r="X9" s="19"/>
      <c r="Y9" s="259" t="str">
        <f>"COMP SIZE 1 - "&amp;P30</f>
        <v xml:space="preserve">COMP SIZE 1 - </v>
      </c>
      <c r="Z9" s="260"/>
      <c r="AA9" s="260"/>
      <c r="AB9" s="261"/>
    </row>
    <row r="10" spans="1:28" ht="16.5" thickBot="1">
      <c r="A10" s="117" t="s">
        <v>42</v>
      </c>
      <c r="B10" s="117"/>
      <c r="C10" s="92">
        <f ca="1">P10</f>
        <v>44153</v>
      </c>
      <c r="D10" s="69"/>
      <c r="I10" s="5"/>
      <c r="O10" s="16" t="s">
        <v>63</v>
      </c>
      <c r="P10" s="56">
        <f ca="1">'FWCD Primary Unit Rating'!P10</f>
        <v>44153</v>
      </c>
      <c r="T10" s="19"/>
      <c r="U10" s="22" t="s">
        <v>122</v>
      </c>
      <c r="V10" s="23">
        <v>0.5</v>
      </c>
      <c r="W10" s="23"/>
      <c r="X10" s="23"/>
      <c r="Y10" s="19"/>
      <c r="Z10" s="257" t="s">
        <v>137</v>
      </c>
      <c r="AA10" s="258"/>
      <c r="AB10" s="121" t="s">
        <v>138</v>
      </c>
    </row>
    <row r="11" spans="1:28" ht="16.5" thickBot="1">
      <c r="O11" s="17" t="s">
        <v>62</v>
      </c>
      <c r="P11" s="57">
        <f>'FWCD Primary Unit Rating'!P11</f>
        <v>0</v>
      </c>
      <c r="T11" s="262" t="s">
        <v>123</v>
      </c>
      <c r="U11" s="24" t="s">
        <v>124</v>
      </c>
      <c r="V11" s="25">
        <f>AA13</f>
        <v>0</v>
      </c>
      <c r="W11" s="23"/>
      <c r="X11" s="23"/>
      <c r="Y11" s="40" t="s">
        <v>139</v>
      </c>
      <c r="Z11" s="41"/>
      <c r="AA11" s="42">
        <f>Z11/12000</f>
        <v>0</v>
      </c>
      <c r="AB11" s="43">
        <f>AA11*2</f>
        <v>0</v>
      </c>
    </row>
    <row r="12" spans="1:28" ht="19.5" thickBot="1">
      <c r="A12" s="250" t="s">
        <v>27</v>
      </c>
      <c r="B12" s="250"/>
      <c r="C12" s="250"/>
      <c r="D12" s="250"/>
      <c r="E12" s="250"/>
      <c r="F12" s="250"/>
      <c r="G12" s="250"/>
      <c r="H12" s="250"/>
      <c r="I12" s="250"/>
      <c r="J12" s="250"/>
      <c r="T12" s="263"/>
      <c r="U12" s="23" t="s">
        <v>125</v>
      </c>
      <c r="V12" s="26">
        <f>IF(Z17=0,AA13,AA19)</f>
        <v>0</v>
      </c>
      <c r="W12" s="23"/>
      <c r="X12" s="23"/>
      <c r="Y12" s="40" t="s">
        <v>140</v>
      </c>
      <c r="Z12" s="44"/>
      <c r="AA12" s="42">
        <f>Z12/12000</f>
        <v>0</v>
      </c>
      <c r="AB12" s="45">
        <f>AA12*2</f>
        <v>0</v>
      </c>
    </row>
    <row r="13" spans="1:28" ht="16.5" thickBot="1">
      <c r="A13" s="117" t="s">
        <v>327</v>
      </c>
      <c r="B13" s="117"/>
      <c r="C13" s="66">
        <v>1</v>
      </c>
      <c r="D13" s="5"/>
      <c r="F13" s="117" t="s">
        <v>50</v>
      </c>
      <c r="G13" s="117"/>
      <c r="H13" s="76" t="e">
        <f>V21</f>
        <v>#DIV/0!</v>
      </c>
      <c r="I13" s="5" t="s">
        <v>49</v>
      </c>
      <c r="O13" s="249" t="s">
        <v>88</v>
      </c>
      <c r="P13" s="249"/>
      <c r="T13" s="263"/>
      <c r="U13" s="23" t="s">
        <v>126</v>
      </c>
      <c r="V13" s="26">
        <v>0</v>
      </c>
      <c r="W13" s="19"/>
      <c r="X13" s="19"/>
      <c r="Y13" s="19" t="s">
        <v>141</v>
      </c>
      <c r="Z13" s="46">
        <f>Z12-Z11</f>
        <v>0</v>
      </c>
      <c r="AA13" s="47">
        <f>Z13/3412</f>
        <v>0</v>
      </c>
      <c r="AB13" s="48">
        <f>AA13*2</f>
        <v>0</v>
      </c>
    </row>
    <row r="14" spans="1:28" ht="16.5" thickBot="1">
      <c r="A14" s="117" t="s">
        <v>48</v>
      </c>
      <c r="B14" s="117"/>
      <c r="C14" s="65">
        <f>V20</f>
        <v>0</v>
      </c>
      <c r="D14" s="5" t="s">
        <v>0</v>
      </c>
      <c r="F14" s="117" t="s">
        <v>51</v>
      </c>
      <c r="G14" s="117"/>
      <c r="H14" s="76" t="e">
        <f>C16/C14</f>
        <v>#DIV/0!</v>
      </c>
      <c r="I14" s="5" t="s">
        <v>49</v>
      </c>
      <c r="O14" s="15" t="s">
        <v>91</v>
      </c>
      <c r="P14" s="62"/>
      <c r="Q14" s="280" t="str">
        <f>'FWCD Primary Unit Rating'!Q14:R15</f>
        <v>Water</v>
      </c>
      <c r="R14" s="281"/>
      <c r="T14" s="264"/>
      <c r="U14" s="27" t="s">
        <v>127</v>
      </c>
      <c r="V14" s="28">
        <v>0</v>
      </c>
      <c r="W14" s="19"/>
      <c r="X14" s="19"/>
      <c r="Y14" s="19"/>
      <c r="Z14" s="19"/>
      <c r="AA14" s="19"/>
    </row>
    <row r="15" spans="1:28" ht="16.5" thickBot="1">
      <c r="A15" s="117" t="s">
        <v>29</v>
      </c>
      <c r="B15" s="117"/>
      <c r="C15" s="65">
        <f>V19</f>
        <v>0.5</v>
      </c>
      <c r="D15" s="5" t="s">
        <v>30</v>
      </c>
      <c r="F15" s="117" t="s">
        <v>34</v>
      </c>
      <c r="G15" s="117"/>
      <c r="H15" s="65" t="e">
        <f>V22</f>
        <v>#DIV/0!</v>
      </c>
      <c r="I15" s="5" t="s">
        <v>35</v>
      </c>
      <c r="O15" s="16" t="s">
        <v>92</v>
      </c>
      <c r="P15" s="55"/>
      <c r="Q15" s="282"/>
      <c r="R15" s="283"/>
      <c r="T15" s="262" t="s">
        <v>128</v>
      </c>
      <c r="U15" s="24" t="s">
        <v>124</v>
      </c>
      <c r="V15" s="29">
        <v>0</v>
      </c>
      <c r="W15" s="19"/>
      <c r="X15" s="19"/>
      <c r="Y15" s="259" t="str">
        <f>"COMP SIZE 1 - "&amp;P31</f>
        <v xml:space="preserve">COMP SIZE 1 - </v>
      </c>
      <c r="Z15" s="260"/>
      <c r="AA15" s="260"/>
      <c r="AB15" s="261"/>
    </row>
    <row r="16" spans="1:28" ht="16.5" thickBot="1">
      <c r="A16" s="117" t="s">
        <v>31</v>
      </c>
      <c r="B16" s="117"/>
      <c r="C16" s="65">
        <f>SUM(V11:V14)</f>
        <v>0</v>
      </c>
      <c r="D16" s="5" t="s">
        <v>30</v>
      </c>
      <c r="F16" s="117"/>
      <c r="G16" s="117"/>
      <c r="H16" s="3"/>
      <c r="I16" s="5"/>
      <c r="O16" s="16" t="s">
        <v>89</v>
      </c>
      <c r="P16" s="55">
        <f>'FWCD Primary Unit Rating'!P16</f>
        <v>0</v>
      </c>
      <c r="T16" s="263"/>
      <c r="U16" s="23" t="s">
        <v>125</v>
      </c>
      <c r="V16" s="30">
        <v>0</v>
      </c>
      <c r="W16" s="19"/>
      <c r="X16" s="19"/>
      <c r="Y16" s="19"/>
      <c r="Z16" s="257" t="s">
        <v>137</v>
      </c>
      <c r="AA16" s="258"/>
      <c r="AB16" s="121" t="s">
        <v>138</v>
      </c>
    </row>
    <row r="17" spans="1:28" ht="16.5" thickBot="1">
      <c r="A17" s="117"/>
      <c r="B17" s="117"/>
      <c r="C17" s="5"/>
      <c r="D17" s="5"/>
      <c r="F17" s="117"/>
      <c r="G17" s="117"/>
      <c r="H17" s="2"/>
      <c r="I17" s="5"/>
      <c r="O17" s="16" t="s">
        <v>90</v>
      </c>
      <c r="P17" s="55">
        <f>'FWCD Primary Unit Rating'!P17</f>
        <v>0</v>
      </c>
      <c r="T17" s="263"/>
      <c r="U17" s="23" t="s">
        <v>126</v>
      </c>
      <c r="V17" s="30">
        <v>0</v>
      </c>
      <c r="W17" s="19"/>
      <c r="X17" s="19"/>
      <c r="Y17" s="40" t="s">
        <v>139</v>
      </c>
      <c r="Z17" s="41">
        <v>0</v>
      </c>
      <c r="AA17" s="42">
        <f>Z17/12000</f>
        <v>0</v>
      </c>
      <c r="AB17" s="43">
        <f>AA17*2</f>
        <v>0</v>
      </c>
    </row>
    <row r="18" spans="1:28" ht="19.5" thickBot="1">
      <c r="A18" s="250" t="s">
        <v>45</v>
      </c>
      <c r="B18" s="250"/>
      <c r="C18" s="250"/>
      <c r="D18" s="250"/>
      <c r="E18" s="250"/>
      <c r="F18" s="250"/>
      <c r="G18" s="250"/>
      <c r="H18" s="250"/>
      <c r="I18" s="250"/>
      <c r="J18" s="250"/>
      <c r="O18" s="17" t="s">
        <v>24</v>
      </c>
      <c r="P18" s="57">
        <f>'FWCD Primary Unit Rating'!P18</f>
        <v>32</v>
      </c>
      <c r="T18" s="264"/>
      <c r="U18" s="27" t="s">
        <v>127</v>
      </c>
      <c r="V18" s="31">
        <v>0</v>
      </c>
      <c r="W18" s="19"/>
      <c r="X18" s="19"/>
      <c r="Y18" s="40" t="s">
        <v>140</v>
      </c>
      <c r="Z18" s="44">
        <v>0</v>
      </c>
      <c r="AA18" s="42">
        <f>Z18/12000</f>
        <v>0</v>
      </c>
      <c r="AB18" s="45">
        <f>AA18*2</f>
        <v>0</v>
      </c>
    </row>
    <row r="19" spans="1:28" ht="18" thickBot="1">
      <c r="A19" s="117" t="s">
        <v>302</v>
      </c>
      <c r="B19" s="117"/>
      <c r="C19" s="18" t="str">
        <f>Q14</f>
        <v>Water</v>
      </c>
      <c r="D19" s="5"/>
      <c r="F19" s="117" t="s">
        <v>21</v>
      </c>
      <c r="G19" s="117"/>
      <c r="H19" s="84">
        <v>1E-4</v>
      </c>
      <c r="I19" s="7" t="s">
        <v>25</v>
      </c>
      <c r="T19" s="19"/>
      <c r="U19" s="23"/>
      <c r="V19" s="32">
        <f>SUM(V10:V18)</f>
        <v>0.5</v>
      </c>
      <c r="W19" s="23" t="s">
        <v>30</v>
      </c>
      <c r="X19" s="23"/>
      <c r="Y19" s="19" t="s">
        <v>141</v>
      </c>
      <c r="Z19" s="46">
        <f>Z18-Z17</f>
        <v>0</v>
      </c>
      <c r="AA19" s="47">
        <f>Z19/3412</f>
        <v>0</v>
      </c>
      <c r="AB19" s="48">
        <f>AA19*2</f>
        <v>0</v>
      </c>
    </row>
    <row r="20" spans="1:28" ht="16.5" thickBot="1">
      <c r="A20" s="117" t="s">
        <v>443</v>
      </c>
      <c r="B20" s="117"/>
      <c r="C20" s="78">
        <f>V25</f>
        <v>0</v>
      </c>
      <c r="D20" s="5" t="s">
        <v>194</v>
      </c>
      <c r="F20" s="117" t="s">
        <v>22</v>
      </c>
      <c r="G20" s="117"/>
      <c r="H20" s="64">
        <f>V24</f>
        <v>0</v>
      </c>
      <c r="I20" s="6" t="s">
        <v>23</v>
      </c>
      <c r="O20" s="249" t="s">
        <v>182</v>
      </c>
      <c r="P20" s="249"/>
      <c r="T20" s="19"/>
      <c r="U20" s="23"/>
      <c r="V20" s="39">
        <f>IF(ISBLANK(P31)=TRUE,AB11,AA11+AA17)</f>
        <v>0</v>
      </c>
      <c r="W20" s="27" t="s">
        <v>129</v>
      </c>
      <c r="X20" s="38"/>
      <c r="Y20" s="38"/>
      <c r="Z20" s="38"/>
      <c r="AA20" s="38"/>
    </row>
    <row r="21" spans="1:28" ht="16.5" thickBot="1">
      <c r="A21" s="117" t="s">
        <v>303</v>
      </c>
      <c r="B21" s="117"/>
      <c r="C21" s="78">
        <f>P16</f>
        <v>0</v>
      </c>
      <c r="D21" s="5" t="s">
        <v>14</v>
      </c>
      <c r="F21" s="117" t="s">
        <v>22</v>
      </c>
      <c r="G21" s="117"/>
      <c r="H21" s="64">
        <f>H20*2.307</f>
        <v>0</v>
      </c>
      <c r="I21" s="6" t="s">
        <v>46</v>
      </c>
      <c r="O21" s="15" t="s">
        <v>91</v>
      </c>
      <c r="P21" s="62"/>
      <c r="Q21" s="280" t="str">
        <f>'FWCD Primary Unit Rating'!Q21:R22</f>
        <v>Water</v>
      </c>
      <c r="R21" s="281"/>
      <c r="T21" s="19"/>
      <c r="U21" s="23"/>
      <c r="V21" s="33" t="e">
        <f>V19/V20</f>
        <v>#DIV/0!</v>
      </c>
      <c r="W21" s="23" t="s">
        <v>130</v>
      </c>
      <c r="X21" s="23"/>
      <c r="Y21" s="23"/>
      <c r="Z21" s="23"/>
      <c r="AA21" s="23"/>
    </row>
    <row r="22" spans="1:28" ht="16.5" thickBot="1">
      <c r="A22" s="117" t="s">
        <v>304</v>
      </c>
      <c r="B22" s="117"/>
      <c r="C22" s="78">
        <f>P17</f>
        <v>0</v>
      </c>
      <c r="D22" s="5" t="s">
        <v>14</v>
      </c>
      <c r="F22" s="117" t="s">
        <v>24</v>
      </c>
      <c r="G22" s="117"/>
      <c r="H22" s="78">
        <f>P18</f>
        <v>32</v>
      </c>
      <c r="I22" s="7" t="s">
        <v>14</v>
      </c>
      <c r="O22" s="16" t="s">
        <v>92</v>
      </c>
      <c r="P22" s="55"/>
      <c r="Q22" s="282"/>
      <c r="R22" s="283"/>
      <c r="T22" s="19"/>
      <c r="U22" s="23"/>
      <c r="V22" s="34" t="e">
        <f>12/V21</f>
        <v>#DIV/0!</v>
      </c>
      <c r="W22" s="35" t="s">
        <v>1</v>
      </c>
      <c r="X22" s="38"/>
      <c r="Y22" s="38"/>
      <c r="Z22" s="38"/>
      <c r="AA22" s="38"/>
    </row>
    <row r="23" spans="1:28">
      <c r="A23" s="117" t="s">
        <v>324</v>
      </c>
      <c r="B23" s="117"/>
      <c r="C23" s="78">
        <f>V31</f>
        <v>0</v>
      </c>
      <c r="D23" s="5" t="s">
        <v>14</v>
      </c>
      <c r="F23" s="117"/>
      <c r="G23" s="117"/>
      <c r="H23" s="2"/>
      <c r="I23" s="7"/>
      <c r="O23" s="16" t="s">
        <v>89</v>
      </c>
      <c r="P23" s="55">
        <f>'FWCD Primary Unit Rating'!P23</f>
        <v>0</v>
      </c>
      <c r="T23" s="19"/>
      <c r="U23" s="19"/>
      <c r="V23" s="19"/>
      <c r="W23" s="19"/>
      <c r="X23" s="19"/>
      <c r="Y23" s="19"/>
      <c r="Z23" s="19"/>
      <c r="AA23" s="19"/>
    </row>
    <row r="24" spans="1:28">
      <c r="A24" s="117"/>
      <c r="B24" s="117"/>
      <c r="C24" s="2"/>
      <c r="D24" s="5"/>
      <c r="O24" s="16" t="s">
        <v>90</v>
      </c>
      <c r="P24" s="55">
        <f>'FWCD Primary Unit Rating'!P24</f>
        <v>0</v>
      </c>
      <c r="T24" s="36"/>
      <c r="U24" s="19"/>
      <c r="V24" s="51">
        <f>IF('FWCD Array Rating'!$P$10+'FWCD Array Rating'!$P$13 &lt; 2,Y32,(V25/Y24)^2)</f>
        <v>0</v>
      </c>
      <c r="W24" s="19" t="s">
        <v>131</v>
      </c>
      <c r="X24" s="19"/>
      <c r="Y24" s="195">
        <f t="array" ref="Y24">INDEX('Look Up Tables'!AC7:AF30,MATCH(P4&amp;P29,'Look Up Tables'!AC7:AC30&amp;'Look Up Tables'!AD7:AD30,0),3)</f>
        <v>24.9</v>
      </c>
      <c r="Z24" s="88" t="s">
        <v>371</v>
      </c>
      <c r="AA24" s="19"/>
    </row>
    <row r="25" spans="1:28" ht="19.5" thickBot="1">
      <c r="A25" s="250" t="s">
        <v>181</v>
      </c>
      <c r="B25" s="250"/>
      <c r="C25" s="250"/>
      <c r="D25" s="250"/>
      <c r="E25" s="250"/>
      <c r="F25" s="250"/>
      <c r="G25" s="250"/>
      <c r="H25" s="250"/>
      <c r="I25" s="250"/>
      <c r="J25" s="250"/>
      <c r="O25" s="17" t="s">
        <v>24</v>
      </c>
      <c r="P25" s="57">
        <f>'FWCD Primary Unit Rating'!P25</f>
        <v>32</v>
      </c>
      <c r="T25" s="19"/>
      <c r="U25" s="19"/>
      <c r="V25" s="50">
        <f>Y34</f>
        <v>0</v>
      </c>
      <c r="W25" s="37" t="s">
        <v>132</v>
      </c>
      <c r="X25" s="37"/>
      <c r="Y25" s="37"/>
      <c r="Z25" s="37"/>
      <c r="AA25" s="37"/>
    </row>
    <row r="26" spans="1:28" ht="17.25">
      <c r="A26" s="117" t="s">
        <v>302</v>
      </c>
      <c r="B26" s="117"/>
      <c r="C26" s="18" t="str">
        <f>Q21</f>
        <v>Water</v>
      </c>
      <c r="D26" s="5"/>
      <c r="F26" s="117" t="s">
        <v>21</v>
      </c>
      <c r="G26" s="117"/>
      <c r="H26" s="84">
        <v>2.5000000000000001E-4</v>
      </c>
      <c r="I26" s="7" t="s">
        <v>25</v>
      </c>
    </row>
    <row r="27" spans="1:28">
      <c r="A27" s="117" t="s">
        <v>446</v>
      </c>
      <c r="B27" s="117"/>
      <c r="C27" s="78">
        <f>V28</f>
        <v>0</v>
      </c>
      <c r="D27" s="5" t="s">
        <v>194</v>
      </c>
      <c r="F27" s="117" t="s">
        <v>22</v>
      </c>
      <c r="G27" s="117"/>
      <c r="H27" s="64">
        <f>V27</f>
        <v>0</v>
      </c>
      <c r="I27" s="6" t="s">
        <v>23</v>
      </c>
      <c r="V27" s="51">
        <f>IF('FWCD Array Rating'!$P$10+'FWCD Array Rating'!$P$13 &lt; 2,AA32,(V28/Y27)^2)</f>
        <v>0</v>
      </c>
      <c r="W27" s="88" t="s">
        <v>184</v>
      </c>
      <c r="Y27" s="196">
        <f t="array" ref="Y27">INDEX('Look Up Tables'!AC7:AF30,MATCH(P4&amp;P29,'Look Up Tables'!AC7:AC30&amp;'Look Up Tables'!AD7:AD30,0),4)</f>
        <v>30.31</v>
      </c>
      <c r="Z27" t="s">
        <v>372</v>
      </c>
    </row>
    <row r="28" spans="1:28" ht="15.75" thickBot="1">
      <c r="A28" s="117" t="s">
        <v>303</v>
      </c>
      <c r="B28" s="117"/>
      <c r="C28" s="78">
        <f>P23</f>
        <v>0</v>
      </c>
      <c r="D28" s="5" t="s">
        <v>14</v>
      </c>
      <c r="F28" s="117" t="s">
        <v>22</v>
      </c>
      <c r="G28" s="117"/>
      <c r="H28" s="64">
        <f>H27*2.307</f>
        <v>0</v>
      </c>
      <c r="I28" s="6" t="s">
        <v>46</v>
      </c>
      <c r="O28" s="118" t="s">
        <v>13</v>
      </c>
      <c r="P28" s="118"/>
      <c r="V28" s="50">
        <f>AA34</f>
        <v>0</v>
      </c>
      <c r="W28" s="37" t="s">
        <v>185</v>
      </c>
    </row>
    <row r="29" spans="1:28" ht="15.75" thickBot="1">
      <c r="A29" s="117" t="s">
        <v>304</v>
      </c>
      <c r="B29" s="117"/>
      <c r="C29" s="78">
        <f>P24</f>
        <v>0</v>
      </c>
      <c r="D29" s="5" t="s">
        <v>14</v>
      </c>
      <c r="F29" s="117" t="s">
        <v>24</v>
      </c>
      <c r="G29" s="117"/>
      <c r="H29" s="78">
        <f>P25</f>
        <v>32</v>
      </c>
      <c r="I29" s="7" t="s">
        <v>14</v>
      </c>
      <c r="O29" s="52" t="s">
        <v>11</v>
      </c>
      <c r="P29" s="137" t="str">
        <f>'FWCD Primary Unit Rating'!P29</f>
        <v>460/3/60</v>
      </c>
      <c r="Q29" s="1" t="s">
        <v>109</v>
      </c>
    </row>
    <row r="30" spans="1:28" ht="15.75" thickBot="1">
      <c r="A30" s="117" t="s">
        <v>47</v>
      </c>
      <c r="B30" s="117"/>
      <c r="C30" s="90">
        <f>(AB12*12000)/1000</f>
        <v>0</v>
      </c>
      <c r="D30" s="5" t="s">
        <v>142</v>
      </c>
      <c r="F30" s="117" t="s">
        <v>325</v>
      </c>
      <c r="G30" s="117"/>
      <c r="H30" s="78">
        <f>IF(ISBLANK(P31),V32,CONCATENATE(V32,"/",V38))</f>
        <v>0</v>
      </c>
      <c r="I30" s="5" t="s">
        <v>14</v>
      </c>
      <c r="O30" s="12" t="s">
        <v>2</v>
      </c>
      <c r="P30" s="54"/>
      <c r="Q30" s="134"/>
      <c r="U30" s="255" t="str">
        <f>"CRKT #1 - "&amp;P30</f>
        <v xml:space="preserve">CRKT #1 - </v>
      </c>
      <c r="V30" s="256"/>
      <c r="Y30" s="271" t="s">
        <v>358</v>
      </c>
      <c r="Z30" s="272"/>
      <c r="AA30" s="279" t="s">
        <v>359</v>
      </c>
      <c r="AB30" s="272"/>
    </row>
    <row r="31" spans="1:28" ht="15.75" thickBot="1">
      <c r="F31" s="117" t="s">
        <v>383</v>
      </c>
      <c r="G31" s="117"/>
      <c r="H31" s="78">
        <f>IF(ISBLANK(P31),V33,CONCATENATE(V33,"/",V39))</f>
        <v>0</v>
      </c>
      <c r="I31" s="5" t="s">
        <v>14</v>
      </c>
      <c r="O31" s="13" t="s">
        <v>3</v>
      </c>
      <c r="P31" s="184"/>
      <c r="Q31" s="136"/>
      <c r="U31" s="58" t="s">
        <v>133</v>
      </c>
      <c r="V31" s="59"/>
      <c r="Y31" s="14"/>
      <c r="Z31" s="244" t="s">
        <v>440</v>
      </c>
      <c r="AA31" s="201"/>
      <c r="AB31" s="244" t="s">
        <v>440</v>
      </c>
    </row>
    <row r="32" spans="1:28" ht="15.75" thickBot="1">
      <c r="O32" s="14" t="s">
        <v>113</v>
      </c>
      <c r="P32" s="62">
        <f>IF(ISBLANK(P30),0,INDEX('Look Up Tables'!M5:M7,MATCH(P29,'Look Up Tables'!L5:L7,0)))</f>
        <v>0</v>
      </c>
      <c r="U32" s="60" t="s">
        <v>135</v>
      </c>
      <c r="V32" s="59"/>
      <c r="Y32" s="13">
        <f>Y31*0.14503774</f>
        <v>0</v>
      </c>
      <c r="Z32" s="243" t="s">
        <v>23</v>
      </c>
      <c r="AA32" s="13">
        <f>AA31*0.14503774</f>
        <v>0</v>
      </c>
      <c r="AB32" s="243" t="s">
        <v>23</v>
      </c>
    </row>
    <row r="33" spans="1:28" ht="18.75">
      <c r="A33" s="250" t="s">
        <v>13</v>
      </c>
      <c r="B33" s="250"/>
      <c r="C33" s="250"/>
      <c r="D33" s="250"/>
      <c r="E33" s="250"/>
      <c r="F33" s="250"/>
      <c r="G33" s="250"/>
      <c r="H33" s="250"/>
      <c r="I33" s="250"/>
      <c r="J33" s="250"/>
      <c r="O33" s="12" t="s">
        <v>114</v>
      </c>
      <c r="P33" s="55">
        <f>IF(ISBLANK(P31),0,INDEX('Look Up Tables'!M5:M7,MATCH(P29,'Look Up Tables'!L5:L7,0)))</f>
        <v>0</v>
      </c>
      <c r="U33" s="12" t="s">
        <v>382</v>
      </c>
      <c r="V33" s="59"/>
      <c r="Y33" s="12"/>
      <c r="Z33" s="242" t="s">
        <v>441</v>
      </c>
      <c r="AA33" s="113"/>
      <c r="AB33" s="242" t="s">
        <v>441</v>
      </c>
    </row>
    <row r="34" spans="1:28" ht="15.75" thickBot="1">
      <c r="A34" s="117" t="s">
        <v>294</v>
      </c>
      <c r="B34" s="117"/>
      <c r="C34" s="18" t="str">
        <f>P29</f>
        <v>460/3/60</v>
      </c>
      <c r="D34" s="1" t="s">
        <v>180</v>
      </c>
      <c r="F34" s="117" t="s">
        <v>293</v>
      </c>
      <c r="G34" s="117"/>
      <c r="H34" s="18">
        <f>P41</f>
        <v>5</v>
      </c>
      <c r="I34" s="1" t="s">
        <v>178</v>
      </c>
      <c r="O34" s="12" t="s">
        <v>117</v>
      </c>
      <c r="P34" s="56">
        <f>IF(ISBLANK(P30),0,INDEX('Look Up Tables'!G5:G47,MATCH(P30,'Look Up Tables'!B5:B47,0)))</f>
        <v>0</v>
      </c>
      <c r="U34" s="13" t="s">
        <v>136</v>
      </c>
      <c r="V34" s="212">
        <f>V32-5</f>
        <v>-5</v>
      </c>
      <c r="Y34" s="13">
        <f>Y33/500.72</f>
        <v>0</v>
      </c>
      <c r="Z34" s="243" t="s">
        <v>442</v>
      </c>
      <c r="AA34" s="13">
        <f>AA33/500.72</f>
        <v>0</v>
      </c>
      <c r="AB34" s="243" t="s">
        <v>442</v>
      </c>
    </row>
    <row r="35" spans="1:28" ht="15.75" thickBot="1">
      <c r="A35" s="117" t="s">
        <v>295</v>
      </c>
      <c r="B35" s="117"/>
      <c r="C35" s="18">
        <f>P32*0.9</f>
        <v>0</v>
      </c>
      <c r="D35" s="1" t="s">
        <v>176</v>
      </c>
      <c r="F35" s="117" t="s">
        <v>309</v>
      </c>
      <c r="G35" s="117"/>
      <c r="H35" s="64">
        <f>P39</f>
        <v>0</v>
      </c>
      <c r="I35" s="1" t="s">
        <v>179</v>
      </c>
      <c r="O35" s="13" t="s">
        <v>118</v>
      </c>
      <c r="P35" s="57">
        <f>IF(ISBLANK(P31),0,INDEX('Look Up Tables'!G5:G47,MATCH(P31,'Look Up Tables'!B5:B47,0)))</f>
        <v>0</v>
      </c>
    </row>
    <row r="36" spans="1:28">
      <c r="A36" s="117" t="s">
        <v>298</v>
      </c>
      <c r="B36" s="117"/>
      <c r="C36" s="18">
        <f>P32*1.1</f>
        <v>0</v>
      </c>
      <c r="D36" s="1" t="s">
        <v>176</v>
      </c>
      <c r="F36" s="117" t="s">
        <v>310</v>
      </c>
      <c r="G36" s="117"/>
      <c r="H36" s="64">
        <f>P40</f>
        <v>0</v>
      </c>
      <c r="I36" s="1" t="s">
        <v>179</v>
      </c>
      <c r="O36" s="113"/>
      <c r="P36" s="241"/>
      <c r="U36" s="119" t="str">
        <f>"CRKT #2 - "&amp;P31</f>
        <v xml:space="preserve">CRKT #2 - </v>
      </c>
      <c r="V36" s="120"/>
    </row>
    <row r="37" spans="1:28" ht="15.75" thickBot="1">
      <c r="U37" s="58" t="s">
        <v>133</v>
      </c>
      <c r="V37" s="59"/>
    </row>
    <row r="38" spans="1:28">
      <c r="C38" s="4" t="s">
        <v>36</v>
      </c>
      <c r="D38" s="4" t="s">
        <v>4</v>
      </c>
      <c r="E38" s="4" t="s">
        <v>5</v>
      </c>
      <c r="F38" s="4" t="s">
        <v>6</v>
      </c>
      <c r="G38" s="4" t="s">
        <v>7</v>
      </c>
      <c r="H38" s="4" t="s">
        <v>8</v>
      </c>
      <c r="I38" s="4" t="s">
        <v>9</v>
      </c>
      <c r="J38" s="4" t="s">
        <v>10</v>
      </c>
      <c r="O38" s="230" t="s">
        <v>438</v>
      </c>
      <c r="P38" s="231">
        <f>IF(ISBLANK(P30),0,2.25*MAX(P34,P35)+(SUM(P34*Q30,P35*Q31,)-MAX(P34,P35)))</f>
        <v>0</v>
      </c>
      <c r="U38" s="60" t="s">
        <v>135</v>
      </c>
      <c r="V38" s="59"/>
    </row>
    <row r="39" spans="1:28">
      <c r="A39" s="117" t="s">
        <v>297</v>
      </c>
      <c r="B39" s="117"/>
      <c r="C39" s="18" t="str">
        <f>IF(ISBLANK(P30)," ",INDEX('Look Up Tables'!$C$5:$C$47,MATCH(P30,'Look Up Tables'!$B$5:$B$47,0)))</f>
        <v xml:space="preserve"> </v>
      </c>
      <c r="D39" s="18" t="str">
        <f>IF(ISBLANK(Q30)=TRUE," ",Q30)</f>
        <v xml:space="preserve"> </v>
      </c>
      <c r="E39" s="18"/>
      <c r="F39" s="18" t="str">
        <f>IF(ISBLANK(P30)=TRUE," ",P32)</f>
        <v xml:space="preserve"> </v>
      </c>
      <c r="G39" s="18" t="str">
        <f>IF(ISBLANK(P30)=TRUE," ",3)</f>
        <v xml:space="preserve"> </v>
      </c>
      <c r="H39" s="18"/>
      <c r="I39" s="18"/>
      <c r="J39" s="63" t="str">
        <f>IF(ISBLANK(Q30),"",P34)</f>
        <v/>
      </c>
      <c r="O39" s="229" t="s">
        <v>143</v>
      </c>
      <c r="P39" s="55">
        <f>IF(ISBLANK(P30),0,INDEX('Look Up Tables'!$AR$8:$AR$45,MATCH(LARGE('Look Up Tables'!$AR$8:$AR$45,COUNTIF('Look Up Tables'!$AR$8:$AR$45,"&gt; "&amp;P38)+1),'Look Up Tables'!$AR$8:$AR$45,0)))</f>
        <v>0</v>
      </c>
      <c r="U39" s="12" t="s">
        <v>382</v>
      </c>
      <c r="V39" s="59"/>
    </row>
    <row r="40" spans="1:28" ht="15.75" thickBot="1">
      <c r="A40" s="117" t="s">
        <v>300</v>
      </c>
      <c r="B40" s="117"/>
      <c r="C40" s="18" t="str">
        <f>IF(ISBLANK(P31)," ",INDEX('Look Up Tables'!$C$5:$C$47,MATCH(P31,'Look Up Tables'!$B$5:$B$47,0)))</f>
        <v xml:space="preserve"> </v>
      </c>
      <c r="D40" s="18" t="str">
        <f>IF(ISBLANK(Q31)=TRUE," ",Q31)</f>
        <v xml:space="preserve"> </v>
      </c>
      <c r="E40" s="18"/>
      <c r="F40" s="18" t="str">
        <f>IF(ISBLANK(P31)=TRUE," ",P33)</f>
        <v xml:space="preserve"> </v>
      </c>
      <c r="G40" s="18" t="str">
        <f>IF(ISBLANK(P31)=TRUE," ",3)</f>
        <v xml:space="preserve"> </v>
      </c>
      <c r="H40" s="18"/>
      <c r="I40" s="18"/>
      <c r="J40" s="63" t="str">
        <f>IF(ISBLANK(Q31),"",P35)</f>
        <v/>
      </c>
      <c r="O40" s="12" t="s">
        <v>144</v>
      </c>
      <c r="P40" s="56">
        <f>IF(ISBLANK(P30),0,1.25*MAX(P34,P35)+(SUM(P34*Q30,P35*Q31)-MAX(P34,P35)))</f>
        <v>0</v>
      </c>
      <c r="U40" s="13" t="s">
        <v>136</v>
      </c>
      <c r="V40" s="212">
        <f>V38-5</f>
        <v>-5</v>
      </c>
      <c r="Y40" s="19"/>
    </row>
    <row r="41" spans="1:28" ht="15.75" thickBot="1">
      <c r="A41" s="117"/>
      <c r="B41" s="117"/>
      <c r="C41" s="18"/>
      <c r="D41" s="18"/>
      <c r="E41" s="64"/>
      <c r="F41" s="18"/>
      <c r="G41" s="18"/>
      <c r="I41" s="18"/>
      <c r="J41" s="18"/>
      <c r="O41" s="13" t="s">
        <v>177</v>
      </c>
      <c r="P41" s="57">
        <f>'FWCD Primary Unit Rating'!P41</f>
        <v>5</v>
      </c>
      <c r="Y41" s="19"/>
    </row>
    <row r="42" spans="1:28" ht="18.75">
      <c r="A42" s="250" t="s">
        <v>56</v>
      </c>
      <c r="B42" s="250"/>
      <c r="C42" s="250"/>
      <c r="D42" s="250"/>
      <c r="E42" s="250"/>
      <c r="F42" s="250"/>
      <c r="G42" s="250"/>
      <c r="H42" s="250"/>
      <c r="I42" s="250"/>
      <c r="J42" s="250"/>
      <c r="Y42" s="19"/>
    </row>
    <row r="43" spans="1:28" ht="15.75" thickBot="1">
      <c r="A43" s="117" t="s">
        <v>311</v>
      </c>
      <c r="B43" s="117"/>
      <c r="C43" s="75" t="str">
        <f>P44</f>
        <v>Brazed Plate</v>
      </c>
      <c r="D43" s="8"/>
      <c r="F43" s="117" t="s">
        <v>52</v>
      </c>
      <c r="G43" s="117"/>
      <c r="H43" s="78">
        <f>P46</f>
        <v>60</v>
      </c>
      <c r="I43" s="1" t="s">
        <v>54</v>
      </c>
      <c r="O43" s="118" t="s">
        <v>56</v>
      </c>
      <c r="P43" s="118"/>
      <c r="Y43" s="19"/>
    </row>
    <row r="44" spans="1:28">
      <c r="A44" s="117" t="s">
        <v>312</v>
      </c>
      <c r="B44" s="117"/>
      <c r="C44" s="75" t="str">
        <f>P45</f>
        <v>Brazed Plate</v>
      </c>
      <c r="F44" s="117" t="s">
        <v>53</v>
      </c>
      <c r="G44" s="117"/>
      <c r="H44" s="78">
        <f>P47</f>
        <v>31.5</v>
      </c>
      <c r="I44" s="1" t="s">
        <v>54</v>
      </c>
      <c r="O44" s="159" t="s">
        <v>146</v>
      </c>
      <c r="P44" s="126" t="str">
        <f>'FWCD Primary Unit Rating'!P44</f>
        <v>Brazed Plate</v>
      </c>
    </row>
    <row r="45" spans="1:28">
      <c r="A45" s="117" t="s">
        <v>44</v>
      </c>
      <c r="B45" s="117"/>
      <c r="C45" s="75" t="s">
        <v>43</v>
      </c>
      <c r="F45" s="117" t="s">
        <v>55</v>
      </c>
      <c r="G45" s="117"/>
      <c r="H45" s="78">
        <f>P48</f>
        <v>76</v>
      </c>
      <c r="I45" s="1" t="s">
        <v>54</v>
      </c>
      <c r="O45" s="12" t="s">
        <v>183</v>
      </c>
      <c r="P45" s="162" t="str">
        <f>'FWCD Primary Unit Rating'!P45</f>
        <v>Brazed Plate</v>
      </c>
    </row>
    <row r="46" spans="1:28" ht="15" customHeight="1">
      <c r="O46" s="160" t="s">
        <v>52</v>
      </c>
      <c r="P46" s="162">
        <f>'FWCD Primary Unit Rating'!P46</f>
        <v>60</v>
      </c>
    </row>
    <row r="47" spans="1:28" ht="15" customHeight="1">
      <c r="O47" s="160" t="s">
        <v>53</v>
      </c>
      <c r="P47" s="162">
        <f>'FWCD Primary Unit Rating'!P47</f>
        <v>31.5</v>
      </c>
    </row>
    <row r="48" spans="1:28" ht="15" customHeight="1" thickBot="1">
      <c r="O48" s="161" t="s">
        <v>55</v>
      </c>
      <c r="P48" s="163">
        <f>'FWCD Primary Unit Rating'!P48</f>
        <v>76</v>
      </c>
    </row>
    <row r="53" spans="1:10">
      <c r="G53" s="251" t="s">
        <v>175</v>
      </c>
      <c r="H53" s="251"/>
      <c r="I53" s="251"/>
      <c r="J53" s="251"/>
    </row>
    <row r="54" spans="1:10" ht="15.75" thickBot="1">
      <c r="A54" s="85"/>
      <c r="B54" s="85"/>
      <c r="C54" s="85"/>
      <c r="D54" s="85"/>
      <c r="E54" s="85"/>
      <c r="F54" s="85"/>
      <c r="G54" s="252"/>
      <c r="H54" s="252"/>
      <c r="I54" s="252"/>
      <c r="J54" s="252"/>
    </row>
    <row r="55" spans="1:10" ht="15.75" thickTop="1"/>
    <row r="69" spans="11:29" s="1" customFormat="1" ht="15" customHeight="1"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11:29" s="1" customFormat="1" ht="15.75" customHeight="1"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110" spans="1:10">
      <c r="G110" s="251" t="s">
        <v>274</v>
      </c>
      <c r="H110" s="251"/>
      <c r="I110" s="251"/>
      <c r="J110" s="251"/>
    </row>
    <row r="111" spans="1:10" ht="15.75" thickBot="1">
      <c r="A111" s="85"/>
      <c r="B111" s="85"/>
      <c r="C111" s="85"/>
      <c r="D111" s="85"/>
      <c r="E111" s="85"/>
      <c r="F111" s="85"/>
      <c r="G111" s="252"/>
      <c r="H111" s="252"/>
      <c r="I111" s="252"/>
      <c r="J111" s="252"/>
    </row>
    <row r="112" spans="1:10" ht="15.75" thickTop="1"/>
    <row r="113" spans="1:1">
      <c r="A113" s="117" t="s">
        <v>275</v>
      </c>
    </row>
  </sheetData>
  <mergeCells count="26">
    <mergeCell ref="A7:J7"/>
    <mergeCell ref="G1:J2"/>
    <mergeCell ref="O3:P3"/>
    <mergeCell ref="A4:J4"/>
    <mergeCell ref="A5:J5"/>
    <mergeCell ref="O6:P6"/>
    <mergeCell ref="A12:J12"/>
    <mergeCell ref="O13:P13"/>
    <mergeCell ref="Q14:R15"/>
    <mergeCell ref="T15:T18"/>
    <mergeCell ref="Y15:AB15"/>
    <mergeCell ref="Z16:AA16"/>
    <mergeCell ref="A18:J18"/>
    <mergeCell ref="O20:P20"/>
    <mergeCell ref="Q21:R22"/>
    <mergeCell ref="U30:V30"/>
    <mergeCell ref="Y9:AB9"/>
    <mergeCell ref="Z10:AA10"/>
    <mergeCell ref="T11:T14"/>
    <mergeCell ref="Y30:Z30"/>
    <mergeCell ref="AA30:AB30"/>
    <mergeCell ref="A25:J25"/>
    <mergeCell ref="A33:J33"/>
    <mergeCell ref="A42:J42"/>
    <mergeCell ref="G53:J54"/>
    <mergeCell ref="G110:J111"/>
  </mergeCells>
  <conditionalFormatting sqref="C21:C22">
    <cfRule type="cellIs" dxfId="56" priority="15" operator="equal">
      <formula>0</formula>
    </cfRule>
  </conditionalFormatting>
  <conditionalFormatting sqref="H22">
    <cfRule type="cellIs" dxfId="55" priority="14" operator="equal">
      <formula>0</formula>
    </cfRule>
  </conditionalFormatting>
  <conditionalFormatting sqref="H20">
    <cfRule type="cellIs" dxfId="54" priority="11" operator="equal">
      <formula>0</formula>
    </cfRule>
  </conditionalFormatting>
  <conditionalFormatting sqref="C20">
    <cfRule type="cellIs" dxfId="53" priority="10" operator="equal">
      <formula>0</formula>
    </cfRule>
  </conditionalFormatting>
  <conditionalFormatting sqref="H35:H36">
    <cfRule type="cellIs" dxfId="52" priority="13" operator="equal">
      <formula>0</formula>
    </cfRule>
  </conditionalFormatting>
  <conditionalFormatting sqref="C23">
    <cfRule type="cellIs" dxfId="51" priority="12" operator="equal">
      <formula>0</formula>
    </cfRule>
  </conditionalFormatting>
  <conditionalFormatting sqref="C14 C16">
    <cfRule type="cellIs" dxfId="50" priority="9" operator="equal">
      <formula>0</formula>
    </cfRule>
  </conditionalFormatting>
  <conditionalFormatting sqref="A5">
    <cfRule type="cellIs" dxfId="49" priority="8" operator="equal">
      <formula>0</formula>
    </cfRule>
  </conditionalFormatting>
  <conditionalFormatting sqref="C28:C29">
    <cfRule type="cellIs" dxfId="48" priority="7" operator="equal">
      <formula>0</formula>
    </cfRule>
  </conditionalFormatting>
  <conditionalFormatting sqref="H29">
    <cfRule type="cellIs" dxfId="47" priority="6" operator="equal">
      <formula>0</formula>
    </cfRule>
  </conditionalFormatting>
  <conditionalFormatting sqref="H30:H31">
    <cfRule type="cellIs" dxfId="46" priority="5" operator="equal">
      <formula>0</formula>
    </cfRule>
  </conditionalFormatting>
  <conditionalFormatting sqref="H27">
    <cfRule type="cellIs" dxfId="45" priority="4" operator="equal">
      <formula>0</formula>
    </cfRule>
  </conditionalFormatting>
  <conditionalFormatting sqref="C27">
    <cfRule type="cellIs" dxfId="44" priority="3" operator="equal">
      <formula>0</formula>
    </cfRule>
  </conditionalFormatting>
  <conditionalFormatting sqref="C9">
    <cfRule type="cellIs" dxfId="43" priority="2" operator="equal">
      <formula>0</formula>
    </cfRule>
  </conditionalFormatting>
  <conditionalFormatting sqref="C30">
    <cfRule type="cellIs" dxfId="42" priority="1" operator="equal">
      <formula>0</formula>
    </cfRule>
  </conditionalFormatting>
  <dataValidations count="1">
    <dataValidation type="list" allowBlank="1" showInputMessage="1" showErrorMessage="1" sqref="P14:P15 P21:P22">
      <formula1>#REF!</formula1>
    </dataValidation>
  </dataValidations>
  <printOptions horizontalCentered="1"/>
  <pageMargins left="0.7" right="0.7" top="0.75" bottom="0.75" header="0.3" footer="0.3"/>
  <pageSetup scale="77" orientation="portrait" r:id="rId1"/>
  <headerFooter>
    <oddFooter>&amp;Lwww.JetsonHVAC.com&amp;RPage &amp;P of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'Look Up Tables'!$P$5:$P$15</xm:f>
          </x14:formula1>
          <xm:sqref>Q30:Q31</xm:sqref>
        </x14:dataValidation>
        <x14:dataValidation type="list" allowBlank="1" showInputMessage="1" showErrorMessage="1">
          <x14:formula1>
            <xm:f>'Look Up Tables'!$AH$7:$AH$14</xm:f>
          </x14:formula1>
          <xm:sqref>P4</xm:sqref>
        </x14:dataValidation>
        <x14:dataValidation type="list" allowBlank="1" showInputMessage="1" showErrorMessage="1">
          <x14:formula1>
            <xm:f>'Look Up Tables'!$B$5:$B$47</xm:f>
          </x14:formula1>
          <xm:sqref>P30:P31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2"/>
  <sheetViews>
    <sheetView zoomScale="85" zoomScaleNormal="85" zoomScaleSheetLayoutView="55" workbookViewId="0"/>
  </sheetViews>
  <sheetFormatPr defaultColWidth="8.85546875" defaultRowHeight="15"/>
  <cols>
    <col min="1" max="1" width="11" style="1" customWidth="1"/>
    <col min="2" max="2" width="14.5703125" style="1" customWidth="1"/>
    <col min="3" max="4" width="11" style="1" customWidth="1"/>
    <col min="5" max="5" width="8" style="1" customWidth="1"/>
    <col min="6" max="6" width="11" style="1" customWidth="1"/>
    <col min="7" max="7" width="15.42578125" style="1" customWidth="1"/>
    <col min="8" max="10" width="11" style="1" customWidth="1"/>
    <col min="15" max="16" width="22" customWidth="1"/>
    <col min="21" max="22" width="21.28515625" customWidth="1"/>
    <col min="23" max="23" width="9.85546875" bestFit="1" customWidth="1"/>
    <col min="24" max="27" width="9.85546875" customWidth="1"/>
    <col min="32" max="35" width="16.85546875" customWidth="1"/>
  </cols>
  <sheetData>
    <row r="1" spans="1:34" ht="15" customHeight="1">
      <c r="F1" s="251" t="s">
        <v>397</v>
      </c>
      <c r="G1" s="251"/>
      <c r="H1" s="251"/>
      <c r="I1" s="251"/>
      <c r="J1" s="251"/>
    </row>
    <row r="2" spans="1:34" ht="15.75" customHeight="1" thickBot="1">
      <c r="A2" s="85"/>
      <c r="B2" s="85"/>
      <c r="C2" s="85"/>
      <c r="D2" s="85"/>
      <c r="E2" s="85"/>
      <c r="F2" s="252"/>
      <c r="G2" s="252"/>
      <c r="H2" s="252"/>
      <c r="I2" s="252"/>
      <c r="J2" s="252"/>
      <c r="O2" s="249" t="s">
        <v>339</v>
      </c>
      <c r="P2" s="249"/>
    </row>
    <row r="3" spans="1:34" ht="15.75" thickTop="1">
      <c r="G3" s="86" t="s">
        <v>173</v>
      </c>
      <c r="H3" s="87">
        <v>1.2</v>
      </c>
      <c r="I3" s="86" t="s">
        <v>174</v>
      </c>
      <c r="J3" s="87">
        <v>7854991</v>
      </c>
      <c r="O3" s="15" t="s">
        <v>36</v>
      </c>
      <c r="P3" s="9"/>
    </row>
    <row r="4" spans="1:34" ht="18.75">
      <c r="A4" s="250" t="s">
        <v>36</v>
      </c>
      <c r="B4" s="250"/>
      <c r="C4" s="250"/>
      <c r="D4" s="250"/>
      <c r="E4" s="250"/>
      <c r="F4" s="250"/>
      <c r="G4" s="250"/>
      <c r="H4" s="250"/>
      <c r="I4" s="250"/>
      <c r="J4" s="250"/>
      <c r="O4" s="16" t="s">
        <v>340</v>
      </c>
      <c r="P4" s="10" t="s">
        <v>342</v>
      </c>
      <c r="AH4" s="1"/>
    </row>
    <row r="5" spans="1:34" ht="19.5" thickBot="1">
      <c r="A5" s="254">
        <f>P3</f>
        <v>0</v>
      </c>
      <c r="B5" s="254"/>
      <c r="C5" s="254"/>
      <c r="D5" s="254"/>
      <c r="E5" s="254"/>
      <c r="F5" s="254"/>
      <c r="G5" s="254"/>
      <c r="H5" s="254"/>
      <c r="I5" s="254"/>
      <c r="J5" s="254"/>
      <c r="O5" s="17" t="s">
        <v>352</v>
      </c>
      <c r="P5" s="11" t="s">
        <v>355</v>
      </c>
    </row>
    <row r="6" spans="1:34" ht="15.75" thickBot="1">
      <c r="O6" s="249" t="s">
        <v>39</v>
      </c>
      <c r="P6" s="249"/>
    </row>
    <row r="7" spans="1:34" ht="18.75">
      <c r="A7" s="250" t="s">
        <v>39</v>
      </c>
      <c r="B7" s="250"/>
      <c r="C7" s="250"/>
      <c r="D7" s="250"/>
      <c r="E7" s="250"/>
      <c r="F7" s="250"/>
      <c r="G7" s="250"/>
      <c r="H7" s="250"/>
      <c r="I7" s="250"/>
      <c r="J7" s="250"/>
      <c r="O7" s="15" t="s">
        <v>60</v>
      </c>
      <c r="P7" s="9"/>
    </row>
    <row r="8" spans="1:34" ht="15.75" thickBot="1">
      <c r="A8" s="209" t="s">
        <v>288</v>
      </c>
      <c r="B8" s="209"/>
      <c r="C8" s="68" t="s">
        <v>396</v>
      </c>
      <c r="D8" s="69"/>
      <c r="F8" s="209" t="s">
        <v>42</v>
      </c>
      <c r="G8" s="209"/>
      <c r="H8" s="92">
        <f ca="1">P10</f>
        <v>44153</v>
      </c>
      <c r="I8" s="5"/>
      <c r="O8" s="16" t="s">
        <v>61</v>
      </c>
      <c r="P8" s="10"/>
    </row>
    <row r="9" spans="1:34" ht="15.75" thickBot="1">
      <c r="A9" s="209" t="s">
        <v>40</v>
      </c>
      <c r="B9" s="209"/>
      <c r="C9" s="75">
        <f>P9</f>
        <v>0</v>
      </c>
      <c r="D9" s="75"/>
      <c r="F9" s="209" t="s">
        <v>60</v>
      </c>
      <c r="G9" s="209"/>
      <c r="H9" s="209">
        <f>P7</f>
        <v>0</v>
      </c>
      <c r="I9" s="5"/>
      <c r="O9" s="16" t="s">
        <v>40</v>
      </c>
      <c r="P9" s="10"/>
      <c r="T9" s="19"/>
      <c r="U9" s="20" t="s">
        <v>121</v>
      </c>
      <c r="V9" s="21" t="s">
        <v>30</v>
      </c>
      <c r="W9" s="19"/>
      <c r="X9" s="19"/>
      <c r="Y9" s="259" t="str">
        <f>"COMP SIZE 1 - "&amp;P27</f>
        <v>COMP SIZE 1 - DSH140A4</v>
      </c>
      <c r="Z9" s="260"/>
      <c r="AA9" s="260"/>
      <c r="AB9" s="261"/>
    </row>
    <row r="10" spans="1:34" ht="16.5" thickBot="1">
      <c r="A10" s="209" t="s">
        <v>41</v>
      </c>
      <c r="B10" s="209"/>
      <c r="C10" s="75">
        <v>0</v>
      </c>
      <c r="D10" s="69" t="s">
        <v>33</v>
      </c>
      <c r="F10" s="209" t="s">
        <v>61</v>
      </c>
      <c r="G10" s="209"/>
      <c r="H10" s="83">
        <f>P8</f>
        <v>0</v>
      </c>
      <c r="I10" s="5"/>
      <c r="O10" s="16" t="s">
        <v>63</v>
      </c>
      <c r="P10" s="91">
        <f ca="1">TODAY()</f>
        <v>44153</v>
      </c>
      <c r="T10" s="19"/>
      <c r="U10" s="22" t="s">
        <v>122</v>
      </c>
      <c r="V10" s="204">
        <v>0.5</v>
      </c>
      <c r="W10" s="23"/>
      <c r="X10" s="23"/>
      <c r="Y10" s="19"/>
      <c r="Z10" s="257" t="s">
        <v>137</v>
      </c>
      <c r="AA10" s="258"/>
      <c r="AB10" s="211" t="s">
        <v>138</v>
      </c>
    </row>
    <row r="11" spans="1:34" ht="16.5" thickBot="1">
      <c r="O11" s="17" t="s">
        <v>62</v>
      </c>
      <c r="P11" s="11"/>
      <c r="T11" s="262" t="s">
        <v>123</v>
      </c>
      <c r="U11" s="24" t="s">
        <v>124</v>
      </c>
      <c r="V11" s="25">
        <f>AA13</f>
        <v>0</v>
      </c>
      <c r="W11" s="23"/>
      <c r="X11" s="23"/>
      <c r="Y11" s="40" t="s">
        <v>139</v>
      </c>
      <c r="Z11" s="41"/>
      <c r="AA11" s="42">
        <f>Z11/12000</f>
        <v>0</v>
      </c>
      <c r="AB11" s="43">
        <f>IF(P5="Single",AA11,AA11*2)</f>
        <v>0</v>
      </c>
    </row>
    <row r="12" spans="1:34" ht="19.5" thickBot="1">
      <c r="A12" s="250" t="s">
        <v>395</v>
      </c>
      <c r="B12" s="250"/>
      <c r="C12" s="250"/>
      <c r="D12" s="250"/>
      <c r="E12" s="250"/>
      <c r="F12" s="250"/>
      <c r="G12" s="250"/>
      <c r="H12" s="250"/>
      <c r="I12" s="250"/>
      <c r="J12" s="250"/>
      <c r="T12" s="263"/>
      <c r="U12" s="23" t="s">
        <v>125</v>
      </c>
      <c r="V12" s="26">
        <f>IF(Z17=0,AA13,AA19)</f>
        <v>0</v>
      </c>
      <c r="W12" s="23"/>
      <c r="X12" s="23"/>
      <c r="Y12" s="40" t="s">
        <v>140</v>
      </c>
      <c r="Z12" s="44"/>
      <c r="AA12" s="42">
        <f>Z12/12000</f>
        <v>0</v>
      </c>
      <c r="AB12" s="45">
        <f>IF(P5="single",AA12,AA12*2)</f>
        <v>0</v>
      </c>
    </row>
    <row r="13" spans="1:34" ht="16.5" thickBot="1">
      <c r="A13" s="209" t="s">
        <v>28</v>
      </c>
      <c r="B13" s="209"/>
      <c r="C13" s="66">
        <v>1</v>
      </c>
      <c r="D13" s="5"/>
      <c r="F13" s="209" t="s">
        <v>48</v>
      </c>
      <c r="G13" s="209"/>
      <c r="H13" s="70">
        <f>V20</f>
        <v>0</v>
      </c>
      <c r="I13" s="5" t="s">
        <v>0</v>
      </c>
      <c r="O13" s="249" t="s">
        <v>413</v>
      </c>
      <c r="P13" s="249"/>
      <c r="T13" s="263"/>
      <c r="U13" s="23" t="s">
        <v>126</v>
      </c>
      <c r="V13" s="26">
        <v>0</v>
      </c>
      <c r="W13" s="19"/>
      <c r="X13" s="19"/>
      <c r="Y13" s="19" t="s">
        <v>141</v>
      </c>
      <c r="Z13" s="46">
        <f>Z12-Z11</f>
        <v>0</v>
      </c>
      <c r="AA13" s="47">
        <f>Z13/3412</f>
        <v>0</v>
      </c>
      <c r="AB13" s="48">
        <f>IF(P5="single",AA13,AA13*2)</f>
        <v>0</v>
      </c>
    </row>
    <row r="14" spans="1:34" ht="16.5" thickBot="1">
      <c r="A14" s="209" t="s">
        <v>29</v>
      </c>
      <c r="B14" s="209"/>
      <c r="C14" s="70">
        <f>V19</f>
        <v>0.5</v>
      </c>
      <c r="D14" s="5" t="s">
        <v>30</v>
      </c>
      <c r="F14" s="209" t="s">
        <v>326</v>
      </c>
      <c r="H14" s="90">
        <f>(AB12*12000)/1000</f>
        <v>0</v>
      </c>
      <c r="I14" s="209" t="s">
        <v>142</v>
      </c>
      <c r="O14" s="15" t="s">
        <v>91</v>
      </c>
      <c r="P14" s="9" t="s">
        <v>17</v>
      </c>
      <c r="Q14" s="265" t="str">
        <f>IF(P14="WATER",P14,P15&amp;"% "&amp;P14)</f>
        <v>Water</v>
      </c>
      <c r="R14" s="266"/>
      <c r="T14" s="264"/>
      <c r="U14" s="27" t="s">
        <v>127</v>
      </c>
      <c r="V14" s="28">
        <v>0</v>
      </c>
      <c r="W14" s="19"/>
      <c r="X14" s="19"/>
      <c r="Y14" s="19"/>
      <c r="Z14" s="19"/>
      <c r="AA14" s="19"/>
    </row>
    <row r="15" spans="1:34" ht="16.5" thickBot="1">
      <c r="A15" s="209" t="s">
        <v>31</v>
      </c>
      <c r="B15" s="209"/>
      <c r="C15" s="70">
        <f>SUM(V11:V14)</f>
        <v>0</v>
      </c>
      <c r="D15" s="5" t="s">
        <v>30</v>
      </c>
      <c r="F15" s="209" t="s">
        <v>50</v>
      </c>
      <c r="G15" s="209"/>
      <c r="H15" s="81" t="e">
        <f>V21</f>
        <v>#DIV/0!</v>
      </c>
      <c r="I15" s="5" t="s">
        <v>49</v>
      </c>
      <c r="O15" s="16" t="s">
        <v>92</v>
      </c>
      <c r="P15" s="10"/>
      <c r="Q15" s="267"/>
      <c r="R15" s="268"/>
      <c r="T15" s="262" t="s">
        <v>128</v>
      </c>
      <c r="U15" s="24" t="s">
        <v>124</v>
      </c>
      <c r="V15" s="29">
        <v>0</v>
      </c>
      <c r="W15" s="19"/>
      <c r="X15" s="19"/>
      <c r="Y15" s="259" t="str">
        <f>"COMP SIZE 1 - "&amp;P28</f>
        <v xml:space="preserve">COMP SIZE 1 - </v>
      </c>
      <c r="Z15" s="260"/>
      <c r="AA15" s="260"/>
      <c r="AB15" s="261"/>
    </row>
    <row r="16" spans="1:34" ht="16.5" thickBot="1">
      <c r="A16" s="209" t="s">
        <v>32</v>
      </c>
      <c r="B16" s="209"/>
      <c r="C16" s="70">
        <f>SUM(V15:V18)</f>
        <v>0</v>
      </c>
      <c r="D16" s="5" t="s">
        <v>30</v>
      </c>
      <c r="F16" s="209" t="s">
        <v>394</v>
      </c>
      <c r="G16" s="209"/>
      <c r="H16" s="70" t="e">
        <f>V22</f>
        <v>#DIV/0!</v>
      </c>
      <c r="I16" s="5" t="s">
        <v>35</v>
      </c>
      <c r="O16" s="16" t="s">
        <v>89</v>
      </c>
      <c r="P16" s="10"/>
      <c r="T16" s="263"/>
      <c r="U16" s="23" t="s">
        <v>125</v>
      </c>
      <c r="V16" s="30">
        <v>0</v>
      </c>
      <c r="W16" s="19"/>
      <c r="X16" s="19"/>
      <c r="Y16" s="19"/>
      <c r="Z16" s="257" t="s">
        <v>137</v>
      </c>
      <c r="AA16" s="258"/>
      <c r="AB16" s="211" t="s">
        <v>138</v>
      </c>
    </row>
    <row r="17" spans="1:28" ht="16.5" thickBot="1">
      <c r="F17" s="209"/>
      <c r="G17" s="209"/>
      <c r="H17" s="2"/>
      <c r="I17" s="5"/>
      <c r="O17" s="16" t="s">
        <v>90</v>
      </c>
      <c r="P17" s="10"/>
      <c r="T17" s="263"/>
      <c r="U17" s="23" t="s">
        <v>126</v>
      </c>
      <c r="V17" s="30">
        <v>0</v>
      </c>
      <c r="W17" s="19"/>
      <c r="X17" s="19"/>
      <c r="Y17" s="40" t="s">
        <v>139</v>
      </c>
      <c r="Z17" s="41">
        <v>0</v>
      </c>
      <c r="AA17" s="42">
        <f>Z17/12000</f>
        <v>0</v>
      </c>
      <c r="AB17" s="43">
        <f>AA17*2</f>
        <v>0</v>
      </c>
    </row>
    <row r="18" spans="1:28" ht="19.5" thickBot="1">
      <c r="A18" s="250" t="s">
        <v>393</v>
      </c>
      <c r="B18" s="250"/>
      <c r="C18" s="250"/>
      <c r="D18" s="250"/>
      <c r="E18" s="250"/>
      <c r="F18" s="250"/>
      <c r="G18" s="250"/>
      <c r="H18" s="250"/>
      <c r="I18" s="250"/>
      <c r="J18" s="250"/>
      <c r="O18" s="17" t="s">
        <v>24</v>
      </c>
      <c r="P18" s="128">
        <v>32</v>
      </c>
      <c r="T18" s="264"/>
      <c r="U18" s="27" t="s">
        <v>127</v>
      </c>
      <c r="V18" s="31">
        <v>0</v>
      </c>
      <c r="W18" s="19"/>
      <c r="X18" s="19"/>
      <c r="Y18" s="40" t="s">
        <v>140</v>
      </c>
      <c r="Z18" s="44">
        <v>0</v>
      </c>
      <c r="AA18" s="42">
        <f>Z18/12000</f>
        <v>0</v>
      </c>
      <c r="AB18" s="45">
        <f>AA18*2</f>
        <v>0</v>
      </c>
    </row>
    <row r="19" spans="1:28" ht="18" thickBot="1">
      <c r="A19" s="209" t="s">
        <v>302</v>
      </c>
      <c r="B19" s="209"/>
      <c r="C19" s="18" t="str">
        <f>Q14</f>
        <v>Water</v>
      </c>
      <c r="D19" s="5"/>
      <c r="F19" s="209" t="s">
        <v>21</v>
      </c>
      <c r="G19" s="209"/>
      <c r="H19" s="84">
        <v>1E-4</v>
      </c>
      <c r="I19" s="80" t="s">
        <v>25</v>
      </c>
      <c r="T19" s="19"/>
      <c r="U19" s="23"/>
      <c r="V19" s="32">
        <f>SUM(V10:V18)</f>
        <v>0.5</v>
      </c>
      <c r="W19" s="23" t="s">
        <v>30</v>
      </c>
      <c r="X19" s="23"/>
      <c r="Y19" s="19" t="s">
        <v>141</v>
      </c>
      <c r="Z19" s="46">
        <f>Z18-Z17</f>
        <v>0</v>
      </c>
      <c r="AA19" s="47">
        <f>Z19/3412</f>
        <v>0</v>
      </c>
      <c r="AB19" s="48">
        <f>AA19*2</f>
        <v>0</v>
      </c>
    </row>
    <row r="20" spans="1:28" ht="16.5" thickBot="1">
      <c r="A20" s="209" t="s">
        <v>446</v>
      </c>
      <c r="B20" s="209"/>
      <c r="C20" s="78">
        <f>V27</f>
        <v>0</v>
      </c>
      <c r="D20" s="5" t="s">
        <v>194</v>
      </c>
      <c r="F20" s="209" t="s">
        <v>22</v>
      </c>
      <c r="G20" s="209"/>
      <c r="H20" s="78">
        <f>V26</f>
        <v>0</v>
      </c>
      <c r="I20" t="s">
        <v>23</v>
      </c>
      <c r="O20" s="249" t="s">
        <v>414</v>
      </c>
      <c r="P20" s="249"/>
      <c r="T20" s="19"/>
      <c r="U20" s="23"/>
      <c r="V20" s="39">
        <f>IF(ISBLANK(P28)=TRUE,AB11,AA11+AA17)</f>
        <v>0</v>
      </c>
      <c r="W20" s="27" t="s">
        <v>129</v>
      </c>
      <c r="X20" s="23"/>
      <c r="Y20" s="23"/>
      <c r="Z20" s="23"/>
      <c r="AA20" s="23"/>
    </row>
    <row r="21" spans="1:28" ht="16.5" thickBot="1">
      <c r="A21" s="209" t="s">
        <v>303</v>
      </c>
      <c r="B21" s="209"/>
      <c r="C21" s="78">
        <f>P16</f>
        <v>0</v>
      </c>
      <c r="D21" s="5" t="s">
        <v>14</v>
      </c>
      <c r="F21" s="209" t="s">
        <v>22</v>
      </c>
      <c r="G21" s="209"/>
      <c r="H21" s="78">
        <f>H20*2.307</f>
        <v>0</v>
      </c>
      <c r="I21" t="s">
        <v>46</v>
      </c>
      <c r="O21" s="15" t="s">
        <v>420</v>
      </c>
      <c r="P21" s="9"/>
      <c r="T21" s="19"/>
      <c r="U21" s="23"/>
      <c r="V21" s="33" t="e">
        <f>V19/V20</f>
        <v>#DIV/0!</v>
      </c>
      <c r="W21" s="23" t="s">
        <v>130</v>
      </c>
      <c r="X21" s="23"/>
      <c r="Y21" s="23"/>
      <c r="Z21" s="23"/>
      <c r="AA21" s="23"/>
    </row>
    <row r="22" spans="1:28" ht="16.5" thickBot="1">
      <c r="A22" s="209" t="s">
        <v>304</v>
      </c>
      <c r="B22" s="209"/>
      <c r="C22" s="78">
        <f>P17</f>
        <v>0</v>
      </c>
      <c r="D22" s="5" t="s">
        <v>14</v>
      </c>
      <c r="F22" s="209" t="s">
        <v>24</v>
      </c>
      <c r="G22" s="209"/>
      <c r="H22" s="78">
        <f>P18</f>
        <v>32</v>
      </c>
      <c r="I22" s="5"/>
      <c r="O22" s="16" t="s">
        <v>421</v>
      </c>
      <c r="P22" s="10"/>
      <c r="T22" s="19"/>
      <c r="U22" s="23"/>
      <c r="V22" s="34" t="e">
        <f>12/V21</f>
        <v>#DIV/0!</v>
      </c>
      <c r="W22" s="35" t="s">
        <v>1</v>
      </c>
      <c r="X22" s="23"/>
      <c r="Y22" s="269" t="s">
        <v>349</v>
      </c>
      <c r="Z22" s="270"/>
      <c r="AA22" s="23"/>
    </row>
    <row r="23" spans="1:28" ht="16.5" thickBot="1">
      <c r="A23" s="209" t="s">
        <v>406</v>
      </c>
      <c r="B23" s="209"/>
      <c r="C23" s="90">
        <f>IF(ISBLANK(P28),V34,CONCATENATE(V34,"/",V40))</f>
        <v>0</v>
      </c>
      <c r="D23" s="5" t="s">
        <v>14</v>
      </c>
      <c r="F23" s="209"/>
      <c r="G23" s="209"/>
      <c r="H23" s="5"/>
      <c r="I23" s="5"/>
      <c r="O23" s="17" t="s">
        <v>99</v>
      </c>
      <c r="P23" s="11">
        <v>0</v>
      </c>
      <c r="T23" s="19"/>
      <c r="U23" s="19"/>
      <c r="V23" s="19"/>
      <c r="W23" s="19"/>
      <c r="X23" s="19"/>
      <c r="Y23" s="175">
        <v>107.09</v>
      </c>
      <c r="Z23" s="176" t="s">
        <v>350</v>
      </c>
      <c r="AA23" s="19"/>
    </row>
    <row r="24" spans="1:28" ht="16.5" thickBot="1">
      <c r="T24" s="36"/>
      <c r="U24" s="19"/>
      <c r="X24" s="19"/>
      <c r="Y24" s="177">
        <f>CONVERT(Y23,"Pa","psi")*2.3*12</f>
        <v>0.42868572080537559</v>
      </c>
      <c r="Z24" s="178" t="s">
        <v>351</v>
      </c>
      <c r="AA24" s="19"/>
    </row>
    <row r="25" spans="1:28" ht="19.5" thickBot="1">
      <c r="A25" s="250" t="s">
        <v>392</v>
      </c>
      <c r="B25" s="250"/>
      <c r="C25" s="250"/>
      <c r="D25" s="250"/>
      <c r="E25" s="250"/>
      <c r="F25" s="250"/>
      <c r="G25" s="250"/>
      <c r="H25" s="250"/>
      <c r="I25" s="250"/>
      <c r="J25" s="250"/>
      <c r="O25" s="249" t="s">
        <v>13</v>
      </c>
      <c r="P25" s="249"/>
      <c r="T25" s="19"/>
      <c r="U25" s="19"/>
      <c r="V25" s="284" t="s">
        <v>407</v>
      </c>
      <c r="W25" s="284"/>
      <c r="X25" s="37"/>
      <c r="Y25" s="37"/>
      <c r="Z25" s="37"/>
      <c r="AA25" s="37"/>
    </row>
    <row r="26" spans="1:28" ht="15.75" thickBot="1">
      <c r="A26" s="209" t="s">
        <v>391</v>
      </c>
      <c r="B26" s="209"/>
      <c r="C26" s="78">
        <f>V31</f>
        <v>0</v>
      </c>
      <c r="D26" s="5" t="s">
        <v>390</v>
      </c>
      <c r="F26" s="209" t="s">
        <v>22</v>
      </c>
      <c r="G26" s="209"/>
      <c r="H26" s="70">
        <f>V30</f>
        <v>0</v>
      </c>
      <c r="I26" t="s">
        <v>192</v>
      </c>
      <c r="O26" s="52" t="s">
        <v>11</v>
      </c>
      <c r="P26" s="53" t="s">
        <v>12</v>
      </c>
      <c r="Q26" s="218" t="s">
        <v>109</v>
      </c>
      <c r="V26" s="51">
        <f>Y28</f>
        <v>0</v>
      </c>
      <c r="W26" s="19" t="s">
        <v>131</v>
      </c>
      <c r="Y26" s="271" t="s">
        <v>358</v>
      </c>
      <c r="Z26" s="272"/>
    </row>
    <row r="27" spans="1:28">
      <c r="A27" s="209" t="s">
        <v>389</v>
      </c>
      <c r="B27" s="209"/>
      <c r="C27" s="78">
        <f>P21</f>
        <v>0</v>
      </c>
      <c r="D27" s="5" t="s">
        <v>14</v>
      </c>
      <c r="F27" s="209" t="s">
        <v>383</v>
      </c>
      <c r="G27" s="209"/>
      <c r="H27" s="78">
        <f>IF(ISBLANK(P28),V36,CONCATENATE(V36,"/",V42))</f>
        <v>0</v>
      </c>
      <c r="I27" s="5" t="s">
        <v>14</v>
      </c>
      <c r="O27" s="12" t="s">
        <v>2</v>
      </c>
      <c r="P27" s="54" t="s">
        <v>345</v>
      </c>
      <c r="Q27" s="9">
        <v>2</v>
      </c>
      <c r="V27" s="50">
        <f>Y30</f>
        <v>0</v>
      </c>
      <c r="W27" s="37" t="s">
        <v>132</v>
      </c>
      <c r="Y27" s="14"/>
      <c r="Z27" s="244" t="s">
        <v>440</v>
      </c>
    </row>
    <row r="28" spans="1:28" ht="15.75" thickBot="1">
      <c r="A28" s="209" t="s">
        <v>388</v>
      </c>
      <c r="B28" s="209"/>
      <c r="C28" s="78">
        <f>P22</f>
        <v>0</v>
      </c>
      <c r="D28" s="5" t="s">
        <v>14</v>
      </c>
      <c r="F28" s="209" t="s">
        <v>387</v>
      </c>
      <c r="G28" s="209"/>
      <c r="H28" s="78">
        <f>IF(ISBLANK(P28),V35,CONCATENATE(V35,"/",V41))</f>
        <v>0</v>
      </c>
      <c r="I28" s="5" t="s">
        <v>14</v>
      </c>
      <c r="O28" s="12" t="s">
        <v>3</v>
      </c>
      <c r="P28" s="54"/>
      <c r="Q28" s="10"/>
      <c r="Y28" s="13">
        <f>Y27*0.14503774</f>
        <v>0</v>
      </c>
      <c r="Z28" s="243" t="s">
        <v>23</v>
      </c>
    </row>
    <row r="29" spans="1:28" ht="15.75" thickBot="1">
      <c r="F29" s="209"/>
      <c r="G29" s="209"/>
      <c r="H29" s="2"/>
      <c r="I29" s="80"/>
      <c r="O29" s="202" t="s">
        <v>111</v>
      </c>
      <c r="P29" s="200" t="s">
        <v>148</v>
      </c>
      <c r="Q29" s="11">
        <v>2</v>
      </c>
      <c r="V29" s="284" t="s">
        <v>410</v>
      </c>
      <c r="W29" s="284"/>
      <c r="Y29" s="12"/>
      <c r="Z29" s="242" t="s">
        <v>441</v>
      </c>
    </row>
    <row r="30" spans="1:28" ht="19.5" thickBot="1">
      <c r="A30" s="250" t="s">
        <v>13</v>
      </c>
      <c r="B30" s="250"/>
      <c r="C30" s="250"/>
      <c r="D30" s="250"/>
      <c r="E30" s="250"/>
      <c r="F30" s="250"/>
      <c r="G30" s="250"/>
      <c r="H30" s="250"/>
      <c r="I30" s="250"/>
      <c r="J30" s="250"/>
      <c r="O30" s="203" t="s">
        <v>113</v>
      </c>
      <c r="P30" s="62">
        <f>IF(ISBLANK(P27)=TRUE,0,INDEX('Look Up Tables'!$M$5:$M$7,MATCH($P$26,'Look Up Tables'!$L$5:$L$7,0)))</f>
        <v>460</v>
      </c>
      <c r="Q30" s="201"/>
      <c r="V30" s="51"/>
      <c r="W30" s="88" t="s">
        <v>408</v>
      </c>
      <c r="Y30" s="13">
        <f>Y29/500.72</f>
        <v>0</v>
      </c>
      <c r="Z30" s="243" t="s">
        <v>442</v>
      </c>
    </row>
    <row r="31" spans="1:28">
      <c r="A31" s="209" t="s">
        <v>294</v>
      </c>
      <c r="B31" s="209"/>
      <c r="C31" s="18" t="str">
        <f>P26</f>
        <v>460/3/60</v>
      </c>
      <c r="D31" s="1" t="s">
        <v>180</v>
      </c>
      <c r="F31" s="209" t="s">
        <v>293</v>
      </c>
      <c r="G31" s="209"/>
      <c r="H31" s="78">
        <f>P41</f>
        <v>5</v>
      </c>
      <c r="I31" s="1" t="s">
        <v>178</v>
      </c>
      <c r="O31" s="202" t="s">
        <v>114</v>
      </c>
      <c r="P31" s="55">
        <f>IF(ISBLANK(P28)=TRUE,0,INDEX('Look Up Tables'!$M$5:$M$7,MATCH($P$26,'Look Up Tables'!$L$5:$L$7,0)))</f>
        <v>0</v>
      </c>
      <c r="Q31" s="113"/>
      <c r="V31" s="50"/>
      <c r="W31" s="37" t="s">
        <v>409</v>
      </c>
    </row>
    <row r="32" spans="1:28" ht="15.75" thickBot="1">
      <c r="A32" s="209" t="s">
        <v>295</v>
      </c>
      <c r="B32" s="209"/>
      <c r="C32" s="18">
        <f>P30*0.9</f>
        <v>414</v>
      </c>
      <c r="D32" s="1" t="s">
        <v>176</v>
      </c>
      <c r="F32" s="209" t="s">
        <v>309</v>
      </c>
      <c r="G32" s="209"/>
      <c r="H32" s="78">
        <f>P39</f>
        <v>70</v>
      </c>
      <c r="I32" s="1" t="s">
        <v>179</v>
      </c>
      <c r="O32" s="202" t="s">
        <v>115</v>
      </c>
      <c r="P32" s="55">
        <f>IF(ISBLANK(Q29)=TRUE,0,INDEX('Look Up Tables'!$M$5:$M$7,MATCH($P$26,'Look Up Tables'!$L$5:$L$7,0)))</f>
        <v>460</v>
      </c>
      <c r="Q32" s="113"/>
    </row>
    <row r="33" spans="1:25">
      <c r="A33" s="209" t="s">
        <v>298</v>
      </c>
      <c r="B33" s="209"/>
      <c r="C33" s="18">
        <f>P30*1.1</f>
        <v>506.00000000000006</v>
      </c>
      <c r="D33" s="1" t="s">
        <v>176</v>
      </c>
      <c r="F33" s="209" t="s">
        <v>310</v>
      </c>
      <c r="G33" s="209"/>
      <c r="H33" s="78">
        <f>P40</f>
        <v>53.609230769230763</v>
      </c>
      <c r="I33" s="1" t="s">
        <v>179</v>
      </c>
      <c r="O33" s="202" t="s">
        <v>117</v>
      </c>
      <c r="P33" s="199">
        <f>IF(ISBLANK(P27),0,INDEX('Look Up Tables'!$G$5:$G$47,MATCH(P27,'Look Up Tables'!$B$5:$B$47,0)))</f>
        <v>19.23076923076923</v>
      </c>
      <c r="Q33" s="113"/>
      <c r="U33" s="255" t="str">
        <f>"CRKT #1 - "&amp;P27</f>
        <v>CRKT #1 - DSH140A4</v>
      </c>
      <c r="V33" s="256"/>
    </row>
    <row r="34" spans="1:25" ht="19.5" customHeight="1">
      <c r="O34" s="232" t="s">
        <v>118</v>
      </c>
      <c r="P34" s="233">
        <f>IF(ISBLANK(P28),0,INDEX('Look Up Tables'!$G$5:$G$47,MATCH(P28,'Look Up Tables'!$B$5:$B$47,0)))</f>
        <v>0</v>
      </c>
      <c r="Q34" s="113"/>
      <c r="U34" s="58" t="s">
        <v>133</v>
      </c>
      <c r="V34" s="59"/>
    </row>
    <row r="35" spans="1:25" ht="15" customHeight="1" thickBot="1">
      <c r="C35" s="4" t="s">
        <v>36</v>
      </c>
      <c r="D35" s="4" t="s">
        <v>4</v>
      </c>
      <c r="E35" s="4" t="s">
        <v>5</v>
      </c>
      <c r="F35" s="4" t="s">
        <v>6</v>
      </c>
      <c r="G35" s="4" t="s">
        <v>7</v>
      </c>
      <c r="H35" s="4" t="s">
        <v>8</v>
      </c>
      <c r="I35" s="4" t="s">
        <v>9</v>
      </c>
      <c r="J35" s="4" t="s">
        <v>10</v>
      </c>
      <c r="O35" s="234" t="s">
        <v>437</v>
      </c>
      <c r="P35" s="235">
        <f>IF(ISBLANK(Q29),0,5.17)</f>
        <v>5.17</v>
      </c>
      <c r="U35" s="60" t="s">
        <v>135</v>
      </c>
      <c r="V35" s="59"/>
    </row>
    <row r="36" spans="1:25" ht="15.75" customHeight="1">
      <c r="A36" s="209" t="s">
        <v>297</v>
      </c>
      <c r="B36" s="209"/>
      <c r="C36" s="18" t="str">
        <f>IF(ISBLANK(P27)," ",INDEX('Look Up Tables'!$C$5:$C$35,MATCH(P27,'Look Up Tables'!$B$5:$B$35,0)))</f>
        <v>DSH140</v>
      </c>
      <c r="D36" s="18">
        <f>IF(ISBLANK(P27)," ",Q27)</f>
        <v>2</v>
      </c>
      <c r="E36" s="18">
        <f>IF(ISBLANK(P27)," ",Q27)</f>
        <v>2</v>
      </c>
      <c r="F36" s="18">
        <f t="shared" ref="F36:F37" si="0">IF(ISBLANK(Q27),"",P30)</f>
        <v>460</v>
      </c>
      <c r="G36" s="18">
        <f>IF(ISBLANK(P27)," ",3)</f>
        <v>3</v>
      </c>
      <c r="H36" s="18"/>
      <c r="I36" s="18"/>
      <c r="J36" s="63">
        <f>IF(ISBLANK(Q27),"",P33)</f>
        <v>19.23076923076923</v>
      </c>
      <c r="O36" s="113"/>
      <c r="P36" s="113"/>
      <c r="U36" s="12" t="s">
        <v>134</v>
      </c>
      <c r="V36" s="59"/>
    </row>
    <row r="37" spans="1:25" ht="15" customHeight="1" thickBot="1">
      <c r="A37" s="209" t="s">
        <v>300</v>
      </c>
      <c r="B37" s="209"/>
      <c r="C37" s="18" t="str">
        <f>IF(ISBLANK(P28)," ",INDEX('Look Up Tables'!$C$5:$C$35,MATCH(P28,'Look Up Tables'!$B$5:$B$35,0)))</f>
        <v xml:space="preserve"> </v>
      </c>
      <c r="D37" s="18" t="str">
        <f t="shared" ref="D37" si="1">IF(ISBLANK(P28)," ",Q28)</f>
        <v xml:space="preserve"> </v>
      </c>
      <c r="E37" s="18" t="str">
        <f t="shared" ref="E37" si="2">IF(ISBLANK(P28)," ",Q28)</f>
        <v xml:space="preserve"> </v>
      </c>
      <c r="F37" s="18" t="str">
        <f t="shared" si="0"/>
        <v/>
      </c>
      <c r="G37" s="18" t="str">
        <f t="shared" ref="G37" si="3">IF(ISBLANK(P28)," ",3)</f>
        <v xml:space="preserve"> </v>
      </c>
      <c r="H37" s="18"/>
      <c r="I37" s="18"/>
      <c r="J37" s="63" t="str">
        <f>IF(ISBLANK(Q28),"",P34)</f>
        <v/>
      </c>
      <c r="O37" s="113"/>
      <c r="P37" s="113"/>
      <c r="U37" s="13" t="s">
        <v>136</v>
      </c>
      <c r="V37" s="216">
        <f>V35-10</f>
        <v>-10</v>
      </c>
    </row>
    <row r="38" spans="1:25" ht="15.75" customHeight="1" thickBot="1">
      <c r="A38" s="209" t="s">
        <v>386</v>
      </c>
      <c r="B38" s="209"/>
      <c r="C38" s="18" t="str">
        <f>IF(ISBLANK(Q29),"",P29)</f>
        <v>AFKG 800</v>
      </c>
      <c r="D38" s="18">
        <f>IF(ISBLANK(P27)," ",Q29)</f>
        <v>2</v>
      </c>
      <c r="E38" s="18">
        <f>IF(ISBLANK(Q29),"",(C16*1.341)/D38)</f>
        <v>0</v>
      </c>
      <c r="F38" s="18">
        <f>IF(ISBLANK(Q29),"",P32)</f>
        <v>460</v>
      </c>
      <c r="G38" s="18">
        <f>IF(ISBLANK(P27)," ",3)</f>
        <v>3</v>
      </c>
      <c r="H38" s="18">
        <f>IF(ISBLANK(Q29),"",P42)</f>
        <v>1160</v>
      </c>
      <c r="I38" s="18">
        <f>IF(ISBLANK(Q29),"",5.17)</f>
        <v>5.17</v>
      </c>
      <c r="J38" s="18"/>
      <c r="O38" s="230" t="s">
        <v>438</v>
      </c>
      <c r="P38" s="231">
        <f>IF(ISBLANK(P27),0,2.25*MAX(P33,P34,P35)+(SUM(P33*Q27,P34*Q28,P35*Q29)-MAX(P33,P34,P35)))</f>
        <v>72.839999999999989</v>
      </c>
    </row>
    <row r="39" spans="1:25" ht="15" customHeight="1">
      <c r="O39" s="229" t="s">
        <v>143</v>
      </c>
      <c r="P39" s="55">
        <f>IF(ISBLANK(P27),0,INDEX('Look Up Tables'!$AR$8:$AR$45,MATCH(LARGE('Look Up Tables'!$AR$8:$AR$45,COUNTIF('Look Up Tables'!$AR$8:$AR$45,"&gt; "&amp;P38)+1),'Look Up Tables'!$AR$8:$AR$45,0)))</f>
        <v>70</v>
      </c>
      <c r="U39" s="255" t="str">
        <f>"CRKT #2 - "&amp;P28</f>
        <v xml:space="preserve">CRKT #2 - </v>
      </c>
      <c r="V39" s="256"/>
    </row>
    <row r="40" spans="1:25" ht="19.5" customHeight="1">
      <c r="A40" s="250" t="s">
        <v>56</v>
      </c>
      <c r="B40" s="250"/>
      <c r="C40" s="250"/>
      <c r="D40" s="250"/>
      <c r="E40" s="250"/>
      <c r="F40" s="250"/>
      <c r="G40" s="250"/>
      <c r="H40" s="250"/>
      <c r="I40" s="250"/>
      <c r="J40" s="250"/>
      <c r="O40" s="12" t="s">
        <v>144</v>
      </c>
      <c r="P40" s="56">
        <f>IF(ISBLANK(P27),0,1.25*MAX(P33,P34,P35)+(SUM(P33*Q27,P34*Q28,P35*Q29)-MAX(P33,P34,P35)))</f>
        <v>53.609230769230763</v>
      </c>
      <c r="U40" s="58" t="s">
        <v>133</v>
      </c>
      <c r="V40" s="59"/>
    </row>
    <row r="41" spans="1:25" ht="15.75" customHeight="1">
      <c r="A41" s="209" t="s">
        <v>311</v>
      </c>
      <c r="B41" s="209"/>
      <c r="C41" s="75" t="s">
        <v>57</v>
      </c>
      <c r="D41" s="215"/>
      <c r="F41" s="209" t="s">
        <v>52</v>
      </c>
      <c r="G41" s="209"/>
      <c r="H41" s="78">
        <f>P46</f>
        <v>86.375</v>
      </c>
      <c r="I41" s="1" t="s">
        <v>54</v>
      </c>
      <c r="O41" s="12" t="s">
        <v>177</v>
      </c>
      <c r="P41" s="61">
        <v>5</v>
      </c>
      <c r="U41" s="60" t="s">
        <v>135</v>
      </c>
      <c r="V41" s="59"/>
    </row>
    <row r="42" spans="1:25" ht="15.75" customHeight="1" thickBot="1">
      <c r="A42" s="209" t="s">
        <v>312</v>
      </c>
      <c r="B42" s="209"/>
      <c r="C42" s="75" t="s">
        <v>385</v>
      </c>
      <c r="F42" s="209" t="s">
        <v>53</v>
      </c>
      <c r="G42" s="209"/>
      <c r="H42" s="78">
        <f>P47</f>
        <v>39.375</v>
      </c>
      <c r="I42" s="1" t="s">
        <v>54</v>
      </c>
      <c r="O42" s="13" t="s">
        <v>145</v>
      </c>
      <c r="P42" s="71">
        <v>1160</v>
      </c>
      <c r="U42" s="12" t="s">
        <v>134</v>
      </c>
      <c r="V42" s="59"/>
      <c r="Y42" s="19"/>
    </row>
    <row r="43" spans="1:25" ht="15" customHeight="1" thickBot="1">
      <c r="A43" s="209" t="s">
        <v>313</v>
      </c>
      <c r="B43" s="209"/>
      <c r="C43" s="75" t="s">
        <v>58</v>
      </c>
      <c r="F43" s="209" t="s">
        <v>55</v>
      </c>
      <c r="G43" s="209"/>
      <c r="H43" s="78">
        <f>P48</f>
        <v>86.5</v>
      </c>
      <c r="I43" s="1" t="s">
        <v>54</v>
      </c>
      <c r="U43" s="13" t="s">
        <v>136</v>
      </c>
      <c r="V43" s="216">
        <f>V41-10</f>
        <v>-10</v>
      </c>
      <c r="Y43" s="19"/>
    </row>
    <row r="44" spans="1:25" ht="15" customHeight="1" thickBot="1">
      <c r="A44" s="209" t="s">
        <v>44</v>
      </c>
      <c r="B44" s="209"/>
      <c r="C44" s="75" t="s">
        <v>43</v>
      </c>
      <c r="O44" s="217" t="s">
        <v>56</v>
      </c>
      <c r="P44" s="217"/>
      <c r="Y44" s="19"/>
    </row>
    <row r="45" spans="1:25" ht="15" customHeight="1">
      <c r="O45" s="15" t="s">
        <v>146</v>
      </c>
      <c r="P45" s="9" t="s">
        <v>57</v>
      </c>
      <c r="Y45" s="19"/>
    </row>
    <row r="46" spans="1:25" ht="15.75" customHeight="1">
      <c r="O46" s="16" t="s">
        <v>52</v>
      </c>
      <c r="P46" s="122">
        <f>INDEX('Look Up Tables'!$W$5:$W$7,MATCH(P4,'Look Up Tables'!$V$5:$V$7,0))</f>
        <v>86.375</v>
      </c>
    </row>
    <row r="47" spans="1:25">
      <c r="O47" s="16" t="s">
        <v>53</v>
      </c>
      <c r="P47" s="122">
        <f>INDEX('Look Up Tables'!$X$5:$X$7,MATCH(P4,'Look Up Tables'!$V$5:$V$7,0))</f>
        <v>39.375</v>
      </c>
    </row>
    <row r="48" spans="1:25" ht="15.75" thickBot="1">
      <c r="O48" s="17" t="s">
        <v>55</v>
      </c>
      <c r="P48" s="115">
        <f>INDEX('Look Up Tables'!$Y$5:$Y$7,MATCH(P4,'Look Up Tables'!$V$5:$V$7,0))</f>
        <v>86.5</v>
      </c>
    </row>
    <row r="49" spans="1:10" ht="15" customHeight="1"/>
    <row r="50" spans="1:10" ht="15" customHeight="1">
      <c r="G50" s="214" t="s">
        <v>175</v>
      </c>
      <c r="H50" s="214"/>
      <c r="I50" s="214"/>
      <c r="J50" s="214"/>
    </row>
    <row r="51" spans="1:10" ht="15" customHeight="1" thickBot="1">
      <c r="A51" s="85"/>
      <c r="B51" s="85"/>
      <c r="C51" s="85"/>
      <c r="D51" s="85"/>
      <c r="E51" s="85"/>
      <c r="F51" s="85"/>
      <c r="G51" s="213"/>
      <c r="H51" s="213"/>
      <c r="I51" s="213"/>
      <c r="J51" s="213"/>
    </row>
    <row r="52" spans="1:10" ht="15.75" thickTop="1"/>
  </sheetData>
  <mergeCells count="27">
    <mergeCell ref="A30:J30"/>
    <mergeCell ref="A40:J40"/>
    <mergeCell ref="V25:W25"/>
    <mergeCell ref="V29:W29"/>
    <mergeCell ref="U33:V33"/>
    <mergeCell ref="U39:V39"/>
    <mergeCell ref="Y9:AB9"/>
    <mergeCell ref="Z10:AA10"/>
    <mergeCell ref="T11:T14"/>
    <mergeCell ref="O20:P20"/>
    <mergeCell ref="A25:J25"/>
    <mergeCell ref="Y26:Z26"/>
    <mergeCell ref="A7:J7"/>
    <mergeCell ref="O2:P2"/>
    <mergeCell ref="A4:J4"/>
    <mergeCell ref="A5:J5"/>
    <mergeCell ref="O6:P6"/>
    <mergeCell ref="F1:J2"/>
    <mergeCell ref="A12:J12"/>
    <mergeCell ref="O13:P13"/>
    <mergeCell ref="Q14:R15"/>
    <mergeCell ref="T15:T18"/>
    <mergeCell ref="Y15:AB15"/>
    <mergeCell ref="Z16:AA16"/>
    <mergeCell ref="A18:J18"/>
    <mergeCell ref="Y22:Z22"/>
    <mergeCell ref="O25:P25"/>
  </mergeCells>
  <conditionalFormatting sqref="C27:C28">
    <cfRule type="cellIs" dxfId="41" priority="15" operator="equal">
      <formula>0</formula>
    </cfRule>
  </conditionalFormatting>
  <conditionalFormatting sqref="C9 H9:H10">
    <cfRule type="cellIs" dxfId="40" priority="7" operator="equal">
      <formula>0</formula>
    </cfRule>
  </conditionalFormatting>
  <conditionalFormatting sqref="H32:H33">
    <cfRule type="cellIs" dxfId="39" priority="14" operator="equal">
      <formula>0</formula>
    </cfRule>
  </conditionalFormatting>
  <conditionalFormatting sqref="H27:H28">
    <cfRule type="cellIs" dxfId="38" priority="12" operator="equal">
      <formula>0</formula>
    </cfRule>
  </conditionalFormatting>
  <conditionalFormatting sqref="H26">
    <cfRule type="cellIs" dxfId="37" priority="11" operator="equal">
      <formula>0</formula>
    </cfRule>
  </conditionalFormatting>
  <conditionalFormatting sqref="C26">
    <cfRule type="cellIs" dxfId="36" priority="10" operator="equal">
      <formula>0</formula>
    </cfRule>
  </conditionalFormatting>
  <conditionalFormatting sqref="H13 C15:C16">
    <cfRule type="cellIs" dxfId="35" priority="9" operator="equal">
      <formula>0</formula>
    </cfRule>
  </conditionalFormatting>
  <conditionalFormatting sqref="A5">
    <cfRule type="cellIs" dxfId="34" priority="8" operator="equal">
      <formula>0</formula>
    </cfRule>
  </conditionalFormatting>
  <conditionalFormatting sqref="C21:C22">
    <cfRule type="cellIs" dxfId="33" priority="6" operator="equal">
      <formula>0</formula>
    </cfRule>
  </conditionalFormatting>
  <conditionalFormatting sqref="H22">
    <cfRule type="cellIs" dxfId="32" priority="5" operator="equal">
      <formula>0</formula>
    </cfRule>
  </conditionalFormatting>
  <conditionalFormatting sqref="H20">
    <cfRule type="cellIs" dxfId="31" priority="4" operator="equal">
      <formula>0</formula>
    </cfRule>
  </conditionalFormatting>
  <conditionalFormatting sqref="C20">
    <cfRule type="cellIs" dxfId="30" priority="3" operator="equal">
      <formula>0</formula>
    </cfRule>
  </conditionalFormatting>
  <conditionalFormatting sqref="C23">
    <cfRule type="cellIs" dxfId="29" priority="2" operator="equal">
      <formula>0</formula>
    </cfRule>
  </conditionalFormatting>
  <conditionalFormatting sqref="H38">
    <cfRule type="cellIs" dxfId="28" priority="1" operator="equal">
      <formula>0</formula>
    </cfRule>
  </conditionalFormatting>
  <printOptions horizontalCentered="1"/>
  <pageMargins left="0.7" right="0.7" top="0.75" bottom="0.75" header="0.3" footer="0.3"/>
  <pageSetup scale="79" orientation="portrait" r:id="rId1"/>
  <headerFooter>
    <oddFooter>&amp;Lwww.JetsonHVAC.com&amp;RPage &amp;P of &amp;N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>
          <x14:formula1>
            <xm:f>'Look Up Tables'!$AA$5:$AA$6</xm:f>
          </x14:formula1>
          <xm:sqref>P5</xm:sqref>
        </x14:dataValidation>
        <x14:dataValidation type="list" allowBlank="1" showInputMessage="1" showErrorMessage="1">
          <x14:formula1>
            <xm:f>'Look Up Tables'!$Q$5:$Q$9</xm:f>
          </x14:formula1>
          <xm:sqref>Q29</xm:sqref>
        </x14:dataValidation>
        <x14:dataValidation type="list" allowBlank="1" showInputMessage="1" showErrorMessage="1">
          <x14:formula1>
            <xm:f>'Look Up Tables'!$I$5:$I$18</xm:f>
          </x14:formula1>
          <xm:sqref>P15</xm:sqref>
        </x14:dataValidation>
        <x14:dataValidation type="list" allowBlank="1" showInputMessage="1" showErrorMessage="1">
          <x14:formula1>
            <xm:f>'Look Up Tables'!$T$5:$T$8</xm:f>
          </x14:formula1>
          <xm:sqref>P45</xm:sqref>
        </x14:dataValidation>
        <x14:dataValidation type="list" allowBlank="1" showInputMessage="1" showErrorMessage="1">
          <x14:formula1>
            <xm:f>'Look Up Tables'!$P$5:$P$15</xm:f>
          </x14:formula1>
          <xm:sqref>Q27:Q28</xm:sqref>
        </x14:dataValidation>
        <x14:dataValidation type="list" allowBlank="1" showInputMessage="1" showErrorMessage="1">
          <x14:formula1>
            <xm:f>'Look Up Tables'!$L$5:$L$7</xm:f>
          </x14:formula1>
          <xm:sqref>P26</xm:sqref>
        </x14:dataValidation>
        <x14:dataValidation type="list" allowBlank="1" showInputMessage="1" showErrorMessage="1">
          <x14:formula1>
            <xm:f>'Look Up Tables'!$K$5:$K$6</xm:f>
          </x14:formula1>
          <xm:sqref>P23</xm:sqref>
        </x14:dataValidation>
        <x14:dataValidation type="list" allowBlank="1" showInputMessage="1" showErrorMessage="1">
          <x14:formula1>
            <xm:f>'Look Up Tables'!$V$5:$V$7</xm:f>
          </x14:formula1>
          <xm:sqref>P4</xm:sqref>
        </x14:dataValidation>
        <x14:dataValidation type="list" allowBlank="1" showInputMessage="1" showErrorMessage="1">
          <x14:formula1>
            <xm:f>'Look Up Tables'!$J$5:$J$7</xm:f>
          </x14:formula1>
          <xm:sqref>P14</xm:sqref>
        </x14:dataValidation>
        <x14:dataValidation type="list" allowBlank="1" showInputMessage="1" showErrorMessage="1">
          <x14:formula1>
            <xm:f>'Look Up Tables'!$B$5:$B$47</xm:f>
          </x14:formula1>
          <xm:sqref>P27:P28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2"/>
  <sheetViews>
    <sheetView zoomScale="85" zoomScaleNormal="85" zoomScaleSheetLayoutView="100" workbookViewId="0"/>
  </sheetViews>
  <sheetFormatPr defaultColWidth="8.85546875" defaultRowHeight="15"/>
  <cols>
    <col min="1" max="1" width="11" style="1" customWidth="1"/>
    <col min="2" max="2" width="11.85546875" style="1" customWidth="1"/>
    <col min="3" max="4" width="11" style="1" customWidth="1"/>
    <col min="5" max="5" width="7" style="1" customWidth="1"/>
    <col min="6" max="6" width="11" style="1" customWidth="1"/>
    <col min="7" max="7" width="15.7109375" style="1" customWidth="1"/>
    <col min="8" max="9" width="11" style="1" customWidth="1"/>
    <col min="10" max="10" width="10" style="1" customWidth="1"/>
    <col min="15" max="16" width="22" customWidth="1"/>
    <col min="21" max="22" width="21.28515625" customWidth="1"/>
    <col min="23" max="23" width="9.85546875" bestFit="1" customWidth="1"/>
    <col min="24" max="27" width="9.85546875" customWidth="1"/>
    <col min="32" max="35" width="16.85546875" customWidth="1"/>
  </cols>
  <sheetData>
    <row r="1" spans="1:34" ht="15" customHeight="1">
      <c r="F1" s="251" t="s">
        <v>405</v>
      </c>
      <c r="G1" s="251"/>
      <c r="H1" s="251"/>
      <c r="I1" s="251"/>
      <c r="J1" s="251"/>
    </row>
    <row r="2" spans="1:34" ht="15.75" customHeight="1" thickBot="1">
      <c r="A2" s="85"/>
      <c r="B2" s="85"/>
      <c r="C2" s="85"/>
      <c r="D2" s="85"/>
      <c r="E2" s="85"/>
      <c r="F2" s="252"/>
      <c r="G2" s="252"/>
      <c r="H2" s="252"/>
      <c r="I2" s="252"/>
      <c r="J2" s="252"/>
      <c r="O2" s="249" t="s">
        <v>339</v>
      </c>
      <c r="P2" s="249"/>
    </row>
    <row r="3" spans="1:34" ht="15.75" thickTop="1">
      <c r="G3" s="86" t="s">
        <v>173</v>
      </c>
      <c r="H3" s="87">
        <v>1.2</v>
      </c>
      <c r="I3" s="86" t="s">
        <v>174</v>
      </c>
      <c r="J3" s="87">
        <v>7854991</v>
      </c>
      <c r="O3" s="15" t="s">
        <v>36</v>
      </c>
      <c r="P3" s="126">
        <f>'Air-Water Heat Pump (Cooling)'!P3</f>
        <v>0</v>
      </c>
    </row>
    <row r="4" spans="1:34" ht="18.75">
      <c r="A4" s="250" t="s">
        <v>36</v>
      </c>
      <c r="B4" s="250"/>
      <c r="C4" s="250"/>
      <c r="D4" s="250"/>
      <c r="E4" s="250"/>
      <c r="F4" s="250"/>
      <c r="G4" s="250"/>
      <c r="H4" s="250"/>
      <c r="I4" s="250"/>
      <c r="J4" s="250"/>
      <c r="O4" s="16" t="s">
        <v>340</v>
      </c>
      <c r="P4" s="127" t="str">
        <f>'Air-Water Heat Pump (Cooling)'!P4</f>
        <v>Green</v>
      </c>
      <c r="AH4" s="1"/>
    </row>
    <row r="5" spans="1:34" ht="19.5" thickBot="1">
      <c r="A5" s="254">
        <f>P3</f>
        <v>0</v>
      </c>
      <c r="B5" s="254"/>
      <c r="C5" s="254"/>
      <c r="D5" s="254"/>
      <c r="E5" s="254"/>
      <c r="F5" s="254"/>
      <c r="G5" s="254"/>
      <c r="H5" s="254"/>
      <c r="I5" s="254"/>
      <c r="J5" s="254"/>
      <c r="O5" s="17" t="s">
        <v>352</v>
      </c>
      <c r="P5" s="128" t="str">
        <f>'Air-Water Heat Pump (Cooling)'!P5</f>
        <v>Dual</v>
      </c>
    </row>
    <row r="6" spans="1:34" ht="15.75" thickBot="1">
      <c r="O6" s="249" t="s">
        <v>39</v>
      </c>
      <c r="P6" s="249"/>
    </row>
    <row r="7" spans="1:34" ht="18.75">
      <c r="A7" s="250" t="s">
        <v>39</v>
      </c>
      <c r="B7" s="250"/>
      <c r="C7" s="250"/>
      <c r="D7" s="250"/>
      <c r="E7" s="250"/>
      <c r="F7" s="250"/>
      <c r="G7" s="250"/>
      <c r="H7" s="250"/>
      <c r="I7" s="250"/>
      <c r="J7" s="250"/>
      <c r="O7" s="15" t="s">
        <v>60</v>
      </c>
      <c r="P7" s="126">
        <f>'Air-Water Heat Pump (Cooling)'!P7</f>
        <v>0</v>
      </c>
    </row>
    <row r="8" spans="1:34" ht="15.75" thickBot="1">
      <c r="A8" s="209" t="s">
        <v>288</v>
      </c>
      <c r="B8" s="209"/>
      <c r="C8" s="68" t="s">
        <v>396</v>
      </c>
      <c r="D8" s="69"/>
      <c r="F8" s="209" t="s">
        <v>42</v>
      </c>
      <c r="G8" s="209"/>
      <c r="H8" s="92">
        <f ca="1">P10</f>
        <v>44153</v>
      </c>
      <c r="I8" s="5"/>
      <c r="O8" s="16" t="s">
        <v>61</v>
      </c>
      <c r="P8" s="127">
        <f>'Air-Water Heat Pump (Cooling)'!P8</f>
        <v>0</v>
      </c>
    </row>
    <row r="9" spans="1:34" ht="15.75" thickBot="1">
      <c r="A9" s="209" t="s">
        <v>40</v>
      </c>
      <c r="B9" s="209"/>
      <c r="C9" s="75">
        <f>P9</f>
        <v>0</v>
      </c>
      <c r="D9" s="75"/>
      <c r="F9" s="209" t="s">
        <v>60</v>
      </c>
      <c r="G9" s="209"/>
      <c r="H9" s="209">
        <f>P7</f>
        <v>0</v>
      </c>
      <c r="I9" s="5"/>
      <c r="O9" s="16" t="s">
        <v>40</v>
      </c>
      <c r="P9" s="127">
        <f>'Air-Water Heat Pump (Cooling)'!P9</f>
        <v>0</v>
      </c>
      <c r="T9" s="19"/>
      <c r="U9" s="20" t="s">
        <v>121</v>
      </c>
      <c r="V9" s="21" t="s">
        <v>30</v>
      </c>
      <c r="W9" s="19"/>
      <c r="X9" s="19"/>
      <c r="Y9" s="259" t="str">
        <f>"COMP SIZE 1 - "&amp;P27</f>
        <v>COMP SIZE 1 - DSH140A4</v>
      </c>
      <c r="Z9" s="260"/>
      <c r="AA9" s="260"/>
      <c r="AB9" s="261"/>
    </row>
    <row r="10" spans="1:34" ht="16.5" thickBot="1">
      <c r="A10" s="209" t="s">
        <v>41</v>
      </c>
      <c r="B10" s="209"/>
      <c r="C10" s="75">
        <v>0</v>
      </c>
      <c r="D10" s="69" t="s">
        <v>33</v>
      </c>
      <c r="F10" s="209" t="s">
        <v>61</v>
      </c>
      <c r="G10" s="209"/>
      <c r="H10" s="83">
        <f>P8</f>
        <v>0</v>
      </c>
      <c r="I10" s="5"/>
      <c r="O10" s="16" t="s">
        <v>63</v>
      </c>
      <c r="P10" s="127">
        <f ca="1">'Air-Water Heat Pump (Cooling)'!P10</f>
        <v>44153</v>
      </c>
      <c r="T10" s="19"/>
      <c r="U10" s="22" t="s">
        <v>122</v>
      </c>
      <c r="V10" s="204">
        <v>0.5</v>
      </c>
      <c r="W10" s="23"/>
      <c r="X10" s="23"/>
      <c r="Y10" s="19"/>
      <c r="Z10" s="257" t="s">
        <v>137</v>
      </c>
      <c r="AA10" s="258"/>
      <c r="AB10" s="211" t="s">
        <v>138</v>
      </c>
    </row>
    <row r="11" spans="1:34" ht="16.5" thickBot="1">
      <c r="O11" s="17" t="s">
        <v>62</v>
      </c>
      <c r="P11" s="128">
        <f>'Air-Water Heat Pump (Cooling)'!P11</f>
        <v>0</v>
      </c>
      <c r="T11" s="262" t="s">
        <v>123</v>
      </c>
      <c r="U11" s="24" t="s">
        <v>124</v>
      </c>
      <c r="V11" s="25">
        <f>AA13</f>
        <v>0</v>
      </c>
      <c r="W11" s="23"/>
      <c r="X11" s="23"/>
      <c r="Y11" s="40" t="s">
        <v>139</v>
      </c>
      <c r="Z11" s="41"/>
      <c r="AA11" s="42">
        <f>Z11/12000</f>
        <v>0</v>
      </c>
      <c r="AB11" s="43">
        <f>IF(P5="Single",AA11,AA11*2)</f>
        <v>0</v>
      </c>
    </row>
    <row r="12" spans="1:34" ht="19.5" thickBot="1">
      <c r="A12" s="250" t="s">
        <v>404</v>
      </c>
      <c r="B12" s="250"/>
      <c r="C12" s="250"/>
      <c r="D12" s="250"/>
      <c r="E12" s="250"/>
      <c r="F12" s="250"/>
      <c r="G12" s="250"/>
      <c r="H12" s="250"/>
      <c r="I12" s="250"/>
      <c r="J12" s="250"/>
      <c r="T12" s="263"/>
      <c r="U12" s="23" t="s">
        <v>125</v>
      </c>
      <c r="V12" s="26">
        <f>AA13</f>
        <v>0</v>
      </c>
      <c r="W12" s="23"/>
      <c r="X12" s="23"/>
      <c r="Y12" s="40" t="s">
        <v>140</v>
      </c>
      <c r="Z12" s="44"/>
      <c r="AA12" s="42">
        <f>Z12/12000</f>
        <v>0</v>
      </c>
      <c r="AB12" s="45">
        <f>IF(P5="single",AA12,AA12*2)</f>
        <v>0</v>
      </c>
    </row>
    <row r="13" spans="1:34" ht="16.5" thickBot="1">
      <c r="A13" s="209" t="s">
        <v>28</v>
      </c>
      <c r="B13" s="209"/>
      <c r="C13" s="66">
        <v>1</v>
      </c>
      <c r="D13" s="5"/>
      <c r="F13" s="209" t="s">
        <v>48</v>
      </c>
      <c r="G13" s="209"/>
      <c r="H13" s="90">
        <f>AB11</f>
        <v>0</v>
      </c>
      <c r="I13" s="209" t="s">
        <v>0</v>
      </c>
      <c r="O13" s="249" t="s">
        <v>411</v>
      </c>
      <c r="P13" s="249"/>
      <c r="T13" s="263"/>
      <c r="U13" s="23" t="s">
        <v>126</v>
      </c>
      <c r="V13" s="26">
        <v>0</v>
      </c>
      <c r="W13" s="19"/>
      <c r="X13" s="19"/>
      <c r="Y13" s="19" t="s">
        <v>141</v>
      </c>
      <c r="Z13" s="46">
        <f>Z12-Z11</f>
        <v>0</v>
      </c>
      <c r="AA13" s="47">
        <f>Z13/3412</f>
        <v>0</v>
      </c>
      <c r="AB13" s="48">
        <f>IF(P5="single",AA13,AA13*2)</f>
        <v>0</v>
      </c>
    </row>
    <row r="14" spans="1:34" ht="16.5" thickBot="1">
      <c r="A14" s="209" t="s">
        <v>29</v>
      </c>
      <c r="B14" s="209"/>
      <c r="C14" s="70">
        <f>V19</f>
        <v>0.5</v>
      </c>
      <c r="D14" s="5" t="s">
        <v>30</v>
      </c>
      <c r="F14" s="209" t="s">
        <v>326</v>
      </c>
      <c r="H14" s="90">
        <f>(AB12*12000)/1000</f>
        <v>0</v>
      </c>
      <c r="I14" s="209" t="s">
        <v>142</v>
      </c>
      <c r="O14" s="15" t="s">
        <v>91</v>
      </c>
      <c r="P14" s="9" t="s">
        <v>17</v>
      </c>
      <c r="Q14" s="265" t="str">
        <f>IF(P14="WATER",P14,P15&amp;"% "&amp;P14)</f>
        <v>Water</v>
      </c>
      <c r="R14" s="266"/>
      <c r="T14" s="264"/>
      <c r="U14" s="27" t="s">
        <v>127</v>
      </c>
      <c r="V14" s="28">
        <v>0</v>
      </c>
      <c r="W14" s="19"/>
      <c r="X14" s="19"/>
      <c r="Y14" s="19"/>
      <c r="Z14" s="19"/>
      <c r="AA14" s="19"/>
    </row>
    <row r="15" spans="1:34" ht="16.5" thickBot="1">
      <c r="A15" s="209" t="s">
        <v>31</v>
      </c>
      <c r="B15" s="209"/>
      <c r="C15" s="70">
        <f>SUM(V11:V14)</f>
        <v>0</v>
      </c>
      <c r="D15" s="5" t="s">
        <v>30</v>
      </c>
      <c r="F15" s="209" t="s">
        <v>403</v>
      </c>
      <c r="G15" s="209"/>
      <c r="H15" s="70">
        <f>(H14*1000)/(V19*3412.1)</f>
        <v>0</v>
      </c>
      <c r="I15" s="5" t="s">
        <v>402</v>
      </c>
      <c r="O15" s="16" t="s">
        <v>92</v>
      </c>
      <c r="P15" s="10"/>
      <c r="Q15" s="267"/>
      <c r="R15" s="268"/>
      <c r="T15" s="262" t="s">
        <v>128</v>
      </c>
      <c r="U15" s="24" t="s">
        <v>124</v>
      </c>
      <c r="V15" s="29">
        <v>0</v>
      </c>
      <c r="W15" s="19"/>
      <c r="X15" s="19"/>
      <c r="Y15" s="259" t="str">
        <f>"COMP SIZE 1 - "&amp;P28</f>
        <v>COMP SIZE 1 - 0</v>
      </c>
      <c r="Z15" s="260"/>
      <c r="AA15" s="260"/>
      <c r="AB15" s="261"/>
    </row>
    <row r="16" spans="1:34" ht="16.5" thickBot="1">
      <c r="A16" s="209" t="s">
        <v>32</v>
      </c>
      <c r="B16" s="209"/>
      <c r="C16" s="70">
        <f>SUM(V15:V18)</f>
        <v>0</v>
      </c>
      <c r="D16" s="5" t="s">
        <v>30</v>
      </c>
      <c r="O16" s="16" t="s">
        <v>89</v>
      </c>
      <c r="P16" s="10"/>
      <c r="T16" s="263"/>
      <c r="U16" s="23" t="s">
        <v>125</v>
      </c>
      <c r="V16" s="30">
        <v>0</v>
      </c>
      <c r="W16" s="19"/>
      <c r="X16" s="19"/>
      <c r="Y16" s="19"/>
      <c r="Z16" s="257" t="s">
        <v>137</v>
      </c>
      <c r="AA16" s="258"/>
      <c r="AB16" s="211" t="s">
        <v>138</v>
      </c>
    </row>
    <row r="17" spans="1:28" ht="16.5" thickBot="1">
      <c r="F17" s="209"/>
      <c r="G17" s="209"/>
      <c r="H17" s="2"/>
      <c r="I17" s="5"/>
      <c r="O17" s="16" t="s">
        <v>90</v>
      </c>
      <c r="P17" s="10"/>
      <c r="T17" s="263"/>
      <c r="U17" s="23" t="s">
        <v>126</v>
      </c>
      <c r="V17" s="30">
        <v>0</v>
      </c>
      <c r="W17" s="19"/>
      <c r="X17" s="19"/>
      <c r="Y17" s="40" t="s">
        <v>139</v>
      </c>
      <c r="Z17" s="41">
        <v>0</v>
      </c>
      <c r="AA17" s="42">
        <f>Z17/12000</f>
        <v>0</v>
      </c>
      <c r="AB17" s="43">
        <f>AA17*2</f>
        <v>0</v>
      </c>
    </row>
    <row r="18" spans="1:28" ht="19.5" thickBot="1">
      <c r="A18" s="250" t="s">
        <v>401</v>
      </c>
      <c r="B18" s="250"/>
      <c r="C18" s="250"/>
      <c r="D18" s="250"/>
      <c r="E18" s="250"/>
      <c r="F18" s="250"/>
      <c r="G18" s="250"/>
      <c r="H18" s="250"/>
      <c r="I18" s="250"/>
      <c r="J18" s="250"/>
      <c r="O18" s="17" t="s">
        <v>24</v>
      </c>
      <c r="P18" s="128">
        <v>32</v>
      </c>
      <c r="T18" s="264"/>
      <c r="U18" s="27" t="s">
        <v>127</v>
      </c>
      <c r="V18" s="31">
        <v>0</v>
      </c>
      <c r="W18" s="19"/>
      <c r="X18" s="19"/>
      <c r="Y18" s="40" t="s">
        <v>140</v>
      </c>
      <c r="Z18" s="44">
        <v>0</v>
      </c>
      <c r="AA18" s="42">
        <f>Z18/12000</f>
        <v>0</v>
      </c>
      <c r="AB18" s="45">
        <f>AA18*2</f>
        <v>0</v>
      </c>
    </row>
    <row r="19" spans="1:28" ht="16.5" thickBot="1">
      <c r="A19" s="209" t="s">
        <v>391</v>
      </c>
      <c r="B19" s="209"/>
      <c r="C19" s="78">
        <f>V27</f>
        <v>0</v>
      </c>
      <c r="D19" s="5" t="s">
        <v>390</v>
      </c>
      <c r="F19" s="209" t="s">
        <v>22</v>
      </c>
      <c r="G19" s="209"/>
      <c r="H19" s="70">
        <f>V26</f>
        <v>0</v>
      </c>
      <c r="I19" t="s">
        <v>192</v>
      </c>
      <c r="T19" s="19"/>
      <c r="U19" s="23"/>
      <c r="V19" s="32">
        <f>SUM(V10:V18)</f>
        <v>0.5</v>
      </c>
      <c r="W19" s="23" t="s">
        <v>30</v>
      </c>
      <c r="X19" s="23"/>
      <c r="Y19" s="19" t="s">
        <v>141</v>
      </c>
      <c r="Z19" s="46">
        <f>Z18-Z17</f>
        <v>0</v>
      </c>
      <c r="AA19" s="47">
        <f>Z19/3412</f>
        <v>0</v>
      </c>
      <c r="AB19" s="48">
        <f>AA19*2</f>
        <v>0</v>
      </c>
    </row>
    <row r="20" spans="1:28" ht="16.5" thickBot="1">
      <c r="A20" s="209" t="s">
        <v>389</v>
      </c>
      <c r="B20" s="209"/>
      <c r="C20" s="78">
        <f>P21</f>
        <v>0</v>
      </c>
      <c r="D20" s="5" t="s">
        <v>14</v>
      </c>
      <c r="F20" s="209" t="s">
        <v>400</v>
      </c>
      <c r="G20" s="209"/>
      <c r="H20" s="78">
        <f>IF(P28=0,V34,CONCATENATE(V34,"/",V40))</f>
        <v>0</v>
      </c>
      <c r="I20" s="5" t="s">
        <v>14</v>
      </c>
      <c r="O20" s="249" t="s">
        <v>412</v>
      </c>
      <c r="P20" s="249"/>
      <c r="T20" s="19"/>
      <c r="U20" s="23"/>
      <c r="V20" s="39">
        <f>IF(ISBLANK(P28)=TRUE,AB11,AA11+AA17)</f>
        <v>0</v>
      </c>
      <c r="W20" s="27" t="s">
        <v>129</v>
      </c>
      <c r="X20" s="23"/>
      <c r="Y20" s="23"/>
      <c r="Z20" s="23"/>
      <c r="AA20" s="23"/>
    </row>
    <row r="21" spans="1:28" ht="16.5" thickBot="1">
      <c r="A21" s="209" t="s">
        <v>388</v>
      </c>
      <c r="B21" s="209"/>
      <c r="C21" s="78">
        <f>P22</f>
        <v>0</v>
      </c>
      <c r="D21" s="5" t="s">
        <v>14</v>
      </c>
      <c r="O21" s="15" t="s">
        <v>420</v>
      </c>
      <c r="P21" s="9"/>
      <c r="T21" s="19"/>
      <c r="U21" s="23"/>
      <c r="V21" s="33" t="e">
        <f>V19/V20</f>
        <v>#DIV/0!</v>
      </c>
      <c r="W21" s="23" t="s">
        <v>130</v>
      </c>
      <c r="X21" s="23"/>
      <c r="Y21" s="23"/>
      <c r="Z21" s="23"/>
      <c r="AA21" s="23"/>
    </row>
    <row r="22" spans="1:28" ht="16.5" thickBot="1">
      <c r="O22" s="16" t="s">
        <v>421</v>
      </c>
      <c r="P22" s="10"/>
      <c r="T22" s="19"/>
      <c r="U22" s="23"/>
      <c r="V22" s="34" t="e">
        <f>12/V21</f>
        <v>#DIV/0!</v>
      </c>
      <c r="W22" s="35" t="s">
        <v>1</v>
      </c>
      <c r="X22" s="23"/>
      <c r="Y22" s="269" t="s">
        <v>349</v>
      </c>
      <c r="Z22" s="270"/>
      <c r="AA22" s="23"/>
    </row>
    <row r="23" spans="1:28" ht="19.5" thickBot="1">
      <c r="A23" s="250" t="s">
        <v>399</v>
      </c>
      <c r="B23" s="250"/>
      <c r="C23" s="250"/>
      <c r="D23" s="250"/>
      <c r="E23" s="250"/>
      <c r="F23" s="250"/>
      <c r="G23" s="250"/>
      <c r="H23" s="250"/>
      <c r="I23" s="250"/>
      <c r="J23" s="250"/>
      <c r="O23" s="17" t="s">
        <v>99</v>
      </c>
      <c r="P23" s="11"/>
      <c r="T23" s="19"/>
      <c r="U23" s="19"/>
      <c r="V23" s="19"/>
      <c r="W23" s="19"/>
      <c r="X23" s="19"/>
      <c r="Y23" s="175">
        <v>107.09</v>
      </c>
      <c r="Z23" s="176" t="s">
        <v>350</v>
      </c>
      <c r="AA23" s="19"/>
    </row>
    <row r="24" spans="1:28" ht="18" thickBot="1">
      <c r="A24" s="209" t="s">
        <v>302</v>
      </c>
      <c r="B24" s="209"/>
      <c r="C24" s="18" t="str">
        <f>Q14</f>
        <v>Water</v>
      </c>
      <c r="D24" s="5"/>
      <c r="F24" s="209" t="s">
        <v>21</v>
      </c>
      <c r="G24" s="209"/>
      <c r="H24" s="84">
        <v>2.5000000000000001E-4</v>
      </c>
      <c r="I24" s="80" t="s">
        <v>25</v>
      </c>
      <c r="T24" s="36"/>
      <c r="U24" s="19"/>
      <c r="W24" s="19"/>
      <c r="X24" s="19"/>
      <c r="Y24" s="177">
        <f>CONVERT(Y23,"Pa","psi")*2.3*12</f>
        <v>0.42868572080537559</v>
      </c>
      <c r="Z24" s="178" t="s">
        <v>351</v>
      </c>
      <c r="AA24" s="19"/>
    </row>
    <row r="25" spans="1:28" ht="15.75" thickBot="1">
      <c r="A25" s="209" t="s">
        <v>443</v>
      </c>
      <c r="B25" s="209"/>
      <c r="C25" s="78">
        <f>V31</f>
        <v>0</v>
      </c>
      <c r="D25" s="5" t="s">
        <v>194</v>
      </c>
      <c r="F25" s="209" t="s">
        <v>22</v>
      </c>
      <c r="G25" s="209"/>
      <c r="H25" s="78">
        <f>V30</f>
        <v>0</v>
      </c>
      <c r="I25" t="s">
        <v>23</v>
      </c>
      <c r="O25" s="249" t="s">
        <v>13</v>
      </c>
      <c r="P25" s="249"/>
      <c r="T25" s="19"/>
      <c r="U25" s="19"/>
      <c r="V25" s="219" t="s">
        <v>415</v>
      </c>
      <c r="W25" s="219"/>
      <c r="X25" s="37"/>
      <c r="Y25" s="37"/>
      <c r="Z25" s="37"/>
      <c r="AA25" s="37"/>
    </row>
    <row r="26" spans="1:28" ht="15.75" thickBot="1">
      <c r="A26" s="209" t="s">
        <v>303</v>
      </c>
      <c r="B26" s="209"/>
      <c r="C26" s="78">
        <f>P16</f>
        <v>0</v>
      </c>
      <c r="D26" s="5" t="s">
        <v>14</v>
      </c>
      <c r="F26" s="209" t="s">
        <v>22</v>
      </c>
      <c r="G26" s="209"/>
      <c r="H26" s="78">
        <f>H25*2.307</f>
        <v>0</v>
      </c>
      <c r="I26" t="s">
        <v>46</v>
      </c>
      <c r="O26" s="14" t="s">
        <v>11</v>
      </c>
      <c r="P26" s="126" t="str">
        <f>'Air-Water Heat Pump (Cooling)'!P26</f>
        <v>460/3/60</v>
      </c>
      <c r="Q26" s="1" t="s">
        <v>109</v>
      </c>
      <c r="V26" s="51"/>
      <c r="W26" s="88" t="s">
        <v>418</v>
      </c>
      <c r="Y26" s="271" t="s">
        <v>359</v>
      </c>
      <c r="Z26" s="272"/>
    </row>
    <row r="27" spans="1:28">
      <c r="A27" s="209" t="s">
        <v>304</v>
      </c>
      <c r="B27" s="209"/>
      <c r="C27" s="78">
        <f>P17</f>
        <v>0</v>
      </c>
      <c r="D27" s="5" t="s">
        <v>14</v>
      </c>
      <c r="F27" s="209" t="s">
        <v>398</v>
      </c>
      <c r="G27" s="209"/>
      <c r="H27" s="78">
        <f>IF(P28=0,V36,CONCATENATE(V36,"/",V42))</f>
        <v>0</v>
      </c>
      <c r="I27" s="5" t="s">
        <v>14</v>
      </c>
      <c r="O27" s="12" t="s">
        <v>2</v>
      </c>
      <c r="P27" s="127" t="str">
        <f>'Air-Water Heat Pump (Cooling)'!P27</f>
        <v>DSH140A4</v>
      </c>
      <c r="Q27" s="126">
        <f>'Air-Water Heat Pump (Cooling)'!Q27</f>
        <v>2</v>
      </c>
      <c r="V27" s="50"/>
      <c r="W27" s="37" t="s">
        <v>419</v>
      </c>
      <c r="Y27" s="14"/>
      <c r="Z27" s="244" t="s">
        <v>440</v>
      </c>
    </row>
    <row r="28" spans="1:28" ht="15.75" thickBot="1">
      <c r="F28" s="209" t="s">
        <v>422</v>
      </c>
      <c r="G28" s="209"/>
      <c r="H28" s="78">
        <f>IF(P28=0,V35,CONCATENATE(V35,"/",V41))</f>
        <v>0</v>
      </c>
      <c r="I28" s="5" t="s">
        <v>14</v>
      </c>
      <c r="O28" s="12" t="s">
        <v>3</v>
      </c>
      <c r="P28" s="127">
        <f>'Air-Water Heat Pump (Cooling)'!P28</f>
        <v>0</v>
      </c>
      <c r="Q28" s="127">
        <f>'Air-Water Heat Pump (Cooling)'!Q28</f>
        <v>0</v>
      </c>
      <c r="Y28" s="13">
        <f>Y27*0.14503774</f>
        <v>0</v>
      </c>
      <c r="Z28" s="243" t="s">
        <v>23</v>
      </c>
    </row>
    <row r="29" spans="1:28" ht="15.75" thickBot="1">
      <c r="O29" s="12" t="s">
        <v>111</v>
      </c>
      <c r="P29" s="128" t="s">
        <v>148</v>
      </c>
      <c r="Q29" s="128">
        <f>'Air-Water Heat Pump (Cooling)'!Q29</f>
        <v>2</v>
      </c>
      <c r="V29" s="219" t="s">
        <v>416</v>
      </c>
      <c r="W29" s="219"/>
      <c r="Y29" s="12"/>
      <c r="Z29" s="242" t="s">
        <v>441</v>
      </c>
    </row>
    <row r="30" spans="1:28" ht="19.5" thickBot="1">
      <c r="A30" s="250" t="s">
        <v>13</v>
      </c>
      <c r="B30" s="250"/>
      <c r="C30" s="250"/>
      <c r="D30" s="250"/>
      <c r="E30" s="250"/>
      <c r="F30" s="250"/>
      <c r="G30" s="250"/>
      <c r="H30" s="250"/>
      <c r="I30" s="250"/>
      <c r="J30" s="250"/>
      <c r="O30" s="203" t="s">
        <v>113</v>
      </c>
      <c r="P30" s="62">
        <f>'Air-Water Heat Pump (Cooling)'!P30</f>
        <v>460</v>
      </c>
      <c r="Q30" s="201"/>
      <c r="V30" s="51">
        <f>Y28</f>
        <v>0</v>
      </c>
      <c r="W30" s="19" t="s">
        <v>417</v>
      </c>
      <c r="Y30" s="13">
        <f>Y29/500.72</f>
        <v>0</v>
      </c>
      <c r="Z30" s="243" t="s">
        <v>442</v>
      </c>
    </row>
    <row r="31" spans="1:28">
      <c r="A31" s="209" t="s">
        <v>294</v>
      </c>
      <c r="B31" s="209"/>
      <c r="C31" s="18" t="str">
        <f>P26</f>
        <v>460/3/60</v>
      </c>
      <c r="D31" s="1" t="s">
        <v>180</v>
      </c>
      <c r="F31" s="209" t="s">
        <v>293</v>
      </c>
      <c r="G31" s="209"/>
      <c r="H31" s="78">
        <f>P41</f>
        <v>5</v>
      </c>
      <c r="I31" s="1" t="s">
        <v>178</v>
      </c>
      <c r="O31" s="202" t="s">
        <v>114</v>
      </c>
      <c r="P31" s="55">
        <f>'Air-Water Heat Pump (Cooling)'!P31</f>
        <v>0</v>
      </c>
      <c r="V31" s="50">
        <f>Y30</f>
        <v>0</v>
      </c>
      <c r="W31" s="37" t="s">
        <v>185</v>
      </c>
    </row>
    <row r="32" spans="1:28" ht="15.75" thickBot="1">
      <c r="A32" s="209" t="s">
        <v>295</v>
      </c>
      <c r="B32" s="209"/>
      <c r="C32" s="18">
        <f>P30*0.9</f>
        <v>414</v>
      </c>
      <c r="D32" s="1" t="s">
        <v>176</v>
      </c>
      <c r="F32" s="209" t="s">
        <v>309</v>
      </c>
      <c r="G32" s="209"/>
      <c r="H32" s="78">
        <f>P39</f>
        <v>70</v>
      </c>
      <c r="I32" s="1" t="s">
        <v>179</v>
      </c>
      <c r="O32" s="202" t="s">
        <v>115</v>
      </c>
      <c r="P32" s="55">
        <f>'Air-Water Heat Pump (Cooling)'!P32</f>
        <v>460</v>
      </c>
    </row>
    <row r="33" spans="1:25">
      <c r="A33" s="209" t="s">
        <v>298</v>
      </c>
      <c r="B33" s="209"/>
      <c r="C33" s="18">
        <f>P30*1.1</f>
        <v>506.00000000000006</v>
      </c>
      <c r="D33" s="1" t="s">
        <v>176</v>
      </c>
      <c r="F33" s="209" t="s">
        <v>310</v>
      </c>
      <c r="G33" s="209"/>
      <c r="H33" s="78">
        <f>P40</f>
        <v>53.609230769230763</v>
      </c>
      <c r="I33" s="1" t="s">
        <v>179</v>
      </c>
      <c r="O33" s="202" t="s">
        <v>117</v>
      </c>
      <c r="P33" s="199">
        <f>'Air-Water Heat Pump (Cooling)'!P33</f>
        <v>19.23076923076923</v>
      </c>
      <c r="U33" s="255" t="str">
        <f>"CRKT #1 - "&amp;P27</f>
        <v>CRKT #1 - DSH140A4</v>
      </c>
      <c r="V33" s="256"/>
    </row>
    <row r="34" spans="1:25" ht="19.5" customHeight="1">
      <c r="O34" s="232" t="s">
        <v>118</v>
      </c>
      <c r="P34" s="233">
        <f>'Air-Water Heat Pump (Cooling)'!P34</f>
        <v>0</v>
      </c>
      <c r="U34" s="58" t="s">
        <v>133</v>
      </c>
      <c r="V34" s="59"/>
    </row>
    <row r="35" spans="1:25" ht="15" customHeight="1" thickBot="1">
      <c r="C35" s="4" t="s">
        <v>36</v>
      </c>
      <c r="D35" s="4" t="s">
        <v>4</v>
      </c>
      <c r="E35" s="4" t="s">
        <v>5</v>
      </c>
      <c r="F35" s="4" t="s">
        <v>6</v>
      </c>
      <c r="G35" s="4" t="s">
        <v>7</v>
      </c>
      <c r="H35" s="4" t="s">
        <v>8</v>
      </c>
      <c r="I35" s="4" t="s">
        <v>9</v>
      </c>
      <c r="J35" s="4" t="s">
        <v>10</v>
      </c>
      <c r="O35" s="234" t="s">
        <v>437</v>
      </c>
      <c r="P35" s="235">
        <f>'Air-Water Heat Pump (Cooling)'!P35</f>
        <v>5.17</v>
      </c>
      <c r="U35" s="60" t="s">
        <v>135</v>
      </c>
      <c r="V35" s="59"/>
    </row>
    <row r="36" spans="1:25" ht="15.75" customHeight="1">
      <c r="A36" s="209" t="s">
        <v>297</v>
      </c>
      <c r="B36" s="209"/>
      <c r="C36" s="18" t="str">
        <f>IF(P27=0," ",INDEX('Look Up Tables'!$C$5:$C$35,MATCH(P27,'Look Up Tables'!$B$5:$B$35,0)))</f>
        <v>DSH140</v>
      </c>
      <c r="D36" s="18">
        <f>IF(P27=0," ",Q27)</f>
        <v>2</v>
      </c>
      <c r="E36" s="18">
        <f>IF(P27=0," ",Q27)</f>
        <v>2</v>
      </c>
      <c r="F36" s="18">
        <f>IF(Q27=0,"",P30)</f>
        <v>460</v>
      </c>
      <c r="G36" s="18">
        <f>IF(P27=0," ",3)</f>
        <v>3</v>
      </c>
      <c r="H36" s="18"/>
      <c r="I36" s="18"/>
      <c r="J36" s="63">
        <f>IF(Q27=0,"",P33)</f>
        <v>19.23076923076923</v>
      </c>
      <c r="U36" s="12" t="s">
        <v>134</v>
      </c>
      <c r="V36" s="59"/>
    </row>
    <row r="37" spans="1:25" ht="15" customHeight="1" thickBot="1">
      <c r="A37" s="209" t="s">
        <v>300</v>
      </c>
      <c r="B37" s="209"/>
      <c r="C37" s="18" t="str">
        <f>IF(P28=0," ",INDEX('Look Up Tables'!$C$5:$C$35,MATCH(P28,'Look Up Tables'!$B$5:$B$35,0)))</f>
        <v xml:space="preserve"> </v>
      </c>
      <c r="D37" s="18" t="str">
        <f>IF(P28=0," ",Q28)</f>
        <v xml:space="preserve"> </v>
      </c>
      <c r="E37" s="18" t="str">
        <f>IF(P28=0," ",Q28)</f>
        <v xml:space="preserve"> </v>
      </c>
      <c r="F37" s="18" t="str">
        <f>IF(Q28=0,"",P31)</f>
        <v/>
      </c>
      <c r="G37" s="18" t="str">
        <f>IF(P28=0," ",3)</f>
        <v xml:space="preserve"> </v>
      </c>
      <c r="H37" s="18"/>
      <c r="I37" s="18"/>
      <c r="J37" s="63" t="str">
        <f>IF(Q28=0,"",P34)</f>
        <v/>
      </c>
      <c r="U37" s="13" t="s">
        <v>136</v>
      </c>
      <c r="V37" s="216">
        <f>V35-10</f>
        <v>-10</v>
      </c>
    </row>
    <row r="38" spans="1:25" ht="15.75" customHeight="1" thickBot="1">
      <c r="A38" s="209" t="s">
        <v>386</v>
      </c>
      <c r="B38" s="209"/>
      <c r="C38" s="18" t="str">
        <f>IF(Q29=0,"",P29)</f>
        <v>AFKG 800</v>
      </c>
      <c r="D38" s="18" t="str">
        <f>IF(P28=0," ",Q29)</f>
        <v xml:space="preserve"> </v>
      </c>
      <c r="E38" s="18" t="str">
        <f>IF(P28=0,"",(C16*1.341)/D38)</f>
        <v/>
      </c>
      <c r="F38" s="18">
        <f t="shared" ref="F38" si="0">IF(Q29=0,"",P32)</f>
        <v>460</v>
      </c>
      <c r="G38" s="18" t="str">
        <f>IF(P28=0," ",3)</f>
        <v xml:space="preserve"> </v>
      </c>
      <c r="H38" s="18" t="str">
        <f>IF(P28=0,"",P42)</f>
        <v/>
      </c>
      <c r="I38" s="18" t="str">
        <f>IF(P28=0,"",5.17)</f>
        <v/>
      </c>
      <c r="J38" s="18"/>
      <c r="O38" s="230" t="s">
        <v>438</v>
      </c>
      <c r="P38" s="62">
        <f>'Air-Water Heat Pump (Cooling)'!P38</f>
        <v>72.839999999999989</v>
      </c>
    </row>
    <row r="39" spans="1:25" ht="15" customHeight="1">
      <c r="O39" s="229" t="s">
        <v>143</v>
      </c>
      <c r="P39" s="55">
        <f>'Air-Water Heat Pump (Cooling)'!P39</f>
        <v>70</v>
      </c>
      <c r="U39" s="255" t="str">
        <f>"CRKT #2 - "&amp;P28</f>
        <v>CRKT #2 - 0</v>
      </c>
      <c r="V39" s="256"/>
    </row>
    <row r="40" spans="1:25" ht="19.5" customHeight="1">
      <c r="A40" s="250" t="s">
        <v>56</v>
      </c>
      <c r="B40" s="250"/>
      <c r="C40" s="250"/>
      <c r="D40" s="250"/>
      <c r="E40" s="250"/>
      <c r="F40" s="250"/>
      <c r="G40" s="250"/>
      <c r="H40" s="250"/>
      <c r="I40" s="250"/>
      <c r="J40" s="250"/>
      <c r="O40" s="12" t="s">
        <v>144</v>
      </c>
      <c r="P40" s="56">
        <f>'Air-Water Heat Pump (Cooling)'!P40</f>
        <v>53.609230769230763</v>
      </c>
      <c r="U40" s="58" t="s">
        <v>133</v>
      </c>
      <c r="V40" s="59"/>
    </row>
    <row r="41" spans="1:25" ht="15" customHeight="1">
      <c r="A41" s="209" t="s">
        <v>311</v>
      </c>
      <c r="B41" s="209"/>
      <c r="C41" s="75" t="s">
        <v>356</v>
      </c>
      <c r="D41" s="215"/>
      <c r="F41" s="209" t="s">
        <v>52</v>
      </c>
      <c r="G41" s="209"/>
      <c r="H41" s="78">
        <f>P46</f>
        <v>86.375</v>
      </c>
      <c r="I41" s="1" t="s">
        <v>54</v>
      </c>
      <c r="O41" s="12" t="s">
        <v>177</v>
      </c>
      <c r="P41" s="55">
        <f>'Air-Water Heat Pump (Cooling)'!P41</f>
        <v>5</v>
      </c>
      <c r="U41" s="60" t="s">
        <v>135</v>
      </c>
      <c r="V41" s="59"/>
    </row>
    <row r="42" spans="1:25" ht="15" customHeight="1" thickBot="1">
      <c r="A42" s="209" t="s">
        <v>312</v>
      </c>
      <c r="B42" s="209"/>
      <c r="C42" s="75" t="s">
        <v>57</v>
      </c>
      <c r="F42" s="209" t="s">
        <v>53</v>
      </c>
      <c r="G42" s="209"/>
      <c r="H42" s="78">
        <f>P47</f>
        <v>39.375</v>
      </c>
      <c r="I42" s="1" t="s">
        <v>54</v>
      </c>
      <c r="O42" s="13" t="s">
        <v>145</v>
      </c>
      <c r="P42" s="133">
        <f>'Air-Water Heat Pump (Cooling)'!P42</f>
        <v>1160</v>
      </c>
      <c r="U42" s="12" t="s">
        <v>134</v>
      </c>
      <c r="V42" s="59"/>
      <c r="Y42" s="19"/>
    </row>
    <row r="43" spans="1:25" ht="15" customHeight="1" thickBot="1">
      <c r="A43" s="209" t="s">
        <v>313</v>
      </c>
      <c r="B43" s="209"/>
      <c r="C43" s="75" t="s">
        <v>58</v>
      </c>
      <c r="F43" s="209" t="s">
        <v>55</v>
      </c>
      <c r="G43" s="209"/>
      <c r="H43" s="78">
        <f>P48</f>
        <v>86.5</v>
      </c>
      <c r="I43" s="1" t="s">
        <v>54</v>
      </c>
      <c r="U43" s="13" t="s">
        <v>136</v>
      </c>
      <c r="V43" s="216">
        <f>V41-10</f>
        <v>-10</v>
      </c>
      <c r="Y43" s="19"/>
    </row>
    <row r="44" spans="1:25" ht="15" customHeight="1" thickBot="1">
      <c r="A44" s="209" t="s">
        <v>44</v>
      </c>
      <c r="B44" s="209"/>
      <c r="C44" s="75" t="s">
        <v>43</v>
      </c>
      <c r="O44" s="210" t="s">
        <v>56</v>
      </c>
      <c r="P44" s="210"/>
      <c r="Y44" s="19"/>
    </row>
    <row r="45" spans="1:25" ht="15" customHeight="1" thickTop="1" thickBot="1">
      <c r="O45" s="15" t="s">
        <v>146</v>
      </c>
      <c r="P45" s="223"/>
      <c r="Y45" s="19"/>
    </row>
    <row r="46" spans="1:25" ht="15.75" customHeight="1">
      <c r="O46" s="16" t="s">
        <v>52</v>
      </c>
      <c r="P46" s="222">
        <f>'Air-Water Heat Pump (Cooling)'!P46</f>
        <v>86.375</v>
      </c>
    </row>
    <row r="47" spans="1:25">
      <c r="O47" s="16" t="s">
        <v>53</v>
      </c>
      <c r="P47" s="220">
        <f>'Air-Water Heat Pump (Cooling)'!P47</f>
        <v>39.375</v>
      </c>
    </row>
    <row r="48" spans="1:25" ht="15.75" thickBot="1">
      <c r="O48" s="17" t="s">
        <v>55</v>
      </c>
      <c r="P48" s="221">
        <f>'Air-Water Heat Pump (Cooling)'!P48</f>
        <v>86.5</v>
      </c>
    </row>
    <row r="49" spans="1:10" ht="15" customHeight="1"/>
    <row r="50" spans="1:10" ht="15" customHeight="1">
      <c r="G50" s="285" t="s">
        <v>175</v>
      </c>
      <c r="H50" s="285"/>
      <c r="I50" s="285"/>
      <c r="J50" s="285"/>
    </row>
    <row r="51" spans="1:10" ht="15" customHeight="1" thickBot="1">
      <c r="A51" s="85"/>
      <c r="B51" s="85"/>
      <c r="C51" s="85"/>
      <c r="D51" s="85"/>
      <c r="E51" s="85"/>
      <c r="F51" s="85"/>
      <c r="G51" s="286"/>
      <c r="H51" s="286"/>
      <c r="I51" s="286"/>
      <c r="J51" s="286"/>
    </row>
    <row r="52" spans="1:10" ht="15.75" thickTop="1"/>
  </sheetData>
  <mergeCells count="26">
    <mergeCell ref="F1:J2"/>
    <mergeCell ref="O2:P2"/>
    <mergeCell ref="Z10:AA10"/>
    <mergeCell ref="Y9:AB9"/>
    <mergeCell ref="Y15:AB15"/>
    <mergeCell ref="T11:T14"/>
    <mergeCell ref="T15:T18"/>
    <mergeCell ref="O6:P6"/>
    <mergeCell ref="O13:P13"/>
    <mergeCell ref="Q14:R15"/>
    <mergeCell ref="Y26:Z26"/>
    <mergeCell ref="G50:J51"/>
    <mergeCell ref="A4:J4"/>
    <mergeCell ref="A12:J12"/>
    <mergeCell ref="A7:J7"/>
    <mergeCell ref="A5:J5"/>
    <mergeCell ref="A18:J18"/>
    <mergeCell ref="A23:J23"/>
    <mergeCell ref="A30:J30"/>
    <mergeCell ref="A40:J40"/>
    <mergeCell ref="U39:V39"/>
    <mergeCell ref="Z16:AA16"/>
    <mergeCell ref="O25:P25"/>
    <mergeCell ref="Y22:Z22"/>
    <mergeCell ref="U33:V33"/>
    <mergeCell ref="O20:P20"/>
  </mergeCells>
  <conditionalFormatting sqref="C20:C21 H20 H27:H28">
    <cfRule type="cellIs" dxfId="27" priority="13" operator="equal">
      <formula>0</formula>
    </cfRule>
  </conditionalFormatting>
  <conditionalFormatting sqref="C9 H9:H10">
    <cfRule type="cellIs" dxfId="26" priority="6" operator="equal">
      <formula>0</formula>
    </cfRule>
  </conditionalFormatting>
  <conditionalFormatting sqref="H32:H33">
    <cfRule type="cellIs" dxfId="25" priority="12" operator="equal">
      <formula>0</formula>
    </cfRule>
  </conditionalFormatting>
  <conditionalFormatting sqref="H19">
    <cfRule type="cellIs" dxfId="24" priority="10" operator="equal">
      <formula>0</formula>
    </cfRule>
  </conditionalFormatting>
  <conditionalFormatting sqref="C19">
    <cfRule type="cellIs" dxfId="23" priority="9" operator="equal">
      <formula>0</formula>
    </cfRule>
  </conditionalFormatting>
  <conditionalFormatting sqref="C15:C16">
    <cfRule type="cellIs" dxfId="22" priority="8" operator="equal">
      <formula>0</formula>
    </cfRule>
  </conditionalFormatting>
  <conditionalFormatting sqref="A5">
    <cfRule type="cellIs" dxfId="21" priority="7" operator="equal">
      <formula>0</formula>
    </cfRule>
  </conditionalFormatting>
  <conditionalFormatting sqref="C26:C27">
    <cfRule type="cellIs" dxfId="20" priority="5" operator="equal">
      <formula>0</formula>
    </cfRule>
  </conditionalFormatting>
  <conditionalFormatting sqref="H25">
    <cfRule type="cellIs" dxfId="19" priority="3" operator="equal">
      <formula>0</formula>
    </cfRule>
  </conditionalFormatting>
  <conditionalFormatting sqref="C25">
    <cfRule type="cellIs" dxfId="18" priority="2" operator="equal">
      <formula>0</formula>
    </cfRule>
  </conditionalFormatting>
  <conditionalFormatting sqref="H38">
    <cfRule type="cellIs" dxfId="17" priority="1" operator="equal">
      <formula>0</formula>
    </cfRule>
  </conditionalFormatting>
  <printOptions horizontalCentered="1"/>
  <pageMargins left="0.7" right="0.7" top="0.75" bottom="0.75" header="0.3" footer="0.3"/>
  <pageSetup scale="82" orientation="portrait" r:id="rId1"/>
  <headerFooter>
    <oddFooter>&amp;Lwww.JetsonHVAC.com&amp;RPage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S48"/>
  <sheetViews>
    <sheetView workbookViewId="0"/>
  </sheetViews>
  <sheetFormatPr defaultRowHeight="15"/>
  <cols>
    <col min="2" max="2" width="18" bestFit="1" customWidth="1"/>
    <col min="3" max="3" width="17" bestFit="1" customWidth="1"/>
    <col min="4" max="4" width="8.7109375" bestFit="1" customWidth="1"/>
    <col min="5" max="5" width="16.140625" bestFit="1" customWidth="1"/>
    <col min="6" max="7" width="15.42578125" bestFit="1" customWidth="1"/>
    <col min="9" max="9" width="5.7109375" customWidth="1"/>
    <col min="10" max="10" width="10.140625" bestFit="1" customWidth="1"/>
    <col min="11" max="11" width="14.85546875" customWidth="1"/>
    <col min="12" max="12" width="10" customWidth="1"/>
    <col min="13" max="14" width="6.85546875" customWidth="1"/>
    <col min="15" max="15" width="13.7109375" customWidth="1"/>
    <col min="16" max="16" width="12.28515625" customWidth="1"/>
    <col min="17" max="17" width="11.140625" customWidth="1"/>
    <col min="18" max="18" width="13" customWidth="1"/>
    <col min="19" max="19" width="25.5703125" customWidth="1"/>
    <col min="20" max="20" width="30.85546875" bestFit="1" customWidth="1"/>
    <col min="21" max="21" width="12.42578125" customWidth="1"/>
    <col min="22" max="22" width="12.7109375" customWidth="1"/>
    <col min="27" max="27" width="13.5703125" customWidth="1"/>
    <col min="29" max="29" width="10" bestFit="1" customWidth="1"/>
    <col min="30" max="30" width="12.42578125" bestFit="1" customWidth="1"/>
    <col min="34" max="34" width="10" bestFit="1" customWidth="1"/>
    <col min="36" max="36" width="9.85546875" bestFit="1" customWidth="1"/>
  </cols>
  <sheetData>
    <row r="3" spans="2:45" ht="15.75" thickBot="1"/>
    <row r="4" spans="2:45" s="150" customFormat="1" ht="21" customHeight="1" thickBot="1">
      <c r="B4" s="147" t="s">
        <v>85</v>
      </c>
      <c r="C4" s="148" t="s">
        <v>120</v>
      </c>
      <c r="D4" s="148"/>
      <c r="E4" s="148" t="s">
        <v>86</v>
      </c>
      <c r="F4" s="148" t="s">
        <v>87</v>
      </c>
      <c r="G4" s="149" t="s">
        <v>116</v>
      </c>
      <c r="I4" s="147" t="s">
        <v>96</v>
      </c>
      <c r="J4" s="148" t="s">
        <v>97</v>
      </c>
      <c r="K4" s="180" t="s">
        <v>98</v>
      </c>
      <c r="L4" s="151" t="s">
        <v>102</v>
      </c>
      <c r="M4" s="148" t="s">
        <v>6</v>
      </c>
      <c r="N4" s="148" t="s">
        <v>368</v>
      </c>
      <c r="O4" s="151" t="s">
        <v>108</v>
      </c>
      <c r="P4" s="151" t="s">
        <v>110</v>
      </c>
      <c r="Q4" s="151" t="s">
        <v>112</v>
      </c>
      <c r="R4" s="151" t="s">
        <v>344</v>
      </c>
      <c r="S4" s="151" t="s">
        <v>119</v>
      </c>
      <c r="T4" s="151" t="s">
        <v>146</v>
      </c>
      <c r="U4" s="152" t="s">
        <v>183</v>
      </c>
      <c r="V4" s="170" t="s">
        <v>340</v>
      </c>
      <c r="W4" s="171" t="s">
        <v>52</v>
      </c>
      <c r="X4" s="171" t="s">
        <v>53</v>
      </c>
      <c r="Y4" s="172" t="s">
        <v>55</v>
      </c>
      <c r="Z4" s="245" t="s">
        <v>447</v>
      </c>
      <c r="AA4" s="150" t="s">
        <v>353</v>
      </c>
      <c r="AJ4" s="205" t="s">
        <v>373</v>
      </c>
      <c r="AK4" s="151" t="s">
        <v>374</v>
      </c>
      <c r="AL4" s="151" t="s">
        <v>375</v>
      </c>
      <c r="AM4" s="151" t="s">
        <v>376</v>
      </c>
      <c r="AN4" s="151" t="s">
        <v>377</v>
      </c>
      <c r="AO4" s="151" t="s">
        <v>378</v>
      </c>
      <c r="AP4" s="152" t="s">
        <v>379</v>
      </c>
      <c r="AR4" s="287" t="s">
        <v>436</v>
      </c>
      <c r="AS4" s="287"/>
    </row>
    <row r="5" spans="2:45">
      <c r="B5" s="140" t="s">
        <v>64</v>
      </c>
      <c r="C5" s="141" t="s">
        <v>103</v>
      </c>
      <c r="D5" s="142" t="s">
        <v>100</v>
      </c>
      <c r="E5" s="141">
        <v>43</v>
      </c>
      <c r="F5" s="141">
        <v>203</v>
      </c>
      <c r="G5" s="143">
        <v>27.564102564102562</v>
      </c>
      <c r="I5" s="153"/>
      <c r="J5" s="146" t="s">
        <v>17</v>
      </c>
      <c r="K5" s="181">
        <v>0</v>
      </c>
      <c r="L5" s="154" t="s">
        <v>100</v>
      </c>
      <c r="M5" s="146">
        <v>208</v>
      </c>
      <c r="N5" s="146" t="s">
        <v>124</v>
      </c>
      <c r="O5" s="146"/>
      <c r="P5" s="146"/>
      <c r="Q5" s="146"/>
      <c r="R5" s="146"/>
      <c r="S5" s="146"/>
      <c r="T5" s="146" t="s">
        <v>57</v>
      </c>
      <c r="U5" s="155" t="s">
        <v>57</v>
      </c>
      <c r="V5" s="164" t="s">
        <v>341</v>
      </c>
      <c r="W5" s="173">
        <v>57.25</v>
      </c>
      <c r="X5" s="173">
        <v>39.375</v>
      </c>
      <c r="Y5" s="174">
        <v>86.5</v>
      </c>
      <c r="AA5" t="s">
        <v>354</v>
      </c>
      <c r="AE5" t="s">
        <v>357</v>
      </c>
      <c r="AJ5" s="247" t="s">
        <v>341</v>
      </c>
      <c r="AK5" s="165" t="s">
        <v>100</v>
      </c>
      <c r="AL5" s="165">
        <v>1</v>
      </c>
      <c r="AM5" s="165">
        <v>1.68</v>
      </c>
      <c r="AN5" s="165">
        <v>0</v>
      </c>
      <c r="AO5" s="165">
        <v>0</v>
      </c>
      <c r="AP5" s="166">
        <v>0</v>
      </c>
      <c r="AR5" s="287"/>
      <c r="AS5" s="287"/>
    </row>
    <row r="6" spans="2:45">
      <c r="B6" s="140" t="s">
        <v>65</v>
      </c>
      <c r="C6" s="141" t="s">
        <v>103</v>
      </c>
      <c r="D6" s="142" t="s">
        <v>12</v>
      </c>
      <c r="E6" s="141">
        <v>22</v>
      </c>
      <c r="F6" s="141">
        <v>98</v>
      </c>
      <c r="G6" s="143">
        <v>14.102564102564102</v>
      </c>
      <c r="I6" s="153">
        <v>10</v>
      </c>
      <c r="J6" s="146" t="s">
        <v>93</v>
      </c>
      <c r="K6" s="181">
        <v>-20</v>
      </c>
      <c r="L6" s="154" t="s">
        <v>12</v>
      </c>
      <c r="M6" s="146">
        <v>460</v>
      </c>
      <c r="N6" s="146" t="s">
        <v>369</v>
      </c>
      <c r="O6" s="146" t="s">
        <v>103</v>
      </c>
      <c r="P6" s="146">
        <v>1</v>
      </c>
      <c r="Q6" s="146">
        <v>1</v>
      </c>
      <c r="R6" s="146">
        <v>1</v>
      </c>
      <c r="S6" s="146"/>
      <c r="T6" s="146" t="s">
        <v>147</v>
      </c>
      <c r="U6" s="155" t="s">
        <v>147</v>
      </c>
      <c r="V6" s="164" t="s">
        <v>342</v>
      </c>
      <c r="W6" s="173">
        <v>86.375</v>
      </c>
      <c r="X6" s="173">
        <v>39.375</v>
      </c>
      <c r="Y6" s="174">
        <v>86.5</v>
      </c>
      <c r="Z6" s="246" t="s">
        <v>449</v>
      </c>
      <c r="AA6" t="s">
        <v>355</v>
      </c>
      <c r="AC6" t="s">
        <v>36</v>
      </c>
      <c r="AD6" t="s">
        <v>102</v>
      </c>
      <c r="AE6" t="s">
        <v>358</v>
      </c>
      <c r="AF6" t="s">
        <v>359</v>
      </c>
      <c r="AJ6" s="248" t="s">
        <v>341</v>
      </c>
      <c r="AK6" s="165" t="s">
        <v>12</v>
      </c>
      <c r="AL6" s="165">
        <v>1</v>
      </c>
      <c r="AM6" s="165">
        <v>2.5299999999999998</v>
      </c>
      <c r="AN6" s="165">
        <v>0</v>
      </c>
      <c r="AO6" s="165">
        <v>0</v>
      </c>
      <c r="AP6" s="166">
        <v>0</v>
      </c>
      <c r="AR6" s="287"/>
      <c r="AS6" s="287"/>
    </row>
    <row r="7" spans="2:45">
      <c r="B7" s="144" t="s">
        <v>66</v>
      </c>
      <c r="C7" s="145" t="s">
        <v>103</v>
      </c>
      <c r="D7" s="142" t="s">
        <v>101</v>
      </c>
      <c r="E7" s="141">
        <v>18</v>
      </c>
      <c r="F7" s="141">
        <v>84</v>
      </c>
      <c r="G7" s="143">
        <v>11.538461538461538</v>
      </c>
      <c r="I7" s="153">
        <v>15</v>
      </c>
      <c r="J7" s="146" t="s">
        <v>94</v>
      </c>
      <c r="K7" s="181"/>
      <c r="L7" s="154" t="s">
        <v>101</v>
      </c>
      <c r="M7" s="146">
        <v>575</v>
      </c>
      <c r="N7" s="146" t="s">
        <v>370</v>
      </c>
      <c r="O7" s="146" t="s">
        <v>104</v>
      </c>
      <c r="P7" s="146">
        <v>2</v>
      </c>
      <c r="Q7" s="146">
        <v>2</v>
      </c>
      <c r="R7" s="146">
        <v>2</v>
      </c>
      <c r="S7" s="146"/>
      <c r="T7" s="146" t="s">
        <v>264</v>
      </c>
      <c r="U7" s="155"/>
      <c r="V7" s="164" t="s">
        <v>343</v>
      </c>
      <c r="W7" s="173">
        <v>86.375</v>
      </c>
      <c r="X7" s="173">
        <v>76.5</v>
      </c>
      <c r="Y7" s="174">
        <v>86.625</v>
      </c>
      <c r="Z7" s="246" t="s">
        <v>448</v>
      </c>
      <c r="AC7" s="186" t="s">
        <v>360</v>
      </c>
      <c r="AD7" s="187" t="s">
        <v>100</v>
      </c>
      <c r="AE7" s="186">
        <v>24.9</v>
      </c>
      <c r="AF7" s="188">
        <v>30.31</v>
      </c>
      <c r="AH7" s="193" t="s">
        <v>360</v>
      </c>
      <c r="AJ7" s="164" t="s">
        <v>342</v>
      </c>
      <c r="AK7" s="165" t="s">
        <v>100</v>
      </c>
      <c r="AL7" s="165">
        <v>1</v>
      </c>
      <c r="AM7" s="165">
        <v>1.68</v>
      </c>
      <c r="AN7" s="165">
        <v>0</v>
      </c>
      <c r="AO7" s="165">
        <v>0</v>
      </c>
      <c r="AP7" s="166">
        <v>0</v>
      </c>
      <c r="AR7" s="287"/>
      <c r="AS7" s="287"/>
    </row>
    <row r="8" spans="2:45">
      <c r="B8" s="140"/>
      <c r="C8" s="141"/>
      <c r="D8" s="141"/>
      <c r="E8" s="141"/>
      <c r="F8" s="141"/>
      <c r="G8" s="143"/>
      <c r="I8" s="153">
        <v>20</v>
      </c>
      <c r="J8" s="146"/>
      <c r="K8" s="181"/>
      <c r="L8" s="146"/>
      <c r="M8" s="146"/>
      <c r="N8" s="146"/>
      <c r="O8" s="146" t="s">
        <v>37</v>
      </c>
      <c r="P8" s="146">
        <v>3</v>
      </c>
      <c r="Q8" s="146">
        <v>3</v>
      </c>
      <c r="R8" s="146">
        <v>3</v>
      </c>
      <c r="S8" s="146"/>
      <c r="T8" s="146" t="s">
        <v>338</v>
      </c>
      <c r="U8" s="155"/>
      <c r="V8" s="164"/>
      <c r="W8" s="165"/>
      <c r="X8" s="165"/>
      <c r="Y8" s="166"/>
      <c r="Z8" s="113"/>
      <c r="AC8" s="185" t="s">
        <v>360</v>
      </c>
      <c r="AD8" s="113" t="s">
        <v>12</v>
      </c>
      <c r="AE8" s="185">
        <v>24.9</v>
      </c>
      <c r="AF8" s="189">
        <v>30.31</v>
      </c>
      <c r="AH8" s="165" t="s">
        <v>361</v>
      </c>
      <c r="AJ8" s="164" t="s">
        <v>342</v>
      </c>
      <c r="AK8" s="165" t="s">
        <v>100</v>
      </c>
      <c r="AL8" s="165">
        <v>2</v>
      </c>
      <c r="AM8" s="165">
        <v>1.76</v>
      </c>
      <c r="AN8" s="165">
        <v>1.76</v>
      </c>
      <c r="AO8" s="165">
        <v>0</v>
      </c>
      <c r="AP8" s="166">
        <v>0</v>
      </c>
      <c r="AR8" s="228">
        <v>15</v>
      </c>
    </row>
    <row r="9" spans="2:45">
      <c r="B9" s="140" t="s">
        <v>67</v>
      </c>
      <c r="C9" s="141" t="s">
        <v>104</v>
      </c>
      <c r="D9" s="142" t="s">
        <v>100</v>
      </c>
      <c r="E9" s="141">
        <v>61</v>
      </c>
      <c r="F9" s="141">
        <v>267</v>
      </c>
      <c r="G9" s="143">
        <v>39.102564102564102</v>
      </c>
      <c r="I9" s="153">
        <v>25</v>
      </c>
      <c r="J9" s="146"/>
      <c r="K9" s="181"/>
      <c r="L9" s="146"/>
      <c r="M9" s="146"/>
      <c r="N9" s="146"/>
      <c r="O9" s="146" t="s">
        <v>105</v>
      </c>
      <c r="P9" s="146">
        <v>4</v>
      </c>
      <c r="Q9" s="146">
        <v>4</v>
      </c>
      <c r="R9" s="146">
        <v>4</v>
      </c>
      <c r="S9" s="146"/>
      <c r="T9" s="146" t="s">
        <v>423</v>
      </c>
      <c r="U9" s="155"/>
      <c r="V9" s="164"/>
      <c r="W9" s="165"/>
      <c r="X9" s="165"/>
      <c r="Y9" s="166"/>
      <c r="Z9" s="113"/>
      <c r="AC9" s="190" t="s">
        <v>360</v>
      </c>
      <c r="AD9" s="191" t="s">
        <v>101</v>
      </c>
      <c r="AE9" s="190">
        <v>24.9</v>
      </c>
      <c r="AF9" s="192">
        <v>30.31</v>
      </c>
      <c r="AH9" s="165" t="s">
        <v>362</v>
      </c>
      <c r="AJ9" s="164" t="s">
        <v>342</v>
      </c>
      <c r="AK9" s="165" t="s">
        <v>12</v>
      </c>
      <c r="AL9" s="165">
        <v>1</v>
      </c>
      <c r="AM9" s="165">
        <v>2.5299999999999998</v>
      </c>
      <c r="AN9" s="165">
        <v>0</v>
      </c>
      <c r="AO9" s="165">
        <v>0</v>
      </c>
      <c r="AP9" s="166">
        <v>0</v>
      </c>
      <c r="AR9" s="228">
        <v>20</v>
      </c>
    </row>
    <row r="10" spans="2:45">
      <c r="B10" s="140" t="s">
        <v>68</v>
      </c>
      <c r="C10" s="141" t="s">
        <v>104</v>
      </c>
      <c r="D10" s="142" t="s">
        <v>12</v>
      </c>
      <c r="E10" s="141">
        <v>29</v>
      </c>
      <c r="F10" s="141">
        <v>142</v>
      </c>
      <c r="G10" s="143">
        <v>18.589743589743588</v>
      </c>
      <c r="I10" s="153">
        <v>30</v>
      </c>
      <c r="J10" s="146"/>
      <c r="K10" s="181"/>
      <c r="L10" s="146"/>
      <c r="M10" s="146"/>
      <c r="N10" s="146"/>
      <c r="O10" s="146" t="s">
        <v>106</v>
      </c>
      <c r="P10" s="146">
        <v>5</v>
      </c>
      <c r="Q10" s="146">
        <v>5</v>
      </c>
      <c r="R10" s="146">
        <v>5</v>
      </c>
      <c r="S10" s="146"/>
      <c r="T10" s="146"/>
      <c r="U10" s="155"/>
      <c r="V10" s="164"/>
      <c r="W10" s="165"/>
      <c r="X10" s="165"/>
      <c r="Y10" s="166"/>
      <c r="Z10" s="113"/>
      <c r="AC10" s="186" t="s">
        <v>361</v>
      </c>
      <c r="AD10" s="187" t="s">
        <v>100</v>
      </c>
      <c r="AE10" s="186">
        <v>24.9</v>
      </c>
      <c r="AF10" s="188">
        <v>30.31</v>
      </c>
      <c r="AH10" s="165" t="s">
        <v>363</v>
      </c>
      <c r="AJ10" s="164" t="s">
        <v>342</v>
      </c>
      <c r="AK10" s="165" t="s">
        <v>12</v>
      </c>
      <c r="AL10" s="165">
        <v>2</v>
      </c>
      <c r="AM10" s="165">
        <v>2.78</v>
      </c>
      <c r="AN10" s="165">
        <v>2.78</v>
      </c>
      <c r="AO10" s="165">
        <v>0</v>
      </c>
      <c r="AP10" s="166">
        <v>0</v>
      </c>
      <c r="AR10" s="228">
        <v>25</v>
      </c>
    </row>
    <row r="11" spans="2:45">
      <c r="B11" s="140" t="s">
        <v>69</v>
      </c>
      <c r="C11" s="141" t="s">
        <v>104</v>
      </c>
      <c r="D11" s="142" t="s">
        <v>101</v>
      </c>
      <c r="E11" s="141">
        <v>24</v>
      </c>
      <c r="F11" s="141">
        <v>103</v>
      </c>
      <c r="G11" s="143">
        <v>15.384615384615383</v>
      </c>
      <c r="I11" s="153">
        <v>35</v>
      </c>
      <c r="J11" s="146"/>
      <c r="K11" s="181"/>
      <c r="L11" s="146"/>
      <c r="M11" s="146"/>
      <c r="N11" s="146"/>
      <c r="O11" s="146" t="s">
        <v>38</v>
      </c>
      <c r="P11" s="146">
        <v>6</v>
      </c>
      <c r="Q11" s="146">
        <v>6</v>
      </c>
      <c r="R11" s="146">
        <v>6</v>
      </c>
      <c r="S11" s="146"/>
      <c r="T11" s="146"/>
      <c r="U11" s="155"/>
      <c r="V11" s="164"/>
      <c r="W11" s="165"/>
      <c r="X11" s="165"/>
      <c r="Y11" s="166"/>
      <c r="Z11" s="113"/>
      <c r="AC11" s="185" t="s">
        <v>361</v>
      </c>
      <c r="AD11" s="113" t="s">
        <v>12</v>
      </c>
      <c r="AE11" s="185">
        <v>24.9</v>
      </c>
      <c r="AF11" s="189">
        <v>30.31</v>
      </c>
      <c r="AH11" s="165" t="s">
        <v>364</v>
      </c>
      <c r="AJ11" s="164" t="s">
        <v>343</v>
      </c>
      <c r="AK11" s="165" t="s">
        <v>100</v>
      </c>
      <c r="AL11" s="165">
        <v>2</v>
      </c>
      <c r="AM11" s="165">
        <v>1.68</v>
      </c>
      <c r="AN11" s="165">
        <v>1.68</v>
      </c>
      <c r="AO11" s="165">
        <v>0</v>
      </c>
      <c r="AP11" s="166">
        <v>0</v>
      </c>
      <c r="AR11" s="228">
        <v>30</v>
      </c>
    </row>
    <row r="12" spans="2:45">
      <c r="B12" s="140"/>
      <c r="C12" s="141"/>
      <c r="D12" s="141"/>
      <c r="E12" s="141"/>
      <c r="F12" s="141"/>
      <c r="G12" s="143"/>
      <c r="I12" s="153">
        <v>40</v>
      </c>
      <c r="J12" s="146"/>
      <c r="K12" s="181"/>
      <c r="L12" s="146"/>
      <c r="M12" s="146"/>
      <c r="N12" s="146"/>
      <c r="O12" s="146" t="s">
        <v>107</v>
      </c>
      <c r="P12" s="146">
        <v>7</v>
      </c>
      <c r="Q12" s="146">
        <v>7</v>
      </c>
      <c r="R12" s="146">
        <v>7</v>
      </c>
      <c r="S12" s="146"/>
      <c r="T12" s="146"/>
      <c r="U12" s="155"/>
      <c r="V12" s="164"/>
      <c r="W12" s="165"/>
      <c r="X12" s="165"/>
      <c r="Y12" s="166"/>
      <c r="Z12" s="113"/>
      <c r="AC12" s="190" t="s">
        <v>361</v>
      </c>
      <c r="AD12" s="191" t="s">
        <v>101</v>
      </c>
      <c r="AE12" s="190">
        <v>24.9</v>
      </c>
      <c r="AF12" s="192">
        <v>30.31</v>
      </c>
      <c r="AH12" s="165" t="s">
        <v>365</v>
      </c>
      <c r="AJ12" s="164" t="s">
        <v>343</v>
      </c>
      <c r="AK12" s="165" t="s">
        <v>100</v>
      </c>
      <c r="AL12" s="165">
        <v>3</v>
      </c>
      <c r="AM12" s="165">
        <v>1.76</v>
      </c>
      <c r="AN12" s="165">
        <v>1.76</v>
      </c>
      <c r="AO12" s="165">
        <v>1.68</v>
      </c>
      <c r="AP12" s="166">
        <v>0</v>
      </c>
      <c r="AR12" s="228">
        <v>35</v>
      </c>
    </row>
    <row r="13" spans="2:45">
      <c r="B13" s="140" t="s">
        <v>347</v>
      </c>
      <c r="C13" s="141" t="s">
        <v>348</v>
      </c>
      <c r="D13" s="142" t="s">
        <v>100</v>
      </c>
      <c r="E13" s="141">
        <v>64</v>
      </c>
      <c r="F13" s="141">
        <v>304</v>
      </c>
      <c r="G13" s="143">
        <v>41.025641025641022</v>
      </c>
      <c r="I13" s="153">
        <v>45</v>
      </c>
      <c r="J13" s="146"/>
      <c r="K13" s="181"/>
      <c r="L13" s="146"/>
      <c r="M13" s="146"/>
      <c r="N13" s="146"/>
      <c r="O13" s="146"/>
      <c r="P13" s="146">
        <v>8</v>
      </c>
      <c r="Q13" s="146">
        <v>8</v>
      </c>
      <c r="R13" s="146">
        <v>8</v>
      </c>
      <c r="S13" s="146"/>
      <c r="T13" s="146"/>
      <c r="U13" s="155"/>
      <c r="V13" s="164"/>
      <c r="W13" s="165"/>
      <c r="X13" s="165"/>
      <c r="Y13" s="166"/>
      <c r="Z13" s="113"/>
      <c r="AC13" s="186" t="s">
        <v>362</v>
      </c>
      <c r="AD13" s="187" t="s">
        <v>100</v>
      </c>
      <c r="AE13" s="186">
        <v>34.1</v>
      </c>
      <c r="AF13" s="188">
        <v>41.33</v>
      </c>
      <c r="AH13" s="165" t="s">
        <v>366</v>
      </c>
      <c r="AJ13" s="164" t="s">
        <v>343</v>
      </c>
      <c r="AK13" s="165" t="s">
        <v>100</v>
      </c>
      <c r="AL13" s="165">
        <v>4</v>
      </c>
      <c r="AM13" s="165">
        <v>1.76</v>
      </c>
      <c r="AN13" s="165">
        <v>1.76</v>
      </c>
      <c r="AO13" s="165">
        <v>1.76</v>
      </c>
      <c r="AP13" s="166">
        <v>1.76</v>
      </c>
      <c r="AR13" s="228">
        <v>40</v>
      </c>
    </row>
    <row r="14" spans="2:45">
      <c r="B14" s="140" t="s">
        <v>345</v>
      </c>
      <c r="C14" s="141" t="s">
        <v>348</v>
      </c>
      <c r="D14" s="142" t="s">
        <v>12</v>
      </c>
      <c r="E14" s="141">
        <v>30</v>
      </c>
      <c r="F14" s="141">
        <v>147</v>
      </c>
      <c r="G14" s="143">
        <v>19.23076923076923</v>
      </c>
      <c r="I14" s="153">
        <v>50</v>
      </c>
      <c r="J14" s="146"/>
      <c r="K14" s="181"/>
      <c r="L14" s="146"/>
      <c r="M14" s="146"/>
      <c r="N14" s="146"/>
      <c r="O14" s="146"/>
      <c r="P14" s="146">
        <v>9</v>
      </c>
      <c r="Q14" s="146">
        <v>9</v>
      </c>
      <c r="R14" s="146">
        <v>9</v>
      </c>
      <c r="S14" s="146"/>
      <c r="T14" s="146"/>
      <c r="U14" s="155"/>
      <c r="V14" s="164"/>
      <c r="W14" s="165"/>
      <c r="X14" s="165"/>
      <c r="Y14" s="166"/>
      <c r="Z14" s="113"/>
      <c r="AC14" s="185" t="s">
        <v>362</v>
      </c>
      <c r="AD14" s="113" t="s">
        <v>12</v>
      </c>
      <c r="AE14" s="185">
        <v>34.1</v>
      </c>
      <c r="AF14" s="189">
        <v>41.33</v>
      </c>
      <c r="AH14" s="194" t="s">
        <v>367</v>
      </c>
      <c r="AJ14" s="164" t="s">
        <v>343</v>
      </c>
      <c r="AK14" s="165" t="s">
        <v>12</v>
      </c>
      <c r="AL14" s="165">
        <v>2</v>
      </c>
      <c r="AM14" s="165">
        <v>2.5299999999999998</v>
      </c>
      <c r="AN14" s="165">
        <v>2.5299999999999998</v>
      </c>
      <c r="AO14" s="165">
        <v>0</v>
      </c>
      <c r="AP14" s="166">
        <v>0</v>
      </c>
      <c r="AR14" s="228">
        <v>45</v>
      </c>
    </row>
    <row r="15" spans="2:45">
      <c r="B15" s="140" t="s">
        <v>346</v>
      </c>
      <c r="C15" s="141" t="s">
        <v>348</v>
      </c>
      <c r="D15" s="142" t="s">
        <v>101</v>
      </c>
      <c r="E15" s="141">
        <v>26</v>
      </c>
      <c r="F15" s="141">
        <v>122</v>
      </c>
      <c r="G15" s="143">
        <v>16.666666666666668</v>
      </c>
      <c r="I15" s="153">
        <v>55</v>
      </c>
      <c r="J15" s="146"/>
      <c r="K15" s="181"/>
      <c r="L15" s="146"/>
      <c r="M15" s="146"/>
      <c r="N15" s="146"/>
      <c r="O15" s="146"/>
      <c r="P15" s="146">
        <v>10</v>
      </c>
      <c r="Q15" s="146">
        <v>10</v>
      </c>
      <c r="R15" s="146">
        <v>10</v>
      </c>
      <c r="S15" s="146"/>
      <c r="T15" s="146"/>
      <c r="U15" s="155"/>
      <c r="V15" s="164"/>
      <c r="W15" s="165"/>
      <c r="X15" s="165"/>
      <c r="Y15" s="166"/>
      <c r="Z15" s="113"/>
      <c r="AC15" s="190" t="s">
        <v>362</v>
      </c>
      <c r="AD15" s="191" t="s">
        <v>101</v>
      </c>
      <c r="AE15" s="190">
        <v>34.1</v>
      </c>
      <c r="AF15" s="192">
        <v>41.33</v>
      </c>
      <c r="AJ15" s="164" t="s">
        <v>343</v>
      </c>
      <c r="AK15" s="165" t="s">
        <v>12</v>
      </c>
      <c r="AL15" s="165">
        <v>3</v>
      </c>
      <c r="AM15" s="165">
        <v>2.78</v>
      </c>
      <c r="AN15" s="165">
        <v>2.78</v>
      </c>
      <c r="AO15" s="165">
        <v>2.5299999999999998</v>
      </c>
      <c r="AP15" s="166">
        <v>0</v>
      </c>
      <c r="AR15" s="228">
        <v>50</v>
      </c>
    </row>
    <row r="16" spans="2:45">
      <c r="B16" s="164"/>
      <c r="C16" s="165"/>
      <c r="D16" s="165"/>
      <c r="E16" s="165"/>
      <c r="F16" s="165"/>
      <c r="G16" s="166"/>
      <c r="I16" s="153">
        <v>60</v>
      </c>
      <c r="J16" s="146"/>
      <c r="K16" s="181"/>
      <c r="L16" s="146"/>
      <c r="M16" s="146"/>
      <c r="N16" s="146"/>
      <c r="O16" s="146"/>
      <c r="P16" s="146">
        <v>11</v>
      </c>
      <c r="Q16" s="146">
        <v>11</v>
      </c>
      <c r="R16" s="146">
        <v>11</v>
      </c>
      <c r="S16" s="146"/>
      <c r="T16" s="146"/>
      <c r="U16" s="155"/>
      <c r="V16" s="164"/>
      <c r="W16" s="165"/>
      <c r="X16" s="165"/>
      <c r="Y16" s="166"/>
      <c r="Z16" s="113"/>
      <c r="AC16" s="186" t="s">
        <v>363</v>
      </c>
      <c r="AD16" s="187" t="s">
        <v>100</v>
      </c>
      <c r="AE16" s="186">
        <v>42</v>
      </c>
      <c r="AF16" s="188">
        <v>53.48</v>
      </c>
      <c r="AJ16" s="164" t="s">
        <v>343</v>
      </c>
      <c r="AK16" s="165" t="s">
        <v>12</v>
      </c>
      <c r="AL16" s="165">
        <v>4</v>
      </c>
      <c r="AM16" s="165">
        <v>2.78</v>
      </c>
      <c r="AN16" s="165">
        <v>2.78</v>
      </c>
      <c r="AO16" s="165">
        <v>2.78</v>
      </c>
      <c r="AP16" s="166">
        <v>2.78</v>
      </c>
      <c r="AR16" s="228">
        <v>60</v>
      </c>
    </row>
    <row r="17" spans="2:44">
      <c r="B17" s="140" t="s">
        <v>70</v>
      </c>
      <c r="C17" s="141" t="s">
        <v>37</v>
      </c>
      <c r="D17" s="142" t="s">
        <v>100</v>
      </c>
      <c r="E17" s="141">
        <v>75</v>
      </c>
      <c r="F17" s="141">
        <v>351</v>
      </c>
      <c r="G17" s="143">
        <v>48.076923076923073</v>
      </c>
      <c r="I17" s="153">
        <v>65</v>
      </c>
      <c r="J17" s="146"/>
      <c r="K17" s="181"/>
      <c r="L17" s="146"/>
      <c r="M17" s="146"/>
      <c r="N17" s="146"/>
      <c r="O17" s="146"/>
      <c r="P17" s="146">
        <v>12</v>
      </c>
      <c r="Q17" s="146">
        <v>12</v>
      </c>
      <c r="R17" s="146">
        <v>12</v>
      </c>
      <c r="S17" s="146"/>
      <c r="T17" s="146"/>
      <c r="U17" s="155"/>
      <c r="V17" s="164"/>
      <c r="W17" s="165"/>
      <c r="X17" s="165"/>
      <c r="Y17" s="166"/>
      <c r="Z17" s="113"/>
      <c r="AC17" s="185" t="s">
        <v>363</v>
      </c>
      <c r="AD17" s="113" t="s">
        <v>12</v>
      </c>
      <c r="AE17" s="185">
        <v>42</v>
      </c>
      <c r="AF17" s="189">
        <v>53.48</v>
      </c>
      <c r="AJ17" s="248" t="s">
        <v>341</v>
      </c>
      <c r="AK17" s="165" t="s">
        <v>100</v>
      </c>
      <c r="AL17" s="165"/>
      <c r="AM17" s="165">
        <v>0</v>
      </c>
      <c r="AN17" s="165">
        <v>0</v>
      </c>
      <c r="AO17" s="165">
        <v>0</v>
      </c>
      <c r="AP17" s="166">
        <v>0</v>
      </c>
      <c r="AR17" s="228">
        <v>70</v>
      </c>
    </row>
    <row r="18" spans="2:44">
      <c r="B18" s="140" t="s">
        <v>71</v>
      </c>
      <c r="C18" s="141" t="s">
        <v>37</v>
      </c>
      <c r="D18" s="142" t="s">
        <v>12</v>
      </c>
      <c r="E18" s="141">
        <v>38.6</v>
      </c>
      <c r="F18" s="141">
        <v>197</v>
      </c>
      <c r="G18" s="143">
        <v>24.743589743589745</v>
      </c>
      <c r="I18" s="153">
        <v>70</v>
      </c>
      <c r="J18" s="146"/>
      <c r="K18" s="181"/>
      <c r="L18" s="146"/>
      <c r="M18" s="146"/>
      <c r="N18" s="146"/>
      <c r="O18" s="146"/>
      <c r="P18" s="146">
        <v>13</v>
      </c>
      <c r="Q18" s="146">
        <v>13</v>
      </c>
      <c r="R18" s="146">
        <v>13</v>
      </c>
      <c r="S18" s="146"/>
      <c r="T18" s="146"/>
      <c r="U18" s="155"/>
      <c r="V18" s="164"/>
      <c r="W18" s="165"/>
      <c r="X18" s="165"/>
      <c r="Y18" s="166"/>
      <c r="Z18" s="113"/>
      <c r="AC18" s="190" t="s">
        <v>363</v>
      </c>
      <c r="AD18" s="191" t="s">
        <v>101</v>
      </c>
      <c r="AE18" s="190">
        <v>42</v>
      </c>
      <c r="AF18" s="192">
        <v>53.48</v>
      </c>
      <c r="AJ18" s="248" t="s">
        <v>341</v>
      </c>
      <c r="AK18" s="165" t="s">
        <v>12</v>
      </c>
      <c r="AL18" s="165"/>
      <c r="AM18" s="165">
        <v>0</v>
      </c>
      <c r="AN18" s="165">
        <v>0</v>
      </c>
      <c r="AO18" s="165">
        <v>0</v>
      </c>
      <c r="AP18" s="166">
        <v>0</v>
      </c>
      <c r="AR18" s="228">
        <v>80</v>
      </c>
    </row>
    <row r="19" spans="2:44">
      <c r="B19" s="140" t="s">
        <v>72</v>
      </c>
      <c r="C19" s="141" t="s">
        <v>37</v>
      </c>
      <c r="D19" s="142" t="s">
        <v>101</v>
      </c>
      <c r="E19" s="141">
        <v>35</v>
      </c>
      <c r="F19" s="141">
        <v>135</v>
      </c>
      <c r="G19" s="143">
        <v>22.435897435897434</v>
      </c>
      <c r="I19" s="153"/>
      <c r="J19" s="146"/>
      <c r="K19" s="181"/>
      <c r="L19" s="146"/>
      <c r="M19" s="146"/>
      <c r="N19" s="146"/>
      <c r="O19" s="146"/>
      <c r="P19" s="146">
        <v>14</v>
      </c>
      <c r="Q19" s="146">
        <v>14</v>
      </c>
      <c r="R19" s="146">
        <v>14</v>
      </c>
      <c r="S19" s="146"/>
      <c r="T19" s="146"/>
      <c r="U19" s="155"/>
      <c r="V19" s="164"/>
      <c r="W19" s="165"/>
      <c r="X19" s="165"/>
      <c r="Y19" s="166"/>
      <c r="Z19" s="113"/>
      <c r="AC19" s="186" t="s">
        <v>364</v>
      </c>
      <c r="AD19" s="187" t="s">
        <v>100</v>
      </c>
      <c r="AE19" s="186">
        <v>45.9</v>
      </c>
      <c r="AF19" s="188">
        <v>57</v>
      </c>
      <c r="AJ19" s="164" t="s">
        <v>342</v>
      </c>
      <c r="AK19" s="165" t="s">
        <v>100</v>
      </c>
      <c r="AL19" s="165"/>
      <c r="AM19" s="165">
        <v>0</v>
      </c>
      <c r="AN19" s="165">
        <v>0</v>
      </c>
      <c r="AO19" s="165">
        <v>0</v>
      </c>
      <c r="AP19" s="166">
        <v>0</v>
      </c>
      <c r="AR19" s="228">
        <v>90</v>
      </c>
    </row>
    <row r="20" spans="2:44">
      <c r="B20" s="140"/>
      <c r="C20" s="141"/>
      <c r="D20" s="141"/>
      <c r="E20" s="141"/>
      <c r="F20" s="141"/>
      <c r="G20" s="143"/>
      <c r="I20" s="153"/>
      <c r="J20" s="146"/>
      <c r="K20" s="181"/>
      <c r="L20" s="146"/>
      <c r="M20" s="146"/>
      <c r="N20" s="146"/>
      <c r="O20" s="146"/>
      <c r="P20" s="146">
        <v>15</v>
      </c>
      <c r="Q20" s="146">
        <v>15</v>
      </c>
      <c r="R20" s="146">
        <v>15</v>
      </c>
      <c r="S20" s="146"/>
      <c r="T20" s="146"/>
      <c r="U20" s="155"/>
      <c r="V20" s="164"/>
      <c r="W20" s="165"/>
      <c r="X20" s="165"/>
      <c r="Y20" s="166"/>
      <c r="Z20" s="113"/>
      <c r="AC20" s="185" t="s">
        <v>364</v>
      </c>
      <c r="AD20" s="113" t="s">
        <v>12</v>
      </c>
      <c r="AE20" s="185">
        <v>45.9</v>
      </c>
      <c r="AF20" s="189">
        <v>57</v>
      </c>
      <c r="AJ20" s="164" t="s">
        <v>342</v>
      </c>
      <c r="AK20" s="165" t="s">
        <v>12</v>
      </c>
      <c r="AL20" s="165"/>
      <c r="AM20" s="165">
        <v>0</v>
      </c>
      <c r="AN20" s="165">
        <v>0</v>
      </c>
      <c r="AO20" s="165">
        <v>0</v>
      </c>
      <c r="AP20" s="166">
        <v>0</v>
      </c>
      <c r="AR20" s="228">
        <v>100</v>
      </c>
    </row>
    <row r="21" spans="2:44">
      <c r="B21" s="140" t="s">
        <v>73</v>
      </c>
      <c r="C21" s="141" t="s">
        <v>105</v>
      </c>
      <c r="D21" s="142" t="s">
        <v>100</v>
      </c>
      <c r="E21" s="141">
        <v>105</v>
      </c>
      <c r="F21" s="141">
        <v>485</v>
      </c>
      <c r="G21" s="143">
        <v>67.307692307692307</v>
      </c>
      <c r="I21" s="153"/>
      <c r="J21" s="146"/>
      <c r="K21" s="181"/>
      <c r="L21" s="146"/>
      <c r="M21" s="146"/>
      <c r="N21" s="146"/>
      <c r="O21" s="146"/>
      <c r="P21" s="146">
        <v>16</v>
      </c>
      <c r="Q21" s="146">
        <v>16</v>
      </c>
      <c r="R21" s="146">
        <v>16</v>
      </c>
      <c r="S21" s="146"/>
      <c r="T21" s="146"/>
      <c r="U21" s="155"/>
      <c r="V21" s="164"/>
      <c r="W21" s="165"/>
      <c r="X21" s="165"/>
      <c r="Y21" s="166"/>
      <c r="Z21" s="113"/>
      <c r="AC21" s="190" t="s">
        <v>364</v>
      </c>
      <c r="AD21" s="191" t="s">
        <v>101</v>
      </c>
      <c r="AE21" s="190">
        <v>45.9</v>
      </c>
      <c r="AF21" s="192">
        <v>57</v>
      </c>
      <c r="AJ21" s="164" t="s">
        <v>343</v>
      </c>
      <c r="AK21" s="165" t="s">
        <v>100</v>
      </c>
      <c r="AL21" s="165"/>
      <c r="AM21" s="165">
        <v>0</v>
      </c>
      <c r="AN21" s="165">
        <v>0</v>
      </c>
      <c r="AO21" s="165">
        <v>0</v>
      </c>
      <c r="AP21" s="166">
        <v>0</v>
      </c>
      <c r="AR21" s="228">
        <v>110</v>
      </c>
    </row>
    <row r="22" spans="2:44" ht="15.75" thickBot="1">
      <c r="B22" s="140" t="s">
        <v>74</v>
      </c>
      <c r="C22" s="141" t="s">
        <v>105</v>
      </c>
      <c r="D22" s="142" t="s">
        <v>12</v>
      </c>
      <c r="E22" s="141">
        <v>51</v>
      </c>
      <c r="F22" s="141">
        <v>215</v>
      </c>
      <c r="G22" s="143">
        <v>32.692307692307693</v>
      </c>
      <c r="I22" s="153"/>
      <c r="J22" s="146"/>
      <c r="K22" s="181"/>
      <c r="L22" s="146"/>
      <c r="M22" s="146"/>
      <c r="N22" s="146"/>
      <c r="O22" s="146"/>
      <c r="P22" s="146">
        <v>17</v>
      </c>
      <c r="Q22" s="146">
        <v>17</v>
      </c>
      <c r="R22" s="146">
        <v>17</v>
      </c>
      <c r="S22" s="146"/>
      <c r="T22" s="146"/>
      <c r="U22" s="155"/>
      <c r="V22" s="164"/>
      <c r="W22" s="165"/>
      <c r="X22" s="165"/>
      <c r="Y22" s="166"/>
      <c r="Z22" s="113"/>
      <c r="AC22" s="186" t="s">
        <v>365</v>
      </c>
      <c r="AD22" s="187" t="s">
        <v>100</v>
      </c>
      <c r="AE22" s="186">
        <v>54.4</v>
      </c>
      <c r="AF22" s="188">
        <v>66.02</v>
      </c>
      <c r="AJ22" s="167" t="s">
        <v>343</v>
      </c>
      <c r="AK22" s="168" t="s">
        <v>12</v>
      </c>
      <c r="AL22" s="168"/>
      <c r="AM22" s="168">
        <v>0</v>
      </c>
      <c r="AN22" s="168">
        <v>0</v>
      </c>
      <c r="AO22" s="168">
        <v>0</v>
      </c>
      <c r="AP22" s="169">
        <v>0</v>
      </c>
      <c r="AR22" s="228">
        <v>125</v>
      </c>
    </row>
    <row r="23" spans="2:44">
      <c r="B23" s="140" t="s">
        <v>75</v>
      </c>
      <c r="C23" s="141" t="s">
        <v>105</v>
      </c>
      <c r="D23" s="142" t="s">
        <v>101</v>
      </c>
      <c r="E23" s="141">
        <v>41</v>
      </c>
      <c r="F23" s="141">
        <v>175</v>
      </c>
      <c r="G23" s="143">
        <v>26.282051282051281</v>
      </c>
      <c r="I23" s="153"/>
      <c r="J23" s="146"/>
      <c r="K23" s="181"/>
      <c r="L23" s="146"/>
      <c r="M23" s="146"/>
      <c r="N23" s="146"/>
      <c r="O23" s="146"/>
      <c r="P23" s="146">
        <v>18</v>
      </c>
      <c r="Q23" s="146">
        <v>18</v>
      </c>
      <c r="R23" s="146">
        <v>18</v>
      </c>
      <c r="S23" s="146"/>
      <c r="T23" s="146"/>
      <c r="U23" s="155"/>
      <c r="V23" s="164"/>
      <c r="W23" s="165"/>
      <c r="X23" s="165"/>
      <c r="Y23" s="166"/>
      <c r="Z23" s="113"/>
      <c r="AC23" s="185" t="s">
        <v>365</v>
      </c>
      <c r="AD23" s="113" t="s">
        <v>12</v>
      </c>
      <c r="AE23" s="185">
        <v>54.4</v>
      </c>
      <c r="AF23" s="189">
        <v>66.02</v>
      </c>
      <c r="AR23" s="228">
        <v>150</v>
      </c>
    </row>
    <row r="24" spans="2:44">
      <c r="B24" s="140"/>
      <c r="C24" s="141"/>
      <c r="D24" s="141"/>
      <c r="E24" s="141"/>
      <c r="F24" s="141"/>
      <c r="G24" s="143"/>
      <c r="I24" s="153"/>
      <c r="J24" s="146"/>
      <c r="K24" s="181"/>
      <c r="L24" s="146"/>
      <c r="M24" s="146"/>
      <c r="N24" s="146"/>
      <c r="O24" s="146"/>
      <c r="P24" s="146">
        <v>19</v>
      </c>
      <c r="Q24" s="146">
        <v>19</v>
      </c>
      <c r="R24" s="146">
        <v>19</v>
      </c>
      <c r="S24" s="146"/>
      <c r="T24" s="146"/>
      <c r="U24" s="155"/>
      <c r="V24" s="164"/>
      <c r="W24" s="165"/>
      <c r="X24" s="165"/>
      <c r="Y24" s="166"/>
      <c r="Z24" s="113"/>
      <c r="AC24" s="190" t="s">
        <v>365</v>
      </c>
      <c r="AD24" s="191" t="s">
        <v>101</v>
      </c>
      <c r="AE24" s="190">
        <v>54.4</v>
      </c>
      <c r="AF24" s="192">
        <v>66.02</v>
      </c>
      <c r="AR24" s="228">
        <v>175</v>
      </c>
    </row>
    <row r="25" spans="2:44">
      <c r="B25" s="140" t="s">
        <v>76</v>
      </c>
      <c r="C25" s="141" t="s">
        <v>106</v>
      </c>
      <c r="D25" s="142" t="s">
        <v>100</v>
      </c>
      <c r="E25" s="141">
        <v>128</v>
      </c>
      <c r="F25" s="141">
        <v>560</v>
      </c>
      <c r="G25" s="143">
        <v>82.051282051282044</v>
      </c>
      <c r="I25" s="153"/>
      <c r="J25" s="146"/>
      <c r="K25" s="181"/>
      <c r="L25" s="146"/>
      <c r="M25" s="146"/>
      <c r="N25" s="146"/>
      <c r="O25" s="146"/>
      <c r="P25" s="146">
        <v>20</v>
      </c>
      <c r="Q25" s="146">
        <v>20</v>
      </c>
      <c r="R25" s="146">
        <v>20</v>
      </c>
      <c r="S25" s="146"/>
      <c r="T25" s="146"/>
      <c r="U25" s="155"/>
      <c r="V25" s="164"/>
      <c r="W25" s="165"/>
      <c r="X25" s="165"/>
      <c r="Y25" s="166"/>
      <c r="Z25" s="113"/>
      <c r="AC25" s="186" t="s">
        <v>366</v>
      </c>
      <c r="AD25" s="187" t="s">
        <v>100</v>
      </c>
      <c r="AE25" s="186">
        <v>56.4</v>
      </c>
      <c r="AF25" s="188">
        <v>70.2</v>
      </c>
      <c r="AR25" s="228">
        <v>200</v>
      </c>
    </row>
    <row r="26" spans="2:44">
      <c r="B26" s="140" t="s">
        <v>77</v>
      </c>
      <c r="C26" s="141" t="s">
        <v>106</v>
      </c>
      <c r="D26" s="142" t="s">
        <v>12</v>
      </c>
      <c r="E26" s="141">
        <v>62</v>
      </c>
      <c r="F26" s="141">
        <v>260</v>
      </c>
      <c r="G26" s="143">
        <v>39.743589743589745</v>
      </c>
      <c r="I26" s="153"/>
      <c r="J26" s="146"/>
      <c r="K26" s="181"/>
      <c r="L26" s="146"/>
      <c r="M26" s="146"/>
      <c r="N26" s="146"/>
      <c r="O26" s="146"/>
      <c r="P26" s="146"/>
      <c r="Q26" s="146"/>
      <c r="R26" s="146"/>
      <c r="S26" s="146"/>
      <c r="T26" s="146"/>
      <c r="U26" s="155"/>
      <c r="V26" s="164"/>
      <c r="W26" s="165"/>
      <c r="X26" s="165"/>
      <c r="Y26" s="166"/>
      <c r="Z26" s="113"/>
      <c r="AC26" s="185" t="s">
        <v>366</v>
      </c>
      <c r="AD26" s="113" t="s">
        <v>12</v>
      </c>
      <c r="AE26" s="185">
        <v>56.4</v>
      </c>
      <c r="AF26" s="189">
        <v>70.2</v>
      </c>
      <c r="AR26" s="228">
        <v>225</v>
      </c>
    </row>
    <row r="27" spans="2:44">
      <c r="B27" s="140" t="s">
        <v>78</v>
      </c>
      <c r="C27" s="141" t="s">
        <v>106</v>
      </c>
      <c r="D27" s="142" t="s">
        <v>101</v>
      </c>
      <c r="E27" s="141">
        <v>45</v>
      </c>
      <c r="F27" s="141">
        <v>210</v>
      </c>
      <c r="G27" s="143">
        <v>28.846153846153847</v>
      </c>
      <c r="I27" s="153"/>
      <c r="J27" s="146"/>
      <c r="K27" s="181"/>
      <c r="L27" s="146"/>
      <c r="M27" s="146"/>
      <c r="N27" s="146"/>
      <c r="O27" s="146"/>
      <c r="P27" s="146"/>
      <c r="Q27" s="146"/>
      <c r="R27" s="146"/>
      <c r="S27" s="146"/>
      <c r="T27" s="146"/>
      <c r="U27" s="155"/>
      <c r="V27" s="164"/>
      <c r="W27" s="165"/>
      <c r="X27" s="165"/>
      <c r="Y27" s="166"/>
      <c r="Z27" s="113"/>
      <c r="AC27" s="190" t="s">
        <v>366</v>
      </c>
      <c r="AD27" s="191" t="s">
        <v>101</v>
      </c>
      <c r="AE27" s="190">
        <v>56.4</v>
      </c>
      <c r="AF27" s="192">
        <v>70.2</v>
      </c>
      <c r="AR27" s="228">
        <v>250</v>
      </c>
    </row>
    <row r="28" spans="2:44">
      <c r="B28" s="140"/>
      <c r="C28" s="141"/>
      <c r="D28" s="141"/>
      <c r="E28" s="141"/>
      <c r="F28" s="141"/>
      <c r="G28" s="143"/>
      <c r="I28" s="153"/>
      <c r="J28" s="146"/>
      <c r="K28" s="181"/>
      <c r="L28" s="146"/>
      <c r="M28" s="146"/>
      <c r="N28" s="146"/>
      <c r="O28" s="146"/>
      <c r="P28" s="146"/>
      <c r="Q28" s="146"/>
      <c r="R28" s="146"/>
      <c r="S28" s="146"/>
      <c r="T28" s="146"/>
      <c r="U28" s="155"/>
      <c r="V28" s="164"/>
      <c r="W28" s="165"/>
      <c r="X28" s="165"/>
      <c r="Y28" s="166"/>
      <c r="Z28" s="113"/>
      <c r="AC28" s="186" t="s">
        <v>367</v>
      </c>
      <c r="AD28" s="187" t="s">
        <v>100</v>
      </c>
      <c r="AE28" s="186">
        <v>56.4</v>
      </c>
      <c r="AF28" s="188">
        <v>70.2</v>
      </c>
      <c r="AR28" s="228">
        <v>300</v>
      </c>
    </row>
    <row r="29" spans="2:44">
      <c r="B29" s="140" t="s">
        <v>79</v>
      </c>
      <c r="C29" s="141" t="s">
        <v>38</v>
      </c>
      <c r="D29" s="142" t="s">
        <v>100</v>
      </c>
      <c r="E29" s="141">
        <v>170</v>
      </c>
      <c r="F29" s="141">
        <v>717</v>
      </c>
      <c r="G29" s="143">
        <v>108.97435897435896</v>
      </c>
      <c r="I29" s="153"/>
      <c r="J29" s="146"/>
      <c r="K29" s="181"/>
      <c r="L29" s="146"/>
      <c r="M29" s="146"/>
      <c r="N29" s="146"/>
      <c r="O29" s="146"/>
      <c r="P29" s="146"/>
      <c r="Q29" s="146"/>
      <c r="R29" s="146"/>
      <c r="S29" s="146"/>
      <c r="T29" s="146"/>
      <c r="U29" s="155"/>
      <c r="V29" s="164"/>
      <c r="W29" s="165"/>
      <c r="X29" s="165"/>
      <c r="Y29" s="166"/>
      <c r="Z29" s="113"/>
      <c r="AC29" s="185" t="s">
        <v>367</v>
      </c>
      <c r="AD29" s="113" t="s">
        <v>12</v>
      </c>
      <c r="AE29" s="185">
        <v>56.4</v>
      </c>
      <c r="AF29" s="189">
        <v>70.2</v>
      </c>
      <c r="AR29" s="228">
        <v>350</v>
      </c>
    </row>
    <row r="30" spans="2:44">
      <c r="B30" s="140" t="s">
        <v>80</v>
      </c>
      <c r="C30" s="141" t="s">
        <v>38</v>
      </c>
      <c r="D30" s="142" t="s">
        <v>12</v>
      </c>
      <c r="E30" s="141">
        <v>79</v>
      </c>
      <c r="F30" s="141">
        <v>320</v>
      </c>
      <c r="G30" s="143">
        <v>50.641025641025642</v>
      </c>
      <c r="I30" s="153"/>
      <c r="J30" s="146"/>
      <c r="K30" s="181"/>
      <c r="L30" s="146"/>
      <c r="M30" s="146"/>
      <c r="N30" s="146"/>
      <c r="O30" s="146"/>
      <c r="P30" s="146"/>
      <c r="Q30" s="146"/>
      <c r="R30" s="146"/>
      <c r="S30" s="146"/>
      <c r="T30" s="146"/>
      <c r="U30" s="155"/>
      <c r="V30" s="164"/>
      <c r="W30" s="165"/>
      <c r="X30" s="165"/>
      <c r="Y30" s="166"/>
      <c r="Z30" s="113"/>
      <c r="AC30" s="190" t="s">
        <v>367</v>
      </c>
      <c r="AD30" s="191" t="s">
        <v>101</v>
      </c>
      <c r="AE30" s="190">
        <v>56.4</v>
      </c>
      <c r="AF30" s="192">
        <v>70.2</v>
      </c>
      <c r="AR30" s="228">
        <v>400</v>
      </c>
    </row>
    <row r="31" spans="2:44" ht="15.75" thickBot="1">
      <c r="B31" s="140" t="s">
        <v>81</v>
      </c>
      <c r="C31" s="141" t="s">
        <v>38</v>
      </c>
      <c r="D31" s="142" t="s">
        <v>101</v>
      </c>
      <c r="E31" s="141">
        <v>60</v>
      </c>
      <c r="F31" s="141">
        <v>235</v>
      </c>
      <c r="G31" s="143">
        <v>38.46153846153846</v>
      </c>
      <c r="I31" s="156"/>
      <c r="J31" s="157"/>
      <c r="K31" s="182"/>
      <c r="L31" s="157"/>
      <c r="M31" s="157"/>
      <c r="N31" s="157"/>
      <c r="O31" s="157"/>
      <c r="P31" s="157"/>
      <c r="Q31" s="157"/>
      <c r="R31" s="157"/>
      <c r="S31" s="157"/>
      <c r="T31" s="157"/>
      <c r="U31" s="158"/>
      <c r="V31" s="167"/>
      <c r="W31" s="168"/>
      <c r="X31" s="168"/>
      <c r="Y31" s="169"/>
      <c r="Z31" s="113"/>
      <c r="AR31" s="228">
        <v>450</v>
      </c>
    </row>
    <row r="32" spans="2:44">
      <c r="B32" s="140"/>
      <c r="C32" s="141"/>
      <c r="D32" s="141"/>
      <c r="E32" s="141"/>
      <c r="F32" s="141"/>
      <c r="G32" s="143"/>
      <c r="I32" s="1"/>
      <c r="J32" s="1"/>
      <c r="AR32" s="228">
        <v>500</v>
      </c>
    </row>
    <row r="33" spans="2:44">
      <c r="B33" s="140" t="s">
        <v>82</v>
      </c>
      <c r="C33" s="141" t="s">
        <v>107</v>
      </c>
      <c r="D33" s="142" t="s">
        <v>100</v>
      </c>
      <c r="E33" s="141">
        <v>190</v>
      </c>
      <c r="F33" s="141">
        <v>1010</v>
      </c>
      <c r="G33" s="143">
        <v>121.7948717948718</v>
      </c>
      <c r="I33" s="1"/>
      <c r="J33" s="1"/>
      <c r="AR33" s="228">
        <v>600</v>
      </c>
    </row>
    <row r="34" spans="2:44">
      <c r="B34" s="140" t="s">
        <v>83</v>
      </c>
      <c r="C34" s="141" t="s">
        <v>107</v>
      </c>
      <c r="D34" s="142" t="s">
        <v>12</v>
      </c>
      <c r="E34" s="141">
        <v>106</v>
      </c>
      <c r="F34" s="141">
        <v>344</v>
      </c>
      <c r="G34" s="143">
        <v>67.948717948717942</v>
      </c>
      <c r="I34" s="1"/>
      <c r="J34" s="1"/>
      <c r="AR34" s="228">
        <v>700</v>
      </c>
    </row>
    <row r="35" spans="2:44">
      <c r="B35" s="140" t="s">
        <v>84</v>
      </c>
      <c r="C35" s="141" t="s">
        <v>107</v>
      </c>
      <c r="D35" s="142" t="s">
        <v>101</v>
      </c>
      <c r="E35" s="141">
        <v>71</v>
      </c>
      <c r="F35" s="141">
        <v>327</v>
      </c>
      <c r="G35" s="143">
        <v>45.512820512820511</v>
      </c>
      <c r="AR35" s="228">
        <v>800</v>
      </c>
    </row>
    <row r="36" spans="2:44">
      <c r="B36" s="140"/>
      <c r="C36" s="141"/>
      <c r="D36" s="142"/>
      <c r="E36" s="141"/>
      <c r="F36" s="141"/>
      <c r="G36" s="143"/>
      <c r="AR36" s="228">
        <v>1000</v>
      </c>
    </row>
    <row r="37" spans="2:44">
      <c r="B37" s="140" t="s">
        <v>425</v>
      </c>
      <c r="C37" s="141" t="s">
        <v>424</v>
      </c>
      <c r="D37" s="142" t="s">
        <v>100</v>
      </c>
      <c r="E37" s="141"/>
      <c r="F37" s="141"/>
      <c r="G37" s="143">
        <v>74.8</v>
      </c>
      <c r="AR37" s="228">
        <v>1200</v>
      </c>
    </row>
    <row r="38" spans="2:44">
      <c r="B38" s="140" t="s">
        <v>426</v>
      </c>
      <c r="C38" s="141" t="s">
        <v>424</v>
      </c>
      <c r="D38" s="142" t="s">
        <v>12</v>
      </c>
      <c r="E38" s="141"/>
      <c r="F38" s="141"/>
      <c r="G38" s="143">
        <v>37.5</v>
      </c>
      <c r="AR38" s="228">
        <v>1600</v>
      </c>
    </row>
    <row r="39" spans="2:44">
      <c r="B39" s="140" t="s">
        <v>427</v>
      </c>
      <c r="C39" s="141" t="s">
        <v>424</v>
      </c>
      <c r="D39" s="142" t="s">
        <v>101</v>
      </c>
      <c r="E39" s="141"/>
      <c r="F39" s="141"/>
      <c r="G39" s="143">
        <v>37.5</v>
      </c>
      <c r="AR39" s="228">
        <v>2000</v>
      </c>
    </row>
    <row r="40" spans="2:44">
      <c r="B40" s="164"/>
      <c r="C40" s="165"/>
      <c r="D40" s="165"/>
      <c r="E40" s="165"/>
      <c r="F40" s="165"/>
      <c r="G40" s="166"/>
      <c r="AR40" s="228">
        <v>2500</v>
      </c>
    </row>
    <row r="41" spans="2:44">
      <c r="B41" s="225" t="s">
        <v>429</v>
      </c>
      <c r="C41" s="226" t="s">
        <v>428</v>
      </c>
      <c r="D41" s="142" t="s">
        <v>100</v>
      </c>
      <c r="E41" s="165"/>
      <c r="F41" s="165"/>
      <c r="G41" s="227">
        <v>88</v>
      </c>
      <c r="AR41" s="228">
        <v>3000</v>
      </c>
    </row>
    <row r="42" spans="2:44">
      <c r="B42" s="225" t="s">
        <v>430</v>
      </c>
      <c r="C42" s="226" t="s">
        <v>428</v>
      </c>
      <c r="D42" s="142" t="s">
        <v>12</v>
      </c>
      <c r="E42" s="165"/>
      <c r="F42" s="165"/>
      <c r="G42" s="227">
        <v>44</v>
      </c>
      <c r="AR42" s="228">
        <v>4000</v>
      </c>
    </row>
    <row r="43" spans="2:44">
      <c r="B43" s="225" t="s">
        <v>431</v>
      </c>
      <c r="C43" s="226" t="s">
        <v>428</v>
      </c>
      <c r="D43" s="142" t="s">
        <v>101</v>
      </c>
      <c r="E43" s="165"/>
      <c r="F43" s="165"/>
      <c r="G43" s="227">
        <v>44</v>
      </c>
      <c r="AR43" s="228">
        <v>5000</v>
      </c>
    </row>
    <row r="44" spans="2:44">
      <c r="B44" s="164"/>
      <c r="C44" s="165"/>
      <c r="D44" s="165"/>
      <c r="E44" s="165"/>
      <c r="F44" s="165"/>
      <c r="G44" s="166"/>
      <c r="AR44" s="228">
        <v>6000</v>
      </c>
    </row>
    <row r="45" spans="2:44">
      <c r="B45" s="225" t="s">
        <v>432</v>
      </c>
      <c r="C45" s="226" t="s">
        <v>433</v>
      </c>
      <c r="D45" s="142" t="s">
        <v>100</v>
      </c>
      <c r="E45" s="165"/>
      <c r="F45" s="165"/>
      <c r="G45" s="227">
        <v>115</v>
      </c>
    </row>
    <row r="46" spans="2:44">
      <c r="B46" s="225" t="s">
        <v>434</v>
      </c>
      <c r="C46" s="226" t="s">
        <v>433</v>
      </c>
      <c r="D46" s="142" t="s">
        <v>12</v>
      </c>
      <c r="E46" s="165"/>
      <c r="F46" s="165"/>
      <c r="G46" s="227">
        <v>61</v>
      </c>
    </row>
    <row r="47" spans="2:44" ht="15.75" thickBot="1">
      <c r="B47" s="225" t="s">
        <v>435</v>
      </c>
      <c r="C47" s="226" t="s">
        <v>433</v>
      </c>
      <c r="D47" s="142" t="s">
        <v>101</v>
      </c>
      <c r="E47" s="165"/>
      <c r="F47" s="165"/>
      <c r="G47" s="227">
        <v>61</v>
      </c>
    </row>
    <row r="48" spans="2:44">
      <c r="B48" s="201"/>
      <c r="C48" s="201"/>
      <c r="D48" s="201"/>
      <c r="E48" s="201"/>
      <c r="F48" s="201"/>
      <c r="G48" s="201"/>
    </row>
  </sheetData>
  <mergeCells count="1">
    <mergeCell ref="AR4:AS7"/>
  </mergeCells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58"/>
  <sheetViews>
    <sheetView zoomScaleNormal="100" workbookViewId="0"/>
  </sheetViews>
  <sheetFormatPr defaultColWidth="8.85546875" defaultRowHeight="15"/>
  <cols>
    <col min="14" max="14" width="17" customWidth="1"/>
  </cols>
  <sheetData>
    <row r="3" spans="3:11">
      <c r="C3" s="288" t="s">
        <v>200</v>
      </c>
      <c r="D3" s="289"/>
      <c r="E3" s="289"/>
      <c r="F3" s="290"/>
      <c r="H3" s="288" t="s">
        <v>235</v>
      </c>
      <c r="I3" s="289"/>
      <c r="J3" s="289"/>
      <c r="K3" s="290"/>
    </row>
    <row r="4" spans="3:11">
      <c r="C4" s="291"/>
      <c r="D4" s="292"/>
      <c r="E4" s="292"/>
      <c r="F4" s="293"/>
      <c r="H4" s="291"/>
      <c r="I4" s="292"/>
      <c r="J4" s="292"/>
      <c r="K4" s="293"/>
    </row>
    <row r="5" spans="3:11">
      <c r="C5" s="294" t="s">
        <v>201</v>
      </c>
      <c r="D5" s="295"/>
      <c r="E5" s="295"/>
      <c r="F5" s="296"/>
      <c r="H5" s="294" t="s">
        <v>236</v>
      </c>
      <c r="I5" s="295"/>
      <c r="J5" s="295"/>
      <c r="K5" s="296"/>
    </row>
    <row r="6" spans="3:11" ht="42">
      <c r="C6" s="93" t="s">
        <v>202</v>
      </c>
      <c r="D6" s="94" t="s">
        <v>203</v>
      </c>
      <c r="E6" s="95" t="s">
        <v>204</v>
      </c>
      <c r="F6" s="96" t="s">
        <v>205</v>
      </c>
      <c r="H6" s="93" t="s">
        <v>237</v>
      </c>
      <c r="I6" s="95" t="s">
        <v>238</v>
      </c>
      <c r="J6" s="95" t="s">
        <v>204</v>
      </c>
      <c r="K6" s="96" t="s">
        <v>205</v>
      </c>
    </row>
    <row r="7" spans="3:11">
      <c r="C7" s="97">
        <v>0</v>
      </c>
      <c r="D7" s="98">
        <v>0</v>
      </c>
      <c r="E7" s="98">
        <v>32</v>
      </c>
      <c r="F7" s="99">
        <v>212</v>
      </c>
      <c r="H7" s="97">
        <v>0</v>
      </c>
      <c r="I7" s="98">
        <v>0</v>
      </c>
      <c r="J7" s="98">
        <v>32</v>
      </c>
      <c r="K7" s="99">
        <v>212</v>
      </c>
    </row>
    <row r="8" spans="3:11">
      <c r="C8" s="100">
        <v>5</v>
      </c>
      <c r="D8" s="101">
        <v>4.4000000000000004</v>
      </c>
      <c r="E8" s="101">
        <v>29.4</v>
      </c>
      <c r="F8" s="102">
        <v>213</v>
      </c>
      <c r="H8" s="100">
        <v>5</v>
      </c>
      <c r="I8" s="101">
        <v>4.8</v>
      </c>
      <c r="J8" s="101">
        <v>29.1</v>
      </c>
      <c r="K8" s="102">
        <v>212</v>
      </c>
    </row>
    <row r="9" spans="3:11">
      <c r="C9" s="100">
        <v>10</v>
      </c>
      <c r="D9" s="101">
        <v>8.9</v>
      </c>
      <c r="E9" s="101">
        <v>26.2</v>
      </c>
      <c r="F9" s="102">
        <v>214</v>
      </c>
      <c r="H9" s="100">
        <v>10</v>
      </c>
      <c r="I9" s="101">
        <v>9.6</v>
      </c>
      <c r="J9" s="101">
        <v>26.1</v>
      </c>
      <c r="K9" s="102">
        <v>212</v>
      </c>
    </row>
    <row r="10" spans="3:11">
      <c r="C10" s="100">
        <v>15</v>
      </c>
      <c r="D10" s="101">
        <v>13.6</v>
      </c>
      <c r="E10" s="101">
        <v>22.2</v>
      </c>
      <c r="F10" s="102">
        <v>215</v>
      </c>
      <c r="H10" s="100">
        <v>15</v>
      </c>
      <c r="I10" s="101">
        <v>14.5</v>
      </c>
      <c r="J10" s="101">
        <v>22.9</v>
      </c>
      <c r="K10" s="102">
        <v>212</v>
      </c>
    </row>
    <row r="11" spans="3:11">
      <c r="C11" s="100">
        <v>20</v>
      </c>
      <c r="D11" s="101">
        <v>18.100000000000001</v>
      </c>
      <c r="E11" s="101">
        <v>17.899999999999999</v>
      </c>
      <c r="F11" s="102">
        <v>216</v>
      </c>
      <c r="H11" s="100">
        <v>20</v>
      </c>
      <c r="I11" s="101">
        <v>19.399999999999999</v>
      </c>
      <c r="J11" s="101">
        <v>19.2</v>
      </c>
      <c r="K11" s="102">
        <v>213</v>
      </c>
    </row>
    <row r="12" spans="3:11">
      <c r="C12" s="100">
        <v>21</v>
      </c>
      <c r="D12" s="101">
        <v>19.2</v>
      </c>
      <c r="E12" s="101">
        <v>16.8</v>
      </c>
      <c r="F12" s="102">
        <v>216</v>
      </c>
      <c r="H12" s="100">
        <v>21</v>
      </c>
      <c r="I12" s="101">
        <v>20.399999999999999</v>
      </c>
      <c r="J12" s="101">
        <v>18.3</v>
      </c>
      <c r="K12" s="102">
        <v>213</v>
      </c>
    </row>
    <row r="13" spans="3:11">
      <c r="C13" s="100">
        <v>22</v>
      </c>
      <c r="D13" s="101">
        <v>20.100000000000001</v>
      </c>
      <c r="E13" s="101">
        <v>15.9</v>
      </c>
      <c r="F13" s="102">
        <v>216</v>
      </c>
      <c r="H13" s="100">
        <v>22</v>
      </c>
      <c r="I13" s="101">
        <v>21.4</v>
      </c>
      <c r="J13" s="101">
        <v>17.600000000000001</v>
      </c>
      <c r="K13" s="102">
        <v>213</v>
      </c>
    </row>
    <row r="14" spans="3:11">
      <c r="C14" s="100">
        <v>23</v>
      </c>
      <c r="D14" s="101">
        <v>21</v>
      </c>
      <c r="E14" s="101">
        <v>14.9</v>
      </c>
      <c r="F14" s="102">
        <v>217</v>
      </c>
      <c r="H14" s="100">
        <v>23</v>
      </c>
      <c r="I14" s="101">
        <v>22.4</v>
      </c>
      <c r="J14" s="101">
        <v>16.600000000000001</v>
      </c>
      <c r="K14" s="102">
        <v>213</v>
      </c>
    </row>
    <row r="15" spans="3:11">
      <c r="C15" s="100">
        <v>24</v>
      </c>
      <c r="D15" s="101">
        <v>22</v>
      </c>
      <c r="E15" s="101">
        <v>13.7</v>
      </c>
      <c r="F15" s="102">
        <v>217</v>
      </c>
      <c r="H15" s="100">
        <v>24</v>
      </c>
      <c r="I15" s="101">
        <v>23.4</v>
      </c>
      <c r="J15" s="101">
        <v>15.6</v>
      </c>
      <c r="K15" s="102">
        <v>213</v>
      </c>
    </row>
    <row r="16" spans="3:11">
      <c r="C16" s="100">
        <v>25</v>
      </c>
      <c r="D16" s="101">
        <v>22.9</v>
      </c>
      <c r="E16" s="101">
        <v>12.7</v>
      </c>
      <c r="F16" s="102">
        <v>218</v>
      </c>
      <c r="H16" s="100">
        <v>25</v>
      </c>
      <c r="I16" s="101">
        <v>24.4</v>
      </c>
      <c r="J16" s="101">
        <v>14.7</v>
      </c>
      <c r="K16" s="102">
        <v>214</v>
      </c>
    </row>
    <row r="17" spans="3:11">
      <c r="C17" s="100">
        <v>26</v>
      </c>
      <c r="D17" s="101">
        <v>23.9</v>
      </c>
      <c r="E17" s="101">
        <v>11.4</v>
      </c>
      <c r="F17" s="102">
        <v>218</v>
      </c>
      <c r="H17" s="100">
        <v>26</v>
      </c>
      <c r="I17" s="101">
        <v>25.3</v>
      </c>
      <c r="J17" s="101">
        <v>13.7</v>
      </c>
      <c r="K17" s="102">
        <v>214</v>
      </c>
    </row>
    <row r="18" spans="3:11">
      <c r="C18" s="100">
        <v>27</v>
      </c>
      <c r="D18" s="101">
        <v>24.8</v>
      </c>
      <c r="E18" s="101">
        <v>10.4</v>
      </c>
      <c r="F18" s="102">
        <v>218</v>
      </c>
      <c r="H18" s="100">
        <v>27</v>
      </c>
      <c r="I18" s="101">
        <v>26.4</v>
      </c>
      <c r="J18" s="101">
        <v>12.6</v>
      </c>
      <c r="K18" s="102">
        <v>214</v>
      </c>
    </row>
    <row r="19" spans="3:11">
      <c r="C19" s="100">
        <v>28</v>
      </c>
      <c r="D19" s="101">
        <v>25.8</v>
      </c>
      <c r="E19" s="101">
        <v>9.1999999999999993</v>
      </c>
      <c r="F19" s="102">
        <v>219</v>
      </c>
      <c r="H19" s="100">
        <v>28</v>
      </c>
      <c r="I19" s="101">
        <v>27.4</v>
      </c>
      <c r="J19" s="101">
        <v>11.5</v>
      </c>
      <c r="K19" s="102">
        <v>215</v>
      </c>
    </row>
    <row r="20" spans="3:11">
      <c r="C20" s="100">
        <v>29</v>
      </c>
      <c r="D20" s="101">
        <v>26.7</v>
      </c>
      <c r="E20" s="101">
        <v>8</v>
      </c>
      <c r="F20" s="102">
        <v>219</v>
      </c>
      <c r="H20" s="100">
        <v>29</v>
      </c>
      <c r="I20" s="101">
        <v>28.4</v>
      </c>
      <c r="J20" s="101">
        <v>10.4</v>
      </c>
      <c r="K20" s="102">
        <v>215</v>
      </c>
    </row>
    <row r="21" spans="3:11">
      <c r="C21" s="100">
        <v>30</v>
      </c>
      <c r="D21" s="101">
        <v>27.7</v>
      </c>
      <c r="E21" s="101">
        <v>6.7</v>
      </c>
      <c r="F21" s="102">
        <v>220</v>
      </c>
      <c r="H21" s="100">
        <v>30</v>
      </c>
      <c r="I21" s="101">
        <v>29.4</v>
      </c>
      <c r="J21" s="101">
        <v>9.1999999999999993</v>
      </c>
      <c r="K21" s="102">
        <v>216</v>
      </c>
    </row>
    <row r="22" spans="3:11">
      <c r="C22" s="100">
        <v>31</v>
      </c>
      <c r="D22" s="101">
        <v>28.7</v>
      </c>
      <c r="E22" s="101">
        <v>5.4</v>
      </c>
      <c r="F22" s="102">
        <v>220</v>
      </c>
      <c r="H22" s="100">
        <v>31</v>
      </c>
      <c r="I22" s="101">
        <v>30.4</v>
      </c>
      <c r="J22" s="101">
        <v>7.9</v>
      </c>
      <c r="K22" s="102">
        <v>216</v>
      </c>
    </row>
    <row r="23" spans="3:11">
      <c r="C23" s="100">
        <v>32</v>
      </c>
      <c r="D23" s="101">
        <v>29.6</v>
      </c>
      <c r="E23" s="101">
        <v>4.2</v>
      </c>
      <c r="F23" s="102">
        <v>220</v>
      </c>
      <c r="H23" s="100">
        <v>32</v>
      </c>
      <c r="I23" s="101">
        <v>31.4</v>
      </c>
      <c r="J23" s="101">
        <v>6.6</v>
      </c>
      <c r="K23" s="102">
        <v>216</v>
      </c>
    </row>
    <row r="24" spans="3:11">
      <c r="C24" s="100">
        <v>33</v>
      </c>
      <c r="D24" s="101">
        <v>30.6</v>
      </c>
      <c r="E24" s="101">
        <v>2.9</v>
      </c>
      <c r="F24" s="102">
        <v>220</v>
      </c>
      <c r="H24" s="100">
        <v>33</v>
      </c>
      <c r="I24" s="101">
        <v>32.4</v>
      </c>
      <c r="J24" s="101">
        <v>5.3</v>
      </c>
      <c r="K24" s="102">
        <v>216</v>
      </c>
    </row>
    <row r="25" spans="3:11">
      <c r="C25" s="100">
        <v>34</v>
      </c>
      <c r="D25" s="101">
        <v>31.6</v>
      </c>
      <c r="E25" s="101">
        <v>1.4</v>
      </c>
      <c r="F25" s="102">
        <v>220</v>
      </c>
      <c r="H25" s="100">
        <v>34</v>
      </c>
      <c r="I25" s="101">
        <v>33.5</v>
      </c>
      <c r="J25" s="101">
        <v>3.9</v>
      </c>
      <c r="K25" s="102">
        <v>216</v>
      </c>
    </row>
    <row r="26" spans="3:11">
      <c r="C26" s="100">
        <v>35</v>
      </c>
      <c r="D26" s="101">
        <v>32.6</v>
      </c>
      <c r="E26" s="103" t="s">
        <v>206</v>
      </c>
      <c r="F26" s="102">
        <v>221</v>
      </c>
      <c r="H26" s="100">
        <v>35</v>
      </c>
      <c r="I26" s="101">
        <v>34.4</v>
      </c>
      <c r="J26" s="101">
        <v>2.4</v>
      </c>
      <c r="K26" s="102">
        <v>217</v>
      </c>
    </row>
    <row r="27" spans="3:11">
      <c r="C27" s="100">
        <v>36</v>
      </c>
      <c r="D27" s="101">
        <v>33.5</v>
      </c>
      <c r="E27" s="103" t="s">
        <v>207</v>
      </c>
      <c r="F27" s="102">
        <v>221</v>
      </c>
      <c r="H27" s="100">
        <v>36</v>
      </c>
      <c r="I27" s="101">
        <v>35.5</v>
      </c>
      <c r="J27" s="101">
        <v>0.8</v>
      </c>
      <c r="K27" s="102">
        <v>217</v>
      </c>
    </row>
    <row r="28" spans="3:11">
      <c r="C28" s="100">
        <v>37</v>
      </c>
      <c r="D28" s="101">
        <v>34.5</v>
      </c>
      <c r="E28" s="103" t="s">
        <v>208</v>
      </c>
      <c r="F28" s="102">
        <v>221</v>
      </c>
      <c r="H28" s="100">
        <v>37</v>
      </c>
      <c r="I28" s="101">
        <v>36.5</v>
      </c>
      <c r="J28" s="103" t="s">
        <v>239</v>
      </c>
      <c r="K28" s="102">
        <v>217</v>
      </c>
    </row>
    <row r="29" spans="3:11">
      <c r="C29" s="100">
        <v>38</v>
      </c>
      <c r="D29" s="101">
        <v>35.5</v>
      </c>
      <c r="E29" s="103" t="s">
        <v>209</v>
      </c>
      <c r="F29" s="102">
        <v>221</v>
      </c>
      <c r="H29" s="100">
        <v>38</v>
      </c>
      <c r="I29" s="101">
        <v>37.5</v>
      </c>
      <c r="J29" s="103" t="s">
        <v>240</v>
      </c>
      <c r="K29" s="102">
        <v>218</v>
      </c>
    </row>
    <row r="30" spans="3:11">
      <c r="C30" s="100">
        <v>39</v>
      </c>
      <c r="D30" s="101">
        <v>36.5</v>
      </c>
      <c r="E30" s="103" t="s">
        <v>210</v>
      </c>
      <c r="F30" s="102">
        <v>221</v>
      </c>
      <c r="H30" s="100">
        <v>39</v>
      </c>
      <c r="I30" s="101">
        <v>38.5</v>
      </c>
      <c r="J30" s="103" t="s">
        <v>241</v>
      </c>
      <c r="K30" s="102">
        <v>218</v>
      </c>
    </row>
    <row r="31" spans="3:11">
      <c r="C31" s="100">
        <v>40</v>
      </c>
      <c r="D31" s="101">
        <v>37.5</v>
      </c>
      <c r="E31" s="103" t="s">
        <v>211</v>
      </c>
      <c r="F31" s="102">
        <v>222</v>
      </c>
      <c r="H31" s="100">
        <v>40</v>
      </c>
      <c r="I31" s="101">
        <v>39.6</v>
      </c>
      <c r="J31" s="103" t="s">
        <v>242</v>
      </c>
      <c r="K31" s="102">
        <v>219</v>
      </c>
    </row>
    <row r="32" spans="3:11">
      <c r="C32" s="100">
        <v>41</v>
      </c>
      <c r="D32" s="101">
        <v>38.5</v>
      </c>
      <c r="E32" s="103" t="s">
        <v>212</v>
      </c>
      <c r="F32" s="102">
        <v>222</v>
      </c>
      <c r="H32" s="100">
        <v>41</v>
      </c>
      <c r="I32" s="101">
        <v>40.6</v>
      </c>
      <c r="J32" s="103" t="s">
        <v>243</v>
      </c>
      <c r="K32" s="102">
        <v>219</v>
      </c>
    </row>
    <row r="33" spans="3:11">
      <c r="C33" s="100">
        <v>42</v>
      </c>
      <c r="D33" s="101">
        <v>39.5</v>
      </c>
      <c r="E33" s="103" t="s">
        <v>213</v>
      </c>
      <c r="F33" s="102">
        <v>222</v>
      </c>
      <c r="H33" s="100">
        <v>42</v>
      </c>
      <c r="I33" s="101">
        <v>41.6</v>
      </c>
      <c r="J33" s="103" t="s">
        <v>212</v>
      </c>
      <c r="K33" s="102">
        <v>219</v>
      </c>
    </row>
    <row r="34" spans="3:11">
      <c r="C34" s="100">
        <v>43</v>
      </c>
      <c r="D34" s="101">
        <v>40.5</v>
      </c>
      <c r="E34" s="103" t="s">
        <v>214</v>
      </c>
      <c r="F34" s="102">
        <v>223</v>
      </c>
      <c r="H34" s="100">
        <v>43</v>
      </c>
      <c r="I34" s="101">
        <v>42.6</v>
      </c>
      <c r="J34" s="103" t="s">
        <v>244</v>
      </c>
      <c r="K34" s="102">
        <v>219</v>
      </c>
    </row>
    <row r="35" spans="3:11">
      <c r="C35" s="100">
        <v>44</v>
      </c>
      <c r="D35" s="101">
        <v>41.5</v>
      </c>
      <c r="E35" s="103" t="s">
        <v>215</v>
      </c>
      <c r="F35" s="102">
        <v>223</v>
      </c>
      <c r="H35" s="100">
        <v>44</v>
      </c>
      <c r="I35" s="101">
        <v>43.7</v>
      </c>
      <c r="J35" s="103" t="s">
        <v>245</v>
      </c>
      <c r="K35" s="102">
        <v>219</v>
      </c>
    </row>
    <row r="36" spans="3:11">
      <c r="C36" s="100">
        <v>45</v>
      </c>
      <c r="D36" s="101">
        <v>42.5</v>
      </c>
      <c r="E36" s="103" t="s">
        <v>216</v>
      </c>
      <c r="F36" s="102">
        <v>224</v>
      </c>
      <c r="H36" s="100">
        <v>45</v>
      </c>
      <c r="I36" s="101">
        <v>44.7</v>
      </c>
      <c r="J36" s="103" t="s">
        <v>246</v>
      </c>
      <c r="K36" s="102">
        <v>220</v>
      </c>
    </row>
    <row r="37" spans="3:11">
      <c r="C37" s="100">
        <v>46</v>
      </c>
      <c r="D37" s="101">
        <v>43.5</v>
      </c>
      <c r="E37" s="103" t="s">
        <v>217</v>
      </c>
      <c r="F37" s="102">
        <v>224</v>
      </c>
      <c r="H37" s="100">
        <v>46</v>
      </c>
      <c r="I37" s="101">
        <v>45.7</v>
      </c>
      <c r="J37" s="103" t="s">
        <v>247</v>
      </c>
      <c r="K37" s="102">
        <v>220</v>
      </c>
    </row>
    <row r="38" spans="3:11">
      <c r="C38" s="100">
        <v>47</v>
      </c>
      <c r="D38" s="101">
        <v>44.5</v>
      </c>
      <c r="E38" s="103" t="s">
        <v>218</v>
      </c>
      <c r="F38" s="102">
        <v>224</v>
      </c>
      <c r="H38" s="100">
        <v>47</v>
      </c>
      <c r="I38" s="101">
        <v>46.8</v>
      </c>
      <c r="J38" s="103" t="s">
        <v>248</v>
      </c>
      <c r="K38" s="102">
        <v>220</v>
      </c>
    </row>
    <row r="39" spans="3:11">
      <c r="C39" s="100">
        <v>48</v>
      </c>
      <c r="D39" s="101">
        <v>45.5</v>
      </c>
      <c r="E39" s="103" t="s">
        <v>219</v>
      </c>
      <c r="F39" s="102">
        <v>224</v>
      </c>
      <c r="H39" s="100">
        <v>48</v>
      </c>
      <c r="I39" s="101">
        <v>47.8</v>
      </c>
      <c r="J39" s="103" t="s">
        <v>249</v>
      </c>
      <c r="K39" s="102">
        <v>221</v>
      </c>
    </row>
    <row r="40" spans="3:11">
      <c r="C40" s="100">
        <v>49</v>
      </c>
      <c r="D40" s="101">
        <v>46.6</v>
      </c>
      <c r="E40" s="103" t="s">
        <v>220</v>
      </c>
      <c r="F40" s="102">
        <v>224</v>
      </c>
      <c r="H40" s="100">
        <v>49</v>
      </c>
      <c r="I40" s="101">
        <v>48.9</v>
      </c>
      <c r="J40" s="103" t="s">
        <v>250</v>
      </c>
      <c r="K40" s="102">
        <v>221</v>
      </c>
    </row>
    <row r="41" spans="3:11">
      <c r="C41" s="100">
        <v>50</v>
      </c>
      <c r="D41" s="101">
        <v>47.6</v>
      </c>
      <c r="E41" s="103" t="s">
        <v>221</v>
      </c>
      <c r="F41" s="102">
        <v>225</v>
      </c>
      <c r="H41" s="100">
        <v>50</v>
      </c>
      <c r="I41" s="101">
        <v>49.9</v>
      </c>
      <c r="J41" s="103" t="s">
        <v>251</v>
      </c>
      <c r="K41" s="102">
        <v>222</v>
      </c>
    </row>
    <row r="42" spans="3:11">
      <c r="C42" s="100">
        <v>51</v>
      </c>
      <c r="D42" s="101">
        <v>48.6</v>
      </c>
      <c r="E42" s="103" t="s">
        <v>222</v>
      </c>
      <c r="F42" s="102">
        <v>225</v>
      </c>
      <c r="H42" s="100">
        <v>51</v>
      </c>
      <c r="I42" s="101">
        <v>50.9</v>
      </c>
      <c r="J42" s="103" t="s">
        <v>252</v>
      </c>
      <c r="K42" s="102">
        <v>222</v>
      </c>
    </row>
    <row r="43" spans="3:11">
      <c r="C43" s="100">
        <v>52</v>
      </c>
      <c r="D43" s="101">
        <v>49.6</v>
      </c>
      <c r="E43" s="103" t="s">
        <v>223</v>
      </c>
      <c r="F43" s="102">
        <v>225</v>
      </c>
      <c r="H43" s="100">
        <v>52</v>
      </c>
      <c r="I43" s="101">
        <v>51.9</v>
      </c>
      <c r="J43" s="103" t="s">
        <v>253</v>
      </c>
      <c r="K43" s="102">
        <v>222</v>
      </c>
    </row>
    <row r="44" spans="3:11">
      <c r="C44" s="100">
        <v>53</v>
      </c>
      <c r="D44" s="101">
        <v>50.6</v>
      </c>
      <c r="E44" s="103" t="s">
        <v>224</v>
      </c>
      <c r="F44" s="102">
        <v>226</v>
      </c>
      <c r="H44" s="100">
        <v>53</v>
      </c>
      <c r="I44" s="101">
        <v>53</v>
      </c>
      <c r="J44" s="103" t="s">
        <v>254</v>
      </c>
      <c r="K44" s="102">
        <v>223</v>
      </c>
    </row>
    <row r="45" spans="3:11">
      <c r="C45" s="100">
        <v>54</v>
      </c>
      <c r="D45" s="101">
        <v>51.6</v>
      </c>
      <c r="E45" s="103" t="s">
        <v>225</v>
      </c>
      <c r="F45" s="102">
        <v>226</v>
      </c>
      <c r="H45" s="100">
        <v>54</v>
      </c>
      <c r="I45" s="101">
        <v>54</v>
      </c>
      <c r="J45" s="103" t="s">
        <v>255</v>
      </c>
      <c r="K45" s="102">
        <v>223</v>
      </c>
    </row>
    <row r="46" spans="3:11">
      <c r="C46" s="100">
        <v>55</v>
      </c>
      <c r="D46" s="101">
        <v>52.7</v>
      </c>
      <c r="E46" s="103" t="s">
        <v>226</v>
      </c>
      <c r="F46" s="102">
        <v>227</v>
      </c>
      <c r="H46" s="100">
        <v>55</v>
      </c>
      <c r="I46" s="101">
        <v>55</v>
      </c>
      <c r="J46" s="103" t="s">
        <v>256</v>
      </c>
      <c r="K46" s="102">
        <v>223</v>
      </c>
    </row>
    <row r="47" spans="3:11">
      <c r="C47" s="100">
        <v>56</v>
      </c>
      <c r="D47" s="101">
        <v>53.7</v>
      </c>
      <c r="E47" s="103" t="s">
        <v>227</v>
      </c>
      <c r="F47" s="102">
        <v>227</v>
      </c>
      <c r="H47" s="100">
        <v>56</v>
      </c>
      <c r="I47" s="101">
        <v>56</v>
      </c>
      <c r="J47" s="103" t="s">
        <v>257</v>
      </c>
      <c r="K47" s="102">
        <v>223</v>
      </c>
    </row>
    <row r="48" spans="3:11">
      <c r="C48" s="100">
        <v>57</v>
      </c>
      <c r="D48" s="101">
        <v>54.7</v>
      </c>
      <c r="E48" s="103" t="s">
        <v>228</v>
      </c>
      <c r="F48" s="102">
        <v>228</v>
      </c>
      <c r="H48" s="100">
        <v>57</v>
      </c>
      <c r="I48" s="101">
        <v>57</v>
      </c>
      <c r="J48" s="103" t="s">
        <v>258</v>
      </c>
      <c r="K48" s="102">
        <v>224</v>
      </c>
    </row>
    <row r="49" spans="3:11">
      <c r="C49" s="100">
        <v>58</v>
      </c>
      <c r="D49" s="101">
        <v>55.7</v>
      </c>
      <c r="E49" s="103" t="s">
        <v>229</v>
      </c>
      <c r="F49" s="102">
        <v>228</v>
      </c>
      <c r="H49" s="100">
        <v>58</v>
      </c>
      <c r="I49" s="101">
        <v>58</v>
      </c>
      <c r="J49" s="103" t="s">
        <v>230</v>
      </c>
      <c r="K49" s="102">
        <v>224</v>
      </c>
    </row>
    <row r="50" spans="3:11">
      <c r="C50" s="100">
        <v>59</v>
      </c>
      <c r="D50" s="101">
        <v>56.8</v>
      </c>
      <c r="E50" s="103" t="s">
        <v>230</v>
      </c>
      <c r="F50" s="102">
        <v>229</v>
      </c>
      <c r="H50" s="100">
        <v>59</v>
      </c>
      <c r="I50" s="101">
        <v>59</v>
      </c>
      <c r="J50" s="103" t="s">
        <v>259</v>
      </c>
      <c r="K50" s="102">
        <v>224</v>
      </c>
    </row>
    <row r="51" spans="3:11">
      <c r="C51" s="100">
        <v>60</v>
      </c>
      <c r="D51" s="101">
        <v>57.8</v>
      </c>
      <c r="E51" s="103" t="s">
        <v>231</v>
      </c>
      <c r="F51" s="102">
        <v>230</v>
      </c>
      <c r="H51" s="100">
        <v>60</v>
      </c>
      <c r="I51" s="101">
        <v>60</v>
      </c>
      <c r="J51" s="103" t="s">
        <v>260</v>
      </c>
      <c r="K51" s="102">
        <v>225</v>
      </c>
    </row>
    <row r="52" spans="3:11">
      <c r="C52" s="100">
        <v>65</v>
      </c>
      <c r="D52" s="101">
        <v>62.8</v>
      </c>
      <c r="E52" s="103" t="s">
        <v>232</v>
      </c>
      <c r="F52" s="102">
        <v>235</v>
      </c>
      <c r="H52" s="100">
        <v>65</v>
      </c>
      <c r="I52" s="101">
        <v>65</v>
      </c>
      <c r="J52" s="103" t="s">
        <v>232</v>
      </c>
      <c r="K52" s="102">
        <v>227</v>
      </c>
    </row>
    <row r="53" spans="3:11">
      <c r="C53" s="100">
        <v>70</v>
      </c>
      <c r="D53" s="101">
        <v>68.3</v>
      </c>
      <c r="E53" s="103" t="s">
        <v>232</v>
      </c>
      <c r="F53" s="102">
        <v>242</v>
      </c>
      <c r="H53" s="100">
        <v>70</v>
      </c>
      <c r="I53" s="101">
        <v>70</v>
      </c>
      <c r="J53" s="103" t="s">
        <v>232</v>
      </c>
      <c r="K53" s="102">
        <v>230</v>
      </c>
    </row>
    <row r="54" spans="3:11">
      <c r="C54" s="100">
        <v>75</v>
      </c>
      <c r="D54" s="101">
        <v>73.599999999999994</v>
      </c>
      <c r="E54" s="103" t="s">
        <v>232</v>
      </c>
      <c r="F54" s="102">
        <v>248</v>
      </c>
      <c r="H54" s="100">
        <v>75</v>
      </c>
      <c r="I54" s="101">
        <v>75</v>
      </c>
      <c r="J54" s="103" t="s">
        <v>232</v>
      </c>
      <c r="K54" s="102">
        <v>237</v>
      </c>
    </row>
    <row r="55" spans="3:11">
      <c r="C55" s="100">
        <v>80</v>
      </c>
      <c r="D55" s="101">
        <v>78.900000000000006</v>
      </c>
      <c r="E55" s="103" t="s">
        <v>233</v>
      </c>
      <c r="F55" s="102">
        <v>255</v>
      </c>
      <c r="H55" s="100">
        <v>80</v>
      </c>
      <c r="I55" s="101">
        <v>80</v>
      </c>
      <c r="J55" s="103" t="s">
        <v>232</v>
      </c>
      <c r="K55" s="102">
        <v>245</v>
      </c>
    </row>
    <row r="56" spans="3:11">
      <c r="C56" s="100">
        <v>85</v>
      </c>
      <c r="D56" s="101">
        <v>84.3</v>
      </c>
      <c r="E56" s="103" t="s">
        <v>234</v>
      </c>
      <c r="F56" s="102">
        <v>273</v>
      </c>
      <c r="H56" s="100">
        <v>85</v>
      </c>
      <c r="I56" s="101">
        <v>85</v>
      </c>
      <c r="J56" s="103" t="s">
        <v>232</v>
      </c>
      <c r="K56" s="102">
        <v>257</v>
      </c>
    </row>
    <row r="57" spans="3:11">
      <c r="C57" s="100">
        <v>90</v>
      </c>
      <c r="D57" s="101">
        <v>89.7</v>
      </c>
      <c r="E57" s="103" t="s">
        <v>218</v>
      </c>
      <c r="F57" s="102">
        <v>285</v>
      </c>
      <c r="H57" s="100">
        <v>90</v>
      </c>
      <c r="I57" s="101">
        <v>90</v>
      </c>
      <c r="J57" s="103" t="s">
        <v>232</v>
      </c>
      <c r="K57" s="102">
        <v>270</v>
      </c>
    </row>
    <row r="58" spans="3:11">
      <c r="C58" s="104">
        <v>95</v>
      </c>
      <c r="D58" s="105">
        <v>95</v>
      </c>
      <c r="E58" s="106" t="s">
        <v>208</v>
      </c>
      <c r="F58" s="107">
        <v>317</v>
      </c>
      <c r="H58" s="104">
        <v>95</v>
      </c>
      <c r="I58" s="105">
        <v>95</v>
      </c>
      <c r="J58" s="106" t="s">
        <v>232</v>
      </c>
      <c r="K58" s="107">
        <v>310</v>
      </c>
    </row>
  </sheetData>
  <mergeCells count="4">
    <mergeCell ref="C3:F4"/>
    <mergeCell ref="C5:F5"/>
    <mergeCell ref="H3:K4"/>
    <mergeCell ref="H5:K5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ACCA Array Rating</vt:lpstr>
      <vt:lpstr>ACCA Primary Unit Rating</vt:lpstr>
      <vt:lpstr>ACCA Secondary Unit Rating</vt:lpstr>
      <vt:lpstr>FWCD Array Rating</vt:lpstr>
      <vt:lpstr>FWCD Primary Unit Rating</vt:lpstr>
      <vt:lpstr>FWCD Secondary Unit Rating </vt:lpstr>
      <vt:lpstr>Air-Water Heat Pump (Cooling)</vt:lpstr>
      <vt:lpstr>Air-Water Heat Pump (Heating)</vt:lpstr>
      <vt:lpstr>Look Up Tables</vt:lpstr>
      <vt:lpstr>Glycol Lookup Tables</vt:lpstr>
      <vt:lpstr>FreezePoint__EG</vt:lpstr>
      <vt:lpstr>FreezePoint_PG</vt:lpstr>
      <vt:lpstr>Percent_EG</vt:lpstr>
      <vt:lpstr>Percent_PG</vt:lpstr>
      <vt:lpstr>'ACCA Array Rating'!Print_Area</vt:lpstr>
      <vt:lpstr>'ACCA Primary Unit Rating'!Print_Area</vt:lpstr>
      <vt:lpstr>'ACCA Secondary Unit Rating'!Print_Area</vt:lpstr>
      <vt:lpstr>'Air-Water Heat Pump (Cooling)'!Print_Area</vt:lpstr>
      <vt:lpstr>'Air-Water Heat Pump (Heating)'!Print_Area</vt:lpstr>
      <vt:lpstr>'FWCD Array Rating'!Print_Area</vt:lpstr>
      <vt:lpstr>'FWCD Primary Unit Rating'!Print_Area</vt:lpstr>
      <vt:lpstr>'FWCD Secondary Unit Rating 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Neale</dc:creator>
  <cp:lastModifiedBy>Ancel Carson</cp:lastModifiedBy>
  <cp:lastPrinted>2020-09-11T13:08:42Z</cp:lastPrinted>
  <dcterms:created xsi:type="dcterms:W3CDTF">2020-08-06T21:02:48Z</dcterms:created>
  <dcterms:modified xsi:type="dcterms:W3CDTF">2020-11-18T20:10:51Z</dcterms:modified>
</cp:coreProperties>
</file>