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CODing\ORION\doc\"/>
    </mc:Choice>
  </mc:AlternateContent>
  <bookViews>
    <workbookView xWindow="480" yWindow="1185" windowWidth="18195" windowHeight="10170"/>
  </bookViews>
  <sheets>
    <sheet name="торосверическое донышко" sheetId="5" r:id="rId1"/>
    <sheet name="Вариант1" sheetId="1" r:id="rId2"/>
    <sheet name="Лист2" sheetId="2" r:id="rId3"/>
    <sheet name="Лист3" sheetId="3" r:id="rId4"/>
  </sheets>
  <externalReferences>
    <externalReference r:id="rId5"/>
  </externalReferences>
  <definedNames>
    <definedName name="Материал">[1]Лист2!$A$2:$A$3</definedName>
    <definedName name="_xlnm.Print_Area" localSheetId="1">Вариант1!$A$1:$Z$32</definedName>
  </definedNames>
  <calcPr calcId="152511"/>
</workbook>
</file>

<file path=xl/calcChain.xml><?xml version="1.0" encoding="utf-8"?>
<calcChain xmlns="http://schemas.openxmlformats.org/spreadsheetml/2006/main">
  <c r="E28" i="5" l="1"/>
  <c r="B39" i="5" s="1"/>
  <c r="B22" i="5"/>
  <c r="B20" i="5"/>
  <c r="B23" i="5" s="1"/>
  <c r="A24" i="5" s="1"/>
  <c r="E13" i="5"/>
  <c r="E8" i="5"/>
  <c r="E3" i="5"/>
  <c r="B41" i="5" s="1"/>
  <c r="A44" i="5" s="1"/>
  <c r="B47" i="5" l="1"/>
  <c r="B12" i="5"/>
  <c r="B11" i="5"/>
  <c r="C11" i="5" s="1"/>
  <c r="B34" i="5"/>
  <c r="B49" i="5"/>
  <c r="B43" i="5"/>
  <c r="B50" i="5"/>
  <c r="A51" i="5" s="1"/>
  <c r="S39" i="1"/>
  <c r="B14" i="5" l="1"/>
  <c r="D40" i="5"/>
  <c r="B18" i="5" l="1"/>
  <c r="B32" i="5"/>
  <c r="A35" i="5" s="1"/>
  <c r="S88" i="1" l="1"/>
  <c r="W84" i="1" l="1"/>
  <c r="X84" i="1" s="1"/>
  <c r="S87" i="1" l="1"/>
  <c r="S86" i="1"/>
  <c r="T82" i="1" l="1"/>
  <c r="K23" i="1"/>
  <c r="U69" i="1"/>
  <c r="C15" i="3" l="1"/>
  <c r="C12" i="3"/>
  <c r="H58" i="1" l="1"/>
  <c r="I57" i="1" s="1"/>
  <c r="E57" i="1" l="1"/>
  <c r="I56" i="1"/>
  <c r="I5" i="1"/>
  <c r="E56" i="1" l="1"/>
  <c r="I55" i="1"/>
  <c r="Q10" i="1"/>
  <c r="L21" i="1" s="1"/>
  <c r="X10" i="1"/>
  <c r="E55" i="1" l="1"/>
  <c r="I54" i="1"/>
  <c r="W13" i="1"/>
  <c r="E54" i="1" l="1"/>
  <c r="B6" i="1"/>
  <c r="J5" i="1" l="1"/>
  <c r="J6" i="1" l="1"/>
  <c r="O16" i="1" l="1"/>
  <c r="V16" i="1"/>
  <c r="S80" i="1" s="1"/>
  <c r="T81" i="1" s="1"/>
  <c r="V19" i="1" l="1"/>
  <c r="L32" i="2" l="1"/>
  <c r="L31" i="2"/>
  <c r="V15" i="1" l="1"/>
  <c r="U73" i="1" s="1"/>
  <c r="S55" i="1" l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V21" i="1" l="1"/>
  <c r="U71" i="1" s="1"/>
  <c r="L30" i="2"/>
  <c r="L36" i="2"/>
  <c r="L35" i="2"/>
  <c r="L34" i="2"/>
  <c r="L33" i="2"/>
  <c r="L29" i="2"/>
  <c r="L28" i="2"/>
  <c r="L27" i="2"/>
  <c r="L25" i="2"/>
  <c r="L26" i="2"/>
  <c r="X21" i="1" l="1"/>
  <c r="X22" i="1" s="1"/>
  <c r="S43" i="1"/>
  <c r="S44" i="1" s="1"/>
  <c r="Q60" i="1"/>
  <c r="V27" i="1"/>
  <c r="D26" i="2"/>
  <c r="F14" i="2"/>
  <c r="F15" i="2"/>
  <c r="D25" i="2"/>
  <c r="J140" i="2"/>
  <c r="J139" i="2"/>
  <c r="D139" i="2"/>
  <c r="I131" i="2"/>
  <c r="F122" i="2"/>
  <c r="I128" i="2" s="1"/>
  <c r="K119" i="2"/>
  <c r="K118" i="2"/>
  <c r="K117" i="2"/>
  <c r="I134" i="2" s="1"/>
  <c r="K116" i="2"/>
  <c r="K115" i="2"/>
  <c r="I129" i="2" s="1"/>
  <c r="M112" i="2"/>
  <c r="L112" i="2"/>
  <c r="K112" i="2"/>
  <c r="J112" i="2"/>
  <c r="I112" i="2"/>
  <c r="M105" i="2"/>
  <c r="J105" i="2"/>
  <c r="M104" i="2"/>
  <c r="J104" i="2"/>
  <c r="M103" i="2"/>
  <c r="J103" i="2"/>
  <c r="M102" i="2"/>
  <c r="J102" i="2"/>
  <c r="M101" i="2"/>
  <c r="J101" i="2"/>
  <c r="M100" i="2"/>
  <c r="J100" i="2"/>
  <c r="M99" i="2"/>
  <c r="J99" i="2"/>
  <c r="K96" i="2"/>
  <c r="M96" i="2" s="1"/>
  <c r="I96" i="2"/>
  <c r="J96" i="2" s="1"/>
  <c r="G96" i="2"/>
  <c r="K95" i="2"/>
  <c r="M95" i="2" s="1"/>
  <c r="I95" i="2"/>
  <c r="J95" i="2" s="1"/>
  <c r="G95" i="2"/>
  <c r="M92" i="2"/>
  <c r="I92" i="2"/>
  <c r="J92" i="2" s="1"/>
  <c r="M91" i="2"/>
  <c r="I91" i="2"/>
  <c r="J91" i="2" s="1"/>
  <c r="I90" i="2"/>
  <c r="J90" i="2" s="1"/>
  <c r="M90" i="2" s="1"/>
  <c r="I89" i="2"/>
  <c r="J89" i="2" s="1"/>
  <c r="M89" i="2" s="1"/>
  <c r="L83" i="2"/>
  <c r="J83" i="2"/>
  <c r="L82" i="2"/>
  <c r="J82" i="2"/>
  <c r="L81" i="2"/>
  <c r="J81" i="2"/>
  <c r="L80" i="2"/>
  <c r="J80" i="2"/>
  <c r="L79" i="2"/>
  <c r="J79" i="2"/>
  <c r="L78" i="2"/>
  <c r="J78" i="2"/>
  <c r="L77" i="2"/>
  <c r="J77" i="2"/>
  <c r="J85" i="2" s="1"/>
  <c r="L71" i="2"/>
  <c r="J71" i="2"/>
  <c r="L70" i="2"/>
  <c r="J70" i="2"/>
  <c r="L69" i="2"/>
  <c r="J69" i="2"/>
  <c r="L68" i="2"/>
  <c r="J68" i="2"/>
  <c r="L67" i="2"/>
  <c r="J67" i="2"/>
  <c r="L66" i="2"/>
  <c r="J66" i="2"/>
  <c r="L65" i="2"/>
  <c r="J65" i="2"/>
  <c r="M58" i="2"/>
  <c r="J58" i="2"/>
  <c r="M57" i="2"/>
  <c r="J57" i="2"/>
  <c r="M56" i="2"/>
  <c r="J56" i="2"/>
  <c r="M55" i="2"/>
  <c r="J55" i="2"/>
  <c r="M54" i="2"/>
  <c r="J54" i="2"/>
  <c r="M53" i="2"/>
  <c r="J53" i="2"/>
  <c r="M52" i="2"/>
  <c r="J52" i="2"/>
  <c r="M51" i="2"/>
  <c r="J51" i="2"/>
  <c r="M50" i="2"/>
  <c r="J50" i="2"/>
  <c r="M49" i="2"/>
  <c r="J49" i="2"/>
  <c r="M48" i="2"/>
  <c r="J48" i="2"/>
  <c r="M47" i="2"/>
  <c r="J47" i="2"/>
  <c r="M46" i="2"/>
  <c r="J46" i="2"/>
  <c r="M45" i="2"/>
  <c r="J45" i="2"/>
  <c r="M44" i="2"/>
  <c r="J44" i="2"/>
  <c r="M43" i="2"/>
  <c r="J43" i="2"/>
  <c r="M42" i="2"/>
  <c r="J42" i="2"/>
  <c r="J60" i="2" s="1"/>
  <c r="M36" i="2"/>
  <c r="I36" i="2"/>
  <c r="J36" i="2" s="1"/>
  <c r="M35" i="2"/>
  <c r="I35" i="2"/>
  <c r="J35" i="2" s="1"/>
  <c r="M34" i="2"/>
  <c r="I34" i="2"/>
  <c r="J34" i="2" s="1"/>
  <c r="I33" i="2"/>
  <c r="J33" i="2" s="1"/>
  <c r="M33" i="2" s="1"/>
  <c r="I32" i="2"/>
  <c r="J32" i="2" s="1"/>
  <c r="M32" i="2" s="1"/>
  <c r="I31" i="2"/>
  <c r="J31" i="2" s="1"/>
  <c r="M31" i="2" s="1"/>
  <c r="I30" i="2"/>
  <c r="J30" i="2" s="1"/>
  <c r="M30" i="2" s="1"/>
  <c r="I29" i="2"/>
  <c r="J29" i="2" s="1"/>
  <c r="M29" i="2" s="1"/>
  <c r="I28" i="2"/>
  <c r="J28" i="2" s="1"/>
  <c r="M28" i="2" s="1"/>
  <c r="F18" i="2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L85" i="2" l="1"/>
  <c r="I132" i="2" s="1"/>
  <c r="J73" i="2"/>
  <c r="S45" i="1"/>
  <c r="S46" i="1"/>
  <c r="U60" i="1"/>
  <c r="M61" i="2"/>
  <c r="I127" i="2" s="1"/>
  <c r="L73" i="2"/>
  <c r="I135" i="2" s="1"/>
  <c r="J107" i="2"/>
  <c r="I130" i="2"/>
  <c r="M107" i="2"/>
  <c r="I133" i="2" s="1"/>
  <c r="AH13" i="1"/>
  <c r="AH14" i="1"/>
  <c r="AG14" i="1"/>
  <c r="AG13" i="1"/>
  <c r="AH6" i="1" l="1"/>
  <c r="AG6" i="1" l="1"/>
  <c r="AG10" i="1"/>
  <c r="Q5" i="1" l="1"/>
  <c r="X5" i="1"/>
  <c r="P13" i="1"/>
  <c r="O15" i="1" s="1"/>
  <c r="U31" i="1"/>
  <c r="O19" i="1"/>
  <c r="H19" i="1"/>
  <c r="D19" i="1" s="1"/>
  <c r="H18" i="1"/>
  <c r="D18" i="1" s="1"/>
  <c r="H17" i="1"/>
  <c r="D17" i="1" s="1"/>
  <c r="H16" i="1"/>
  <c r="D16" i="1" s="1"/>
  <c r="H15" i="1"/>
  <c r="D15" i="1" s="1"/>
  <c r="H14" i="1"/>
  <c r="D14" i="1" s="1"/>
  <c r="H13" i="1"/>
  <c r="D13" i="1" s="1"/>
  <c r="D33" i="1"/>
  <c r="C33" i="1"/>
  <c r="C15" i="1"/>
  <c r="K17" i="1"/>
  <c r="K18" i="1"/>
  <c r="K19" i="1"/>
  <c r="K16" i="1"/>
  <c r="K15" i="1"/>
  <c r="K14" i="1"/>
  <c r="K13" i="1"/>
  <c r="K12" i="1"/>
  <c r="K11" i="1"/>
  <c r="K10" i="1"/>
  <c r="K9" i="1"/>
  <c r="K7" i="1"/>
  <c r="K6" i="1"/>
  <c r="K5" i="1"/>
  <c r="AE25" i="1"/>
  <c r="AC23" i="1"/>
  <c r="AC25" i="1"/>
  <c r="AF23" i="1"/>
  <c r="AE23" i="1"/>
  <c r="U72" i="1" l="1"/>
  <c r="U74" i="1" s="1"/>
  <c r="B35" i="1"/>
  <c r="P15" i="1"/>
  <c r="J14" i="2"/>
  <c r="F16" i="2"/>
  <c r="W15" i="1"/>
  <c r="Z15" i="1"/>
  <c r="V17" i="1"/>
  <c r="V18" i="1" s="1"/>
  <c r="Z6" i="1" s="1"/>
  <c r="Z7" i="1" s="1"/>
  <c r="W8" i="1" s="1"/>
  <c r="AD23" i="1"/>
  <c r="AH4" i="1"/>
  <c r="AH9" i="1" s="1"/>
  <c r="AH7" i="1"/>
  <c r="AH3" i="1" s="1"/>
  <c r="P5" i="1" s="1"/>
  <c r="Q6" i="1" s="1"/>
  <c r="AG7" i="1"/>
  <c r="AG3" i="1" s="1"/>
  <c r="W5" i="1" s="1"/>
  <c r="X6" i="1" s="1"/>
  <c r="AG4" i="1"/>
  <c r="AG9" i="1" s="1"/>
  <c r="AF25" i="1"/>
  <c r="V22" i="1"/>
  <c r="H17" i="2" s="1"/>
  <c r="F17" i="2" s="1"/>
  <c r="L5" i="1"/>
  <c r="L19" i="1"/>
  <c r="L18" i="1"/>
  <c r="L17" i="1"/>
  <c r="L16" i="1"/>
  <c r="L15" i="1"/>
  <c r="L14" i="1"/>
  <c r="L13" i="1"/>
  <c r="L12" i="1"/>
  <c r="L11" i="1"/>
  <c r="L10" i="1"/>
  <c r="L9" i="1"/>
  <c r="L7" i="1"/>
  <c r="L6" i="1"/>
  <c r="AD25" i="1"/>
  <c r="O17" i="1" l="1"/>
  <c r="O18" i="1" s="1"/>
  <c r="S6" i="1" s="1"/>
  <c r="S7" i="1" s="1"/>
  <c r="P8" i="1" s="1"/>
  <c r="Q62" i="1" s="1"/>
  <c r="O25" i="2"/>
  <c r="H25" i="2" s="1"/>
  <c r="Q61" i="1"/>
  <c r="U61" i="1" s="1"/>
  <c r="E25" i="2"/>
  <c r="I25" i="2" s="1"/>
  <c r="Y5" i="1"/>
  <c r="H11" i="1"/>
  <c r="D11" i="1" s="1"/>
  <c r="H12" i="1"/>
  <c r="D12" i="1" s="1"/>
  <c r="H10" i="1"/>
  <c r="D10" i="1" s="1"/>
  <c r="H8" i="1"/>
  <c r="K8" i="1"/>
  <c r="R5" i="1"/>
  <c r="H9" i="1"/>
  <c r="D9" i="1" s="1"/>
  <c r="H7" i="1"/>
  <c r="D7" i="1" s="1"/>
  <c r="H6" i="1"/>
  <c r="D6" i="1" s="1"/>
  <c r="H5" i="1"/>
  <c r="D5" i="1" s="1"/>
  <c r="V25" i="1"/>
  <c r="F13" i="2" s="1"/>
  <c r="V26" i="1"/>
  <c r="V24" i="1" s="1"/>
  <c r="J13" i="2" s="1"/>
  <c r="C9" i="1"/>
  <c r="C19" i="1"/>
  <c r="C18" i="1"/>
  <c r="C17" i="1"/>
  <c r="C16" i="1"/>
  <c r="C14" i="1"/>
  <c r="C13" i="1"/>
  <c r="C12" i="1"/>
  <c r="C11" i="1"/>
  <c r="C10" i="1"/>
  <c r="C7" i="1"/>
  <c r="C6" i="1"/>
  <c r="C5" i="1"/>
  <c r="V29" i="1"/>
  <c r="Q63" i="1" l="1"/>
  <c r="U63" i="1" s="1"/>
  <c r="Q66" i="1" s="1"/>
  <c r="S90" i="1" s="1"/>
  <c r="U62" i="1"/>
  <c r="S51" i="1"/>
  <c r="S53" i="1" s="1"/>
  <c r="E26" i="2"/>
  <c r="I26" i="2" s="1"/>
  <c r="O26" i="2"/>
  <c r="H26" i="2" s="1"/>
  <c r="J25" i="2"/>
  <c r="S5" i="1"/>
  <c r="Z5" i="1"/>
  <c r="V31" i="1"/>
  <c r="V23" i="1"/>
  <c r="C23" i="1"/>
  <c r="D23" i="1"/>
  <c r="V32" i="1" l="1"/>
  <c r="S91" i="1"/>
  <c r="J26" i="2"/>
  <c r="M26" i="2" s="1"/>
  <c r="M25" i="2"/>
  <c r="F21" i="1"/>
  <c r="I27" i="2" l="1"/>
  <c r="J27" i="2" s="1"/>
  <c r="J37" i="2" l="1"/>
  <c r="F19" i="2" s="1"/>
  <c r="M27" i="2"/>
  <c r="M38" i="2" s="1"/>
  <c r="I126" i="2" s="1"/>
  <c r="M130" i="2" s="1"/>
  <c r="M127" i="2" l="1"/>
  <c r="M126" i="2"/>
  <c r="I137" i="2"/>
  <c r="M128" i="2"/>
  <c r="M129" i="2"/>
  <c r="M131" i="2"/>
  <c r="M132" i="2"/>
</calcChain>
</file>

<file path=xl/comments1.xml><?xml version="1.0" encoding="utf-8"?>
<comments xmlns="http://schemas.openxmlformats.org/spreadsheetml/2006/main">
  <authors>
    <author>Ruslan Chumak</author>
    <author>Руслан</author>
    <author>Admin</author>
    <author>руслан</author>
  </authors>
  <commentList>
    <comment ref="O2" authorId="0" shapeId="0">
      <text>
        <r>
          <rPr>
            <b/>
            <sz val="9"/>
            <color indexed="81"/>
            <rFont val="Tahoma"/>
            <family val="2"/>
            <charset val="204"/>
          </rPr>
          <t>Ruslan Chumak:</t>
        </r>
        <r>
          <rPr>
            <sz val="9"/>
            <color indexed="81"/>
            <rFont val="Tahoma"/>
            <family val="2"/>
            <charset val="204"/>
          </rPr>
          <t xml:space="preserve">
1 - соответствие 0,3
3- соответствие с солидом (1)</t>
        </r>
      </text>
    </comment>
    <comment ref="I4" authorId="1" shapeId="0">
      <text>
        <r>
          <rPr>
            <b/>
            <sz val="8"/>
            <color indexed="81"/>
            <rFont val="Tahoma"/>
            <family val="2"/>
            <charset val="204"/>
          </rPr>
          <t>Внутреннее Рмах.  до деформации</t>
        </r>
        <r>
          <rPr>
            <sz val="8"/>
            <color indexed="81"/>
            <rFont val="Tahoma"/>
            <family val="2"/>
            <charset val="204"/>
          </rPr>
          <t xml:space="preserve">
ГОСТ 14249-89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  <charset val="204"/>
          </rPr>
          <t>Внутренние Рмах.  разрушения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  <charset val="204"/>
          </rPr>
          <t>наружное  Рмах.  До дефомации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  <charset val="204"/>
          </rPr>
          <t>Внутреннее Рмах.  до деформации</t>
        </r>
        <r>
          <rPr>
            <sz val="8"/>
            <color indexed="81"/>
            <rFont val="Tahoma"/>
            <family val="2"/>
            <charset val="204"/>
          </rPr>
          <t xml:space="preserve">
&gt;90 гр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  <charset val="204"/>
          </rPr>
          <t>Внутреннее Рмах.  до деформации
&gt;90 гр</t>
        </r>
      </text>
    </comment>
    <comment ref="S4" authorId="1" shapeId="0">
      <text>
        <r>
          <rPr>
            <b/>
            <sz val="8"/>
            <color indexed="81"/>
            <rFont val="Tahoma"/>
            <family val="2"/>
            <charset val="204"/>
          </rPr>
          <t>наружное  Рмах.  До дефомации</t>
        </r>
      </text>
    </comment>
    <comment ref="W4" authorId="1" shapeId="0">
      <text>
        <r>
          <rPr>
            <b/>
            <sz val="8"/>
            <color indexed="81"/>
            <rFont val="Tahoma"/>
            <family val="2"/>
            <charset val="204"/>
          </rPr>
          <t>Внутреннее Рмах.  до деформации</t>
        </r>
        <r>
          <rPr>
            <sz val="8"/>
            <color indexed="81"/>
            <rFont val="Tahoma"/>
            <family val="2"/>
            <charset val="204"/>
          </rPr>
          <t xml:space="preserve">
&gt;90 гр</t>
        </r>
      </text>
    </comment>
    <comment ref="X4" authorId="1" shapeId="0">
      <text>
        <r>
          <rPr>
            <b/>
            <sz val="8"/>
            <color indexed="81"/>
            <rFont val="Tahoma"/>
            <family val="2"/>
            <charset val="204"/>
          </rPr>
          <t>Внутреннее Рмах.  до деформации
&gt;90 гр</t>
        </r>
      </text>
    </comment>
    <comment ref="Z4" authorId="1" shapeId="0">
      <text>
        <r>
          <rPr>
            <b/>
            <sz val="8"/>
            <color indexed="81"/>
            <rFont val="Tahoma"/>
            <family val="2"/>
            <charset val="204"/>
          </rPr>
          <t>наружное  Рмах.  До дефомации</t>
        </r>
      </text>
    </comment>
    <comment ref="AG5" authorId="1" shapeId="0">
      <text>
        <r>
          <rPr>
            <b/>
            <sz val="8"/>
            <color indexed="81"/>
            <rFont val="Tahoma"/>
            <family val="2"/>
            <charset val="204"/>
          </rPr>
          <t>Растояние расчета нагрузки на конусе</t>
        </r>
      </text>
    </comment>
    <comment ref="AH5" authorId="1" shapeId="0">
      <text>
        <r>
          <rPr>
            <b/>
            <sz val="8"/>
            <color indexed="81"/>
            <rFont val="Tahoma"/>
            <family val="2"/>
            <charset val="204"/>
          </rPr>
          <t>Растояние расчета нагрузки на конусе</t>
        </r>
      </text>
    </comment>
    <comment ref="B6" authorId="1" shapeId="0">
      <text>
        <r>
          <rPr>
            <b/>
            <sz val="8"/>
            <color indexed="81"/>
            <rFont val="Tahoma"/>
            <family val="2"/>
            <charset val="204"/>
          </rPr>
          <t>Длина окружности</t>
        </r>
      </text>
    </comment>
    <comment ref="Q6" authorId="0" shapeId="0">
      <text>
        <r>
          <rPr>
            <b/>
            <sz val="8"/>
            <color indexed="81"/>
            <rFont val="Tahoma"/>
            <family val="2"/>
            <charset val="204"/>
          </rPr>
          <t>Запас прочности &lt;1 -плохо</t>
        </r>
      </text>
    </comment>
    <comment ref="S6" authorId="1" shapeId="0">
      <text>
        <r>
          <rPr>
            <b/>
            <sz val="8"/>
            <color indexed="81"/>
            <rFont val="Tahoma"/>
            <family val="2"/>
            <charset val="204"/>
          </rPr>
          <t>Струлка В</t>
        </r>
      </text>
    </comment>
    <comment ref="X6" authorId="0" shapeId="0">
      <text>
        <r>
          <rPr>
            <b/>
            <sz val="8"/>
            <color indexed="81"/>
            <rFont val="Tahoma"/>
            <family val="2"/>
            <charset val="204"/>
          </rPr>
          <t>Запас прочности &lt;1 -плохо</t>
        </r>
      </text>
    </comment>
    <comment ref="Z6" authorId="1" shapeId="0">
      <text>
        <r>
          <rPr>
            <b/>
            <sz val="8"/>
            <color indexed="81"/>
            <rFont val="Tahoma"/>
            <family val="2"/>
            <charset val="204"/>
          </rPr>
          <t>Струлка В</t>
        </r>
      </text>
    </comment>
    <comment ref="S7" authorId="1" shapeId="0">
      <text>
        <r>
          <rPr>
            <b/>
            <sz val="8"/>
            <color indexed="81"/>
            <rFont val="Tahoma"/>
            <family val="2"/>
            <charset val="204"/>
          </rPr>
          <t>S Разверки конуса м2</t>
        </r>
      </text>
    </comment>
    <comment ref="Z7" authorId="1" shapeId="0">
      <text>
        <r>
          <rPr>
            <b/>
            <sz val="8"/>
            <color indexed="81"/>
            <rFont val="Tahoma"/>
            <family val="2"/>
            <charset val="204"/>
          </rPr>
          <t>S Разверки конуса м2</t>
        </r>
      </text>
    </comment>
    <comment ref="M9" authorId="1" shapeId="0">
      <text>
        <r>
          <rPr>
            <b/>
            <sz val="8"/>
            <color indexed="81"/>
            <rFont val="Tahoma"/>
            <family val="2"/>
            <charset val="204"/>
          </rPr>
          <t>Диаметр внутренний, конуса (для расч.  более точного V)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Q10" authorId="2" shapeId="0">
      <text>
        <r>
          <rPr>
            <b/>
            <sz val="8"/>
            <color indexed="81"/>
            <rFont val="Tahoma"/>
            <family val="2"/>
            <charset val="204"/>
          </rPr>
          <t xml:space="preserve">Угол внутренний /2
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M14" authorId="1" shapeId="0">
      <text>
        <r>
          <rPr>
            <b/>
            <sz val="8"/>
            <color indexed="81"/>
            <rFont val="Tahoma"/>
            <family val="2"/>
            <charset val="204"/>
          </rPr>
          <t>Длина состоит: длина дуги +образуюшая  конуса +подкатка</t>
        </r>
      </text>
    </comment>
    <comment ref="N16" authorId="1" shapeId="0">
      <text>
        <r>
          <rPr>
            <b/>
            <sz val="8"/>
            <color indexed="81"/>
            <rFont val="Tahoma"/>
            <family val="2"/>
            <charset val="204"/>
          </rPr>
          <t>Высота конуса до подкатки</t>
        </r>
      </text>
    </comment>
    <comment ref="N19" authorId="3" shapeId="0">
      <text>
        <r>
          <rPr>
            <b/>
            <sz val="9"/>
            <color indexed="81"/>
            <rFont val="Tahoma"/>
            <family val="2"/>
            <charset val="204"/>
          </rPr>
          <t>Для развертки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21" authorId="2" shapeId="0">
      <text>
        <r>
          <rPr>
            <b/>
            <sz val="8"/>
            <color indexed="81"/>
            <rFont val="Tahoma"/>
            <family val="2"/>
            <charset val="204"/>
          </rPr>
          <t>Dк</t>
        </r>
      </text>
    </comment>
    <comment ref="K23" authorId="2" shapeId="0">
      <text>
        <r>
          <rPr>
            <b/>
            <sz val="8"/>
            <color indexed="81"/>
            <rFont val="Tahoma"/>
            <family val="2"/>
            <charset val="204"/>
          </rPr>
          <t>Admin:</t>
        </r>
        <r>
          <rPr>
            <sz val="8"/>
            <color indexed="81"/>
            <rFont val="Tahoma"/>
            <family val="2"/>
            <charset val="204"/>
          </rPr>
          <t xml:space="preserve">
В1
</t>
        </r>
      </text>
    </comment>
    <comment ref="V24" authorId="3" shapeId="0">
      <text>
        <r>
          <rPr>
            <b/>
            <sz val="9"/>
            <color indexed="81"/>
            <rFont val="Tahoma"/>
            <family val="2"/>
            <charset val="204"/>
          </rPr>
          <t>погрешность : на 135м3 недощитывает 0,3м3</t>
        </r>
      </text>
    </comment>
    <comment ref="V30" authorId="1" shapeId="0">
      <text>
        <r>
          <rPr>
            <b/>
            <sz val="8"/>
            <color indexed="81"/>
            <rFont val="Tahoma"/>
            <family val="2"/>
            <charset val="204"/>
          </rPr>
          <t>Вода: 0,001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  <charset val="204"/>
          </rPr>
          <t>Ruslan Chumak:</t>
        </r>
        <r>
          <rPr>
            <sz val="9"/>
            <color indexed="81"/>
            <rFont val="Tahoma"/>
            <family val="2"/>
            <charset val="204"/>
          </rPr>
          <t xml:space="preserve">
профиль 13х100</t>
        </r>
      </text>
    </comment>
    <comment ref="Q65" authorId="0" shapeId="0">
      <text>
        <r>
          <rPr>
            <sz val="9"/>
            <color indexed="81"/>
            <rFont val="Tahoma"/>
            <family val="2"/>
            <charset val="204"/>
          </rPr>
          <t>Вата = 40-100 кг/м3
пена = 20-35 кг/м3</t>
        </r>
      </text>
    </comment>
  </commentList>
</comments>
</file>

<file path=xl/sharedStrings.xml><?xml version="1.0" encoding="utf-8"?>
<sst xmlns="http://schemas.openxmlformats.org/spreadsheetml/2006/main" count="559" uniqueCount="327">
  <si>
    <t>S,мм</t>
  </si>
  <si>
    <t>Конус  верхний</t>
  </si>
  <si>
    <t xml:space="preserve">S, мм </t>
  </si>
  <si>
    <t>угол,</t>
  </si>
  <si>
    <t>радиус, мм</t>
  </si>
  <si>
    <t>Высота пояса, мм</t>
  </si>
  <si>
    <t>Конус  нижний</t>
  </si>
  <si>
    <t>Высота цилиндра</t>
  </si>
  <si>
    <t>Диаметр емкости, мм</t>
  </si>
  <si>
    <t>Высота емкости</t>
  </si>
  <si>
    <t>Длина составл.конуса</t>
  </si>
  <si>
    <t>Высота конуса</t>
  </si>
  <si>
    <t>обьем полный</t>
  </si>
  <si>
    <t>обьем без верх конуса</t>
  </si>
  <si>
    <t>мм</t>
  </si>
  <si>
    <t>м^3</t>
  </si>
  <si>
    <t>Вес емкости нетто:</t>
  </si>
  <si>
    <t>кг</t>
  </si>
  <si>
    <t>м3</t>
  </si>
  <si>
    <t>мм2</t>
  </si>
  <si>
    <t>конус</t>
  </si>
  <si>
    <t>сегмент</t>
  </si>
  <si>
    <t>триугол</t>
  </si>
  <si>
    <t>катет</t>
  </si>
  <si>
    <t>для расчета обьема:</t>
  </si>
  <si>
    <t>Допускаемое давление устойчивости</t>
  </si>
  <si>
    <r>
      <rPr>
        <sz val="8"/>
        <color theme="1"/>
        <rFont val="Calibri"/>
        <family val="2"/>
        <charset val="204"/>
        <scheme val="minor"/>
      </rPr>
      <t xml:space="preserve">Наружное </t>
    </r>
    <r>
      <rPr>
        <sz val="11"/>
        <color theme="1"/>
        <rFont val="Calibri"/>
        <family val="2"/>
        <charset val="204"/>
        <scheme val="minor"/>
      </rPr>
      <t>Р3,</t>
    </r>
    <r>
      <rPr>
        <sz val="8"/>
        <color theme="1"/>
        <rFont val="Calibri"/>
        <family val="2"/>
        <charset val="204"/>
        <scheme val="minor"/>
      </rPr>
      <t>атм</t>
    </r>
  </si>
  <si>
    <r>
      <rPr>
        <sz val="8"/>
        <color theme="1"/>
        <rFont val="Calibri"/>
        <family val="2"/>
        <charset val="204"/>
        <scheme val="minor"/>
      </rPr>
      <t>Разрушение</t>
    </r>
    <r>
      <rPr>
        <sz val="11"/>
        <color theme="1"/>
        <rFont val="Calibri"/>
        <family val="2"/>
        <charset val="204"/>
        <scheme val="minor"/>
      </rPr>
      <t xml:space="preserve"> Р2,</t>
    </r>
    <r>
      <rPr>
        <sz val="8"/>
        <color theme="1"/>
        <rFont val="Calibri"/>
        <family val="2"/>
        <charset val="204"/>
        <scheme val="minor"/>
      </rPr>
      <t>атм</t>
    </r>
  </si>
  <si>
    <r>
      <rPr>
        <sz val="8"/>
        <color theme="1"/>
        <rFont val="Calibri"/>
        <family val="2"/>
        <charset val="204"/>
        <scheme val="minor"/>
      </rPr>
      <t>До деформации</t>
    </r>
    <r>
      <rPr>
        <sz val="11"/>
        <color theme="1"/>
        <rFont val="Calibri"/>
        <family val="2"/>
        <charset val="204"/>
        <scheme val="minor"/>
      </rPr>
      <t xml:space="preserve"> Р 1,</t>
    </r>
    <r>
      <rPr>
        <sz val="8"/>
        <color theme="1"/>
        <rFont val="Calibri"/>
        <family val="2"/>
        <charset val="204"/>
        <scheme val="minor"/>
      </rPr>
      <t>атм</t>
    </r>
  </si>
  <si>
    <r>
      <t xml:space="preserve">Обьем до отметки </t>
    </r>
    <r>
      <rPr>
        <sz val="9"/>
        <color theme="1"/>
        <rFont val="Calibri"/>
        <family val="2"/>
        <charset val="204"/>
        <scheme val="minor"/>
      </rPr>
      <t>(растояние до шва)</t>
    </r>
  </si>
  <si>
    <t>15х23</t>
  </si>
  <si>
    <t>Количество (мм), (шт).</t>
  </si>
  <si>
    <t>Раскрой мм.</t>
  </si>
  <si>
    <t>горезонтальные</t>
  </si>
  <si>
    <t>вертикальные</t>
  </si>
  <si>
    <t>Швы сварные  м. :</t>
  </si>
  <si>
    <t>Дл.дуги загот</t>
  </si>
  <si>
    <t>Угол , град.</t>
  </si>
  <si>
    <t>R развертки</t>
  </si>
  <si>
    <t>Внутр отв.</t>
  </si>
  <si>
    <t>Высота подкатки конуса</t>
  </si>
  <si>
    <t>Плотность содержимого :</t>
  </si>
  <si>
    <t>г/мм^3</t>
  </si>
  <si>
    <t>тон</t>
  </si>
  <si>
    <t xml:space="preserve">Емкость вертикальная </t>
  </si>
  <si>
    <t>Вес содержимого нетто (до отметки:</t>
  </si>
  <si>
    <t>запас  над отметкой % :</t>
  </si>
  <si>
    <t>%</t>
  </si>
  <si>
    <t>Диаметр внутреннего отв.:</t>
  </si>
  <si>
    <t>Длина дуги +Нподк: м м.</t>
  </si>
  <si>
    <t xml:space="preserve">Даные по конусу правдивы тольно с подкаткой и радиусом </t>
  </si>
  <si>
    <t>Радиус образующийся:</t>
  </si>
  <si>
    <t>Н2</t>
  </si>
  <si>
    <t xml:space="preserve">высота </t>
  </si>
  <si>
    <t>хорда</t>
  </si>
  <si>
    <t>с</t>
  </si>
  <si>
    <t>удаление от подкатки</t>
  </si>
  <si>
    <t>Н1</t>
  </si>
  <si>
    <t>гипотенуза</t>
  </si>
  <si>
    <t>угол</t>
  </si>
  <si>
    <t>α</t>
  </si>
  <si>
    <t xml:space="preserve">радиус  </t>
  </si>
  <si>
    <t>r</t>
  </si>
  <si>
    <t>Давление конуса Р 1,атм</t>
  </si>
  <si>
    <t xml:space="preserve">радиальное усилие </t>
  </si>
  <si>
    <t>осевое усилие</t>
  </si>
  <si>
    <t>расчет подкадки:</t>
  </si>
  <si>
    <t>нижний конус</t>
  </si>
  <si>
    <t>верхний конус</t>
  </si>
  <si>
    <t>Давление подкатки Р1,атм</t>
  </si>
  <si>
    <t>Наружное Р3,атм</t>
  </si>
  <si>
    <t>н/ж</t>
  </si>
  <si>
    <t>Давление в танке</t>
  </si>
  <si>
    <t>бар</t>
  </si>
  <si>
    <t xml:space="preserve"> </t>
  </si>
  <si>
    <t xml:space="preserve">Документ для внутреннего пользования </t>
  </si>
  <si>
    <t>Версия</t>
  </si>
  <si>
    <t>Дата составления</t>
  </si>
  <si>
    <t xml:space="preserve">Номер заказа </t>
  </si>
  <si>
    <t>Клиент</t>
  </si>
  <si>
    <t>Базовый номер</t>
  </si>
  <si>
    <t>Наименование емкости:</t>
  </si>
  <si>
    <t>Конструктивные особености:</t>
  </si>
  <si>
    <t>Особенности транспортировки:</t>
  </si>
  <si>
    <t>Характеристики оборудования</t>
  </si>
  <si>
    <t>Объем рабочий:</t>
  </si>
  <si>
    <t>Обьем полный</t>
  </si>
  <si>
    <t>Рабочее давление:</t>
  </si>
  <si>
    <t>Бар</t>
  </si>
  <si>
    <t>Давление расчетное</t>
  </si>
  <si>
    <t>Диаметр:</t>
  </si>
  <si>
    <t>Высота цилиндрической части</t>
  </si>
  <si>
    <t>Общая высота:</t>
  </si>
  <si>
    <t>Марка стали:</t>
  </si>
  <si>
    <t>Общий вес изделия:</t>
  </si>
  <si>
    <t>Тип сборки (база или объект):</t>
  </si>
  <si>
    <t>база</t>
  </si>
  <si>
    <t>Материал для емкости</t>
  </si>
  <si>
    <t>цена за шт. или за кг</t>
  </si>
  <si>
    <t>Евро</t>
  </si>
  <si>
    <t>Евро Без НДС</t>
  </si>
  <si>
    <t>Примечание</t>
  </si>
  <si>
    <t>позиция</t>
  </si>
  <si>
    <t>S Метала</t>
  </si>
  <si>
    <t>Геометрические размеры BxL, мм</t>
  </si>
  <si>
    <t>марка стали</t>
  </si>
  <si>
    <t>ед. измер</t>
  </si>
  <si>
    <t xml:space="preserve">Кол-во </t>
  </si>
  <si>
    <t>масса единицы, (кг)</t>
  </si>
  <si>
    <t>Общий вес, (кг)</t>
  </si>
  <si>
    <t>Цена за ед.</t>
  </si>
  <si>
    <t>Итого</t>
  </si>
  <si>
    <t>Общий вес:</t>
  </si>
  <si>
    <t>Итого:</t>
  </si>
  <si>
    <t>Дополнительное оборудование</t>
  </si>
  <si>
    <t>Наименование</t>
  </si>
  <si>
    <r>
      <t xml:space="preserve">Услуги и оборудование сторонних организаций </t>
    </r>
    <r>
      <rPr>
        <b/>
        <sz val="10"/>
        <color rgb="FFFF0000"/>
        <rFont val="Arial Unicode MS"/>
        <family val="2"/>
        <charset val="204"/>
      </rPr>
      <t>(Наценка не распространяется)</t>
    </r>
  </si>
  <si>
    <t>Кол-во</t>
  </si>
  <si>
    <t>Автоматика и элементы под них</t>
  </si>
  <si>
    <t>Изоляционные материалы</t>
  </si>
  <si>
    <t>Теплоизоляционный материал</t>
  </si>
  <si>
    <t>S изоляции</t>
  </si>
  <si>
    <t>плотность</t>
  </si>
  <si>
    <t>Цена за.</t>
  </si>
  <si>
    <t>Стоимость</t>
  </si>
  <si>
    <t>Заклепки и дополнительные материалы</t>
  </si>
  <si>
    <t>Заполняется при работах у Заказчика</t>
  </si>
  <si>
    <t>командировочные</t>
  </si>
  <si>
    <t>проживание</t>
  </si>
  <si>
    <t>проезд</t>
  </si>
  <si>
    <t xml:space="preserve">доставка </t>
  </si>
  <si>
    <t>и др.</t>
  </si>
  <si>
    <t>Другие затраты:</t>
  </si>
  <si>
    <t>Расходные материалы:</t>
  </si>
  <si>
    <t>Приспособление и оснастка:</t>
  </si>
  <si>
    <t>Упаковка:</t>
  </si>
  <si>
    <t>№</t>
  </si>
  <si>
    <t>Наименование работ</t>
  </si>
  <si>
    <t>Евро без НДС</t>
  </si>
  <si>
    <t>ч/час</t>
  </si>
  <si>
    <t>Себестоимость</t>
  </si>
  <si>
    <t>Стоимость доставки Импортных материалов:</t>
  </si>
  <si>
    <t>Работы по изготовлению на базе:</t>
  </si>
  <si>
    <t>Стоимость доставки материалов по Украине:</t>
  </si>
  <si>
    <t>Работы на площадке Заказчика</t>
  </si>
  <si>
    <t>Использование крана:</t>
  </si>
  <si>
    <t>Работы по изоляции на базе</t>
  </si>
  <si>
    <t>Испытание:</t>
  </si>
  <si>
    <t>работы по изоляции у Заказчика</t>
  </si>
  <si>
    <t>документация (паспорт)</t>
  </si>
  <si>
    <t>Упаковка</t>
  </si>
  <si>
    <t>аренда складов для инструмента и оборудования</t>
  </si>
  <si>
    <t>проектный менеджмент</t>
  </si>
  <si>
    <t>итого</t>
  </si>
  <si>
    <t xml:space="preserve">Доставка к Заказчику </t>
  </si>
  <si>
    <t>Наценка не распространяется</t>
  </si>
  <si>
    <t>Итоговая стоимость Заказа</t>
  </si>
  <si>
    <t>Цена</t>
  </si>
  <si>
    <t>Предложение без НДС!</t>
  </si>
  <si>
    <t>Стоимость метала для емкости с учетом 1% таможенной очистки:</t>
  </si>
  <si>
    <t>Стоимость дополнительного оборудования с учетом 1% таможенной очистки:</t>
  </si>
  <si>
    <t>Стоимость дополнительных затрат включая доставки метала и доп. материалов::</t>
  </si>
  <si>
    <t>Стоимость работ на изготовление и сборку на БАЗЕ :</t>
  </si>
  <si>
    <t>Стоимость работ на изготовление и сборку на Предприятии Заказчика с учетом проезда, проживания и др.</t>
  </si>
  <si>
    <t>Доставка к Заказчику</t>
  </si>
  <si>
    <t>Стоимость изоляционных материалов:</t>
  </si>
  <si>
    <t>Стоимость работ по изоляции на БАЗЕ:</t>
  </si>
  <si>
    <t>Услуги и оборудование сторонних организаций (Наценка не распространяется)</t>
  </si>
  <si>
    <t>Итого себестоимость без НДС:</t>
  </si>
  <si>
    <t>Дно</t>
  </si>
  <si>
    <t>AISI 304</t>
  </si>
  <si>
    <t>Шт</t>
  </si>
  <si>
    <t>за Кг</t>
  </si>
  <si>
    <t>крышка</t>
  </si>
  <si>
    <t xml:space="preserve">Стоимость металла </t>
  </si>
  <si>
    <t>Евро за кг</t>
  </si>
  <si>
    <t>AISI 321</t>
  </si>
  <si>
    <t>AISI 316 L</t>
  </si>
  <si>
    <t>AISI 316 Ti</t>
  </si>
  <si>
    <t>AISI 430</t>
  </si>
  <si>
    <t>S235</t>
  </si>
  <si>
    <t>S235A</t>
  </si>
  <si>
    <t>Выс сосуда</t>
  </si>
  <si>
    <t>растояние до земли</t>
  </si>
  <si>
    <t>цилиндр</t>
  </si>
  <si>
    <t>за м\п</t>
  </si>
  <si>
    <t>за Шт</t>
  </si>
  <si>
    <t>2000x6000</t>
  </si>
  <si>
    <t>1500x6000</t>
  </si>
  <si>
    <t>шапка М.</t>
  </si>
  <si>
    <t>2000х3000</t>
  </si>
  <si>
    <t>1500x8650</t>
  </si>
  <si>
    <t>AISI 304 2В</t>
  </si>
  <si>
    <t>1500x4000</t>
  </si>
  <si>
    <t>Минеральная вата</t>
  </si>
  <si>
    <t>м^2</t>
  </si>
  <si>
    <t>Доп. Листы</t>
  </si>
  <si>
    <t>опорные</t>
  </si>
  <si>
    <t>м\п</t>
  </si>
  <si>
    <t>Вых. Прод. труба 150х2</t>
  </si>
  <si>
    <t>СИП труба DN65</t>
  </si>
  <si>
    <t>Ливневка Тр DN50</t>
  </si>
  <si>
    <t xml:space="preserve">Дыхательный клапан </t>
  </si>
  <si>
    <t>1500х2500</t>
  </si>
  <si>
    <t>1500x2000</t>
  </si>
  <si>
    <t>СИП -узел DN65</t>
  </si>
  <si>
    <t>Люк 420x340    A4</t>
  </si>
  <si>
    <t>Люк 500    D9</t>
  </si>
  <si>
    <t>Обойна листовая DN65</t>
  </si>
  <si>
    <t xml:space="preserve">Дренаж DN50 </t>
  </si>
  <si>
    <t>Обойна листовая DN50</t>
  </si>
  <si>
    <t xml:space="preserve">Лед вода </t>
  </si>
  <si>
    <t>S общий</t>
  </si>
  <si>
    <t>Коефициент на шов</t>
  </si>
  <si>
    <t>Рулон</t>
  </si>
  <si>
    <t>обьем цилиндра</t>
  </si>
  <si>
    <t>общ</t>
  </si>
  <si>
    <t>проект</t>
  </si>
  <si>
    <t>ш т</t>
  </si>
  <si>
    <t>расчет для 1с:</t>
  </si>
  <si>
    <t>138-1</t>
  </si>
  <si>
    <t>138-2</t>
  </si>
  <si>
    <t>138-3</t>
  </si>
  <si>
    <t>138-4</t>
  </si>
  <si>
    <t>Шаг рубашки</t>
  </si>
  <si>
    <t>отступ от края</t>
  </si>
  <si>
    <t>Обьем</t>
  </si>
  <si>
    <t>Колличество Витков</t>
  </si>
  <si>
    <t>Длина рубашки</t>
  </si>
  <si>
    <t xml:space="preserve">мм </t>
  </si>
  <si>
    <t>шт</t>
  </si>
  <si>
    <t>м</t>
  </si>
  <si>
    <t>Площадь рубашки</t>
  </si>
  <si>
    <t>мм^2</t>
  </si>
  <si>
    <t>Приблизительный обьем рубашки конуса</t>
  </si>
  <si>
    <t>процент перекрытия конуса</t>
  </si>
  <si>
    <t>обьем:</t>
  </si>
  <si>
    <t>общий обьем для рубашки</t>
  </si>
  <si>
    <t>мосчность двигателя:</t>
  </si>
  <si>
    <t>кВт</t>
  </si>
  <si>
    <t>скорость м/с</t>
  </si>
  <si>
    <t>D барабана. Мм</t>
  </si>
  <si>
    <t>обороты на вых редуктора:</t>
  </si>
  <si>
    <t>об/мин</t>
  </si>
  <si>
    <t>угол:</t>
  </si>
  <si>
    <t>горизонт</t>
  </si>
  <si>
    <t>маса:</t>
  </si>
  <si>
    <t xml:space="preserve">плотность </t>
  </si>
  <si>
    <t xml:space="preserve">вес </t>
  </si>
  <si>
    <t>кг/м3</t>
  </si>
  <si>
    <t>есть/нет</t>
  </si>
  <si>
    <t xml:space="preserve">Цилиндр </t>
  </si>
  <si>
    <t xml:space="preserve">Верх </t>
  </si>
  <si>
    <t>Низ</t>
  </si>
  <si>
    <r>
      <rPr>
        <sz val="18"/>
        <color theme="1"/>
        <rFont val="Calibri"/>
        <family val="2"/>
        <charset val="204"/>
        <scheme val="minor"/>
      </rPr>
      <t>S</t>
    </r>
    <r>
      <rPr>
        <sz val="11"/>
        <color theme="1"/>
        <rFont val="Calibri"/>
        <family val="2"/>
        <charset val="204"/>
        <scheme val="minor"/>
      </rPr>
      <t xml:space="preserve"> изоляции</t>
    </r>
  </si>
  <si>
    <r>
      <rPr>
        <sz val="18"/>
        <color theme="1"/>
        <rFont val="Calibri"/>
        <family val="2"/>
        <charset val="204"/>
        <scheme val="minor"/>
      </rPr>
      <t>V</t>
    </r>
    <r>
      <rPr>
        <sz val="11"/>
        <color theme="1"/>
        <rFont val="Calibri"/>
        <family val="2"/>
        <charset val="204"/>
        <scheme val="minor"/>
      </rPr>
      <t xml:space="preserve"> изоляции</t>
    </r>
  </si>
  <si>
    <t>Вес общий сосуда с продуктом</t>
  </si>
  <si>
    <t>Толщина листа обшивки</t>
  </si>
  <si>
    <t>Подсчет веса емкости:</t>
  </si>
  <si>
    <t>Толщина изоляции</t>
  </si>
  <si>
    <t>вес:</t>
  </si>
  <si>
    <t>Цилиндр</t>
  </si>
  <si>
    <t>Верх</t>
  </si>
  <si>
    <t>Рубашка:</t>
  </si>
  <si>
    <t>Вес рубашки:</t>
  </si>
  <si>
    <t>П-образная</t>
  </si>
  <si>
    <t xml:space="preserve">S рубашки </t>
  </si>
  <si>
    <t xml:space="preserve">Bec </t>
  </si>
  <si>
    <t>Изоляция:</t>
  </si>
  <si>
    <t>Обшивка изоляции:</t>
  </si>
  <si>
    <t>Опоры:</t>
  </si>
  <si>
    <t xml:space="preserve">количество опор: </t>
  </si>
  <si>
    <t>Труба:</t>
  </si>
  <si>
    <t>длина</t>
  </si>
  <si>
    <t>высота до нижнего конуса</t>
  </si>
  <si>
    <t>Вес труб</t>
  </si>
  <si>
    <t>вес пят +накладки</t>
  </si>
  <si>
    <t>Вес неучтен:</t>
  </si>
  <si>
    <t>мешалка всборе</t>
  </si>
  <si>
    <t>дополнительно</t>
  </si>
  <si>
    <t>вес с продуктом</t>
  </si>
  <si>
    <t>сбросить все:</t>
  </si>
  <si>
    <t>Днище торосферическое</t>
  </si>
  <si>
    <t>Материал</t>
  </si>
  <si>
    <t>Наружный диаметр D1</t>
  </si>
  <si>
    <t>мм.</t>
  </si>
  <si>
    <t>Внутренний диаметр D</t>
  </si>
  <si>
    <t>Радиус кривизны в вершыне R</t>
  </si>
  <si>
    <t>Радиус скругления r1</t>
  </si>
  <si>
    <t>Длина отбортовки h1</t>
  </si>
  <si>
    <t>Полученая высота днища H</t>
  </si>
  <si>
    <t>Толщина стенки S</t>
  </si>
  <si>
    <t xml:space="preserve"> Тип днища</t>
  </si>
  <si>
    <t>R/D1=</t>
  </si>
  <si>
    <t>r1/D1=</t>
  </si>
  <si>
    <t>Допускаемые напряжения для материала, [σ]</t>
  </si>
  <si>
    <t>атм.</t>
  </si>
  <si>
    <t>β2=</t>
  </si>
  <si>
    <t>Давление</t>
  </si>
  <si>
    <t>бар.</t>
  </si>
  <si>
    <t>Коефициент прочности сварных швов ϕ</t>
  </si>
  <si>
    <t xml:space="preserve">Цвет заполнения </t>
  </si>
  <si>
    <t>Допускаемое давление из условия прочности краевой зоны</t>
  </si>
  <si>
    <t>Цветрасчетов</t>
  </si>
  <si>
    <t>[p]=</t>
  </si>
  <si>
    <t>Допускаемое наружное давление из условия прочности</t>
  </si>
  <si>
    <t>[p]п=</t>
  </si>
  <si>
    <t>Допускаемое наружное давление из условия устойчивости</t>
  </si>
  <si>
    <t>[p]e=</t>
  </si>
  <si>
    <t>Условия нагружения при испытаниях</t>
  </si>
  <si>
    <t>Расчётная температура, Т</t>
  </si>
  <si>
    <t>Днища, нагруженные внутренним избыточным давлением</t>
  </si>
  <si>
    <t>Допускаемое давление из условий прочности краевой зоны</t>
  </si>
  <si>
    <t>Допускаемое давление из условий прочности центральной зоны</t>
  </si>
  <si>
    <t>Расчётная толщина стенки в краевой зоне</t>
  </si>
  <si>
    <t>Коэффициент β1 опредилить из графика</t>
  </si>
  <si>
    <r>
      <t>p/[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charset val="204"/>
        <scheme val="minor"/>
      </rPr>
      <t>]=</t>
    </r>
  </si>
  <si>
    <r>
      <t>β1</t>
    </r>
    <r>
      <rPr>
        <sz val="15.4"/>
        <color theme="1"/>
        <rFont val="Calibri"/>
        <family val="2"/>
        <charset val="204"/>
      </rPr>
      <t>=</t>
    </r>
  </si>
  <si>
    <t>по графику</t>
  </si>
  <si>
    <t>S1p=</t>
  </si>
  <si>
    <t>Расчётная толщина стенки в центральной зоне</t>
  </si>
  <si>
    <t>запас прочности</t>
  </si>
  <si>
    <t>Расчёт отбортовки</t>
  </si>
  <si>
    <t>h1&gt;</t>
  </si>
  <si>
    <t>Расчётная толщина стенки отбортовки</t>
  </si>
  <si>
    <t>Shlp=</t>
  </si>
  <si>
    <t>[p]hl=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</si>
</sst>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"/>
    <numFmt numFmtId="165" formatCode="0.000"/>
    <numFmt numFmtId="166" formatCode="0\m\m;"/>
    <numFmt numFmtId="167" formatCode="\R\ 0.00;"/>
    <numFmt numFmtId="168" formatCode="\D\ 0.00;"/>
    <numFmt numFmtId="169" formatCode="[$-FC19]dd\ mmmm\ yyyy\ \г/;@"/>
    <numFmt numFmtId="170" formatCode="#,##0.0&quot; мм&quot;"/>
    <numFmt numFmtId="171" formatCode="?0.0&quot; мм&quot;"/>
    <numFmt numFmtId="172" formatCode="??&quot; мм&quot;"/>
    <numFmt numFmtId="173" formatCode="#,##0.00\ [$€-1]"/>
    <numFmt numFmtId="174" formatCode="0.0000"/>
    <numFmt numFmtId="175" formatCode="\ф0\m\m;"/>
    <numFmt numFmtId="176" formatCode="\х\ 0.0;"/>
  </numFmts>
  <fonts count="55" x14ac:knownFonts="1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8"/>
      <color indexed="81"/>
      <name val="Tahoma"/>
      <family val="2"/>
      <charset val="204"/>
    </font>
    <font>
      <sz val="11"/>
      <color theme="6" tint="0.39997558519241921"/>
      <name val="Calibri"/>
      <family val="2"/>
      <charset val="204"/>
      <scheme val="minor"/>
    </font>
    <font>
      <sz val="8"/>
      <color indexed="81"/>
      <name val="Tahoma"/>
      <family val="2"/>
      <charset val="204"/>
    </font>
    <font>
      <sz val="14"/>
      <color rgb="FFC0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theme="1" tint="4.9989318521683403E-2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theme="4" tint="0.3999755851924192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sz val="11"/>
      <color theme="5" tint="-0.499984740745262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sz val="10"/>
      <name val="Arial Cyr"/>
      <charset val="204"/>
    </font>
    <font>
      <sz val="10"/>
      <color theme="1" tint="4.9989318521683403E-2"/>
      <name val="Calibri"/>
      <family val="2"/>
      <charset val="204"/>
      <scheme val="minor"/>
    </font>
    <font>
      <b/>
      <sz val="18"/>
      <color theme="3" tint="-0.249977111117893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5" tint="-0.24997711111789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sz val="12"/>
      <color indexed="10"/>
      <name val="Arial Cyr"/>
      <charset val="204"/>
    </font>
    <font>
      <sz val="10"/>
      <name val="Arial Unicode MS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12"/>
      <name val="Times New Roman"/>
      <family val="1"/>
      <charset val="204"/>
    </font>
    <font>
      <b/>
      <u/>
      <sz val="10"/>
      <name val="Arial Cyr"/>
      <charset val="204"/>
    </font>
    <font>
      <b/>
      <sz val="10"/>
      <name val="Arial Unicode MS"/>
      <family val="2"/>
      <charset val="204"/>
    </font>
    <font>
      <b/>
      <sz val="10"/>
      <color indexed="10"/>
      <name val="Arial Cyr"/>
      <charset val="204"/>
    </font>
    <font>
      <b/>
      <sz val="10"/>
      <color indexed="10"/>
      <name val="Arial Unicode MS"/>
      <family val="2"/>
      <charset val="204"/>
    </font>
    <font>
      <b/>
      <sz val="10"/>
      <color rgb="FFFF0000"/>
      <name val="Arial Unicode MS"/>
      <family val="2"/>
      <charset val="204"/>
    </font>
    <font>
      <sz val="8"/>
      <name val="Arial Unicode MS"/>
      <family val="2"/>
      <charset val="204"/>
    </font>
    <font>
      <sz val="10"/>
      <color rgb="FFFF0000"/>
      <name val="Arial Unicode MS"/>
      <family val="2"/>
      <charset val="204"/>
    </font>
    <font>
      <b/>
      <u/>
      <sz val="12"/>
      <name val="Arial Unicode MS"/>
      <family val="2"/>
      <charset val="204"/>
    </font>
    <font>
      <b/>
      <sz val="11"/>
      <color rgb="FFFF0000"/>
      <name val="Arial Unicode MS"/>
      <family val="2"/>
      <charset val="204"/>
    </font>
    <font>
      <sz val="10"/>
      <name val="Arial Unicode MS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sz val="10"/>
      <color rgb="FFFFFF00"/>
      <name val="Arial Unicode MS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1"/>
      <color theme="5" tint="0.3999755851924192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5.4"/>
      <color theme="1"/>
      <name val="Calibri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EE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9" fillId="0" borderId="0"/>
    <xf numFmtId="0" fontId="47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50" fillId="29" borderId="62" applyNumberFormat="0" applyAlignment="0" applyProtection="0"/>
  </cellStyleXfs>
  <cellXfs count="565">
    <xf numFmtId="0" fontId="0" fillId="0" borderId="0" xfId="0"/>
    <xf numFmtId="0" fontId="0" fillId="2" borderId="6" xfId="0" applyFill="1" applyBorder="1"/>
    <xf numFmtId="0" fontId="0" fillId="0" borderId="0" xfId="0" applyFill="1"/>
    <xf numFmtId="0" fontId="0" fillId="0" borderId="13" xfId="0" applyBorder="1"/>
    <xf numFmtId="0" fontId="0" fillId="0" borderId="14" xfId="0" applyBorder="1"/>
    <xf numFmtId="0" fontId="0" fillId="3" borderId="6" xfId="0" applyFill="1" applyBorder="1"/>
    <xf numFmtId="0" fontId="0" fillId="3" borderId="0" xfId="0" applyFill="1" applyBorder="1"/>
    <xf numFmtId="0" fontId="0" fillId="3" borderId="11" xfId="0" applyFill="1" applyBorder="1"/>
    <xf numFmtId="2" fontId="0" fillId="3" borderId="12" xfId="0" applyNumberFormat="1" applyFill="1" applyBorder="1"/>
    <xf numFmtId="0" fontId="0" fillId="0" borderId="0" xfId="0" applyFill="1" applyBorder="1"/>
    <xf numFmtId="0" fontId="0" fillId="0" borderId="8" xfId="0" applyBorder="1"/>
    <xf numFmtId="0" fontId="0" fillId="0" borderId="6" xfId="0" applyBorder="1"/>
    <xf numFmtId="0" fontId="0" fillId="0" borderId="18" xfId="0" applyBorder="1"/>
    <xf numFmtId="0" fontId="3" fillId="6" borderId="2" xfId="0" applyFont="1" applyFill="1" applyBorder="1"/>
    <xf numFmtId="2" fontId="0" fillId="3" borderId="11" xfId="0" applyNumberFormat="1" applyFill="1" applyBorder="1"/>
    <xf numFmtId="0" fontId="1" fillId="3" borderId="11" xfId="0" applyFont="1" applyFill="1" applyBorder="1"/>
    <xf numFmtId="0" fontId="0" fillId="0" borderId="7" xfId="0" applyBorder="1"/>
    <xf numFmtId="0" fontId="0" fillId="0" borderId="0" xfId="0" applyBorder="1"/>
    <xf numFmtId="2" fontId="0" fillId="0" borderId="0" xfId="0" applyNumberFormat="1" applyFill="1" applyBorder="1"/>
    <xf numFmtId="0" fontId="0" fillId="7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7" xfId="0" applyFill="1" applyBorder="1"/>
    <xf numFmtId="0" fontId="14" fillId="5" borderId="2" xfId="0" applyNumberFormat="1" applyFont="1" applyFill="1" applyBorder="1"/>
    <xf numFmtId="165" fontId="14" fillId="3" borderId="2" xfId="0" applyNumberFormat="1" applyFont="1" applyFill="1" applyBorder="1"/>
    <xf numFmtId="2" fontId="14" fillId="3" borderId="2" xfId="0" applyNumberFormat="1" applyFont="1" applyFill="1" applyBorder="1"/>
    <xf numFmtId="2" fontId="14" fillId="4" borderId="12" xfId="0" applyNumberFormat="1" applyFont="1" applyFill="1" applyBorder="1"/>
    <xf numFmtId="0" fontId="14" fillId="5" borderId="2" xfId="0" applyFont="1" applyFill="1" applyBorder="1"/>
    <xf numFmtId="0" fontId="16" fillId="5" borderId="2" xfId="0" applyFont="1" applyFill="1" applyBorder="1"/>
    <xf numFmtId="0" fontId="16" fillId="0" borderId="1" xfId="0" applyFont="1" applyBorder="1"/>
    <xf numFmtId="0" fontId="0" fillId="3" borderId="26" xfId="0" applyFill="1" applyBorder="1"/>
    <xf numFmtId="0" fontId="0" fillId="3" borderId="27" xfId="0" applyFill="1" applyBorder="1"/>
    <xf numFmtId="0" fontId="14" fillId="9" borderId="28" xfId="0" applyFont="1" applyFill="1" applyBorder="1"/>
    <xf numFmtId="164" fontId="14" fillId="9" borderId="29" xfId="0" applyNumberFormat="1" applyFont="1" applyFill="1" applyBorder="1"/>
    <xf numFmtId="0" fontId="0" fillId="8" borderId="35" xfId="0" applyFill="1" applyBorder="1"/>
    <xf numFmtId="0" fontId="0" fillId="3" borderId="7" xfId="0" applyFill="1" applyBorder="1"/>
    <xf numFmtId="0" fontId="15" fillId="0" borderId="10" xfId="0" applyFont="1" applyBorder="1"/>
    <xf numFmtId="0" fontId="0" fillId="0" borderId="37" xfId="0" applyBorder="1"/>
    <xf numFmtId="0" fontId="0" fillId="6" borderId="18" xfId="0" applyFill="1" applyBorder="1" applyAlignment="1">
      <alignment horizontal="center" wrapText="1"/>
    </xf>
    <xf numFmtId="0" fontId="0" fillId="6" borderId="37" xfId="0" applyFill="1" applyBorder="1" applyAlignment="1">
      <alignment horizontal="center" wrapText="1"/>
    </xf>
    <xf numFmtId="0" fontId="6" fillId="0" borderId="38" xfId="0" applyFont="1" applyBorder="1" applyAlignment="1">
      <alignment wrapText="1"/>
    </xf>
    <xf numFmtId="0" fontId="6" fillId="5" borderId="13" xfId="0" applyFont="1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4" borderId="13" xfId="0" applyFill="1" applyBorder="1" applyAlignment="1">
      <alignment wrapText="1" shrinkToFit="1"/>
    </xf>
    <xf numFmtId="0" fontId="0" fillId="3" borderId="14" xfId="0" applyFill="1" applyBorder="1" applyAlignment="1">
      <alignment wrapText="1"/>
    </xf>
    <xf numFmtId="0" fontId="3" fillId="6" borderId="39" xfId="0" applyFont="1" applyFill="1" applyBorder="1"/>
    <xf numFmtId="2" fontId="14" fillId="3" borderId="40" xfId="0" applyNumberFormat="1" applyFont="1" applyFill="1" applyBorder="1"/>
    <xf numFmtId="0" fontId="3" fillId="6" borderId="22" xfId="0" applyFont="1" applyFill="1" applyBorder="1"/>
    <xf numFmtId="0" fontId="3" fillId="6" borderId="23" xfId="0" applyFont="1" applyFill="1" applyBorder="1"/>
    <xf numFmtId="0" fontId="16" fillId="0" borderId="25" xfId="0" applyFont="1" applyBorder="1"/>
    <xf numFmtId="0" fontId="16" fillId="5" borderId="23" xfId="0" applyFont="1" applyFill="1" applyBorder="1"/>
    <xf numFmtId="0" fontId="14" fillId="5" borderId="23" xfId="0" applyFont="1" applyFill="1" applyBorder="1"/>
    <xf numFmtId="165" fontId="14" fillId="3" borderId="23" xfId="0" applyNumberFormat="1" applyFont="1" applyFill="1" applyBorder="1"/>
    <xf numFmtId="2" fontId="14" fillId="3" borderId="23" xfId="0" applyNumberFormat="1" applyFont="1" applyFill="1" applyBorder="1"/>
    <xf numFmtId="2" fontId="14" fillId="4" borderId="24" xfId="0" applyNumberFormat="1" applyFont="1" applyFill="1" applyBorder="1"/>
    <xf numFmtId="2" fontId="14" fillId="3" borderId="30" xfId="0" applyNumberFormat="1" applyFont="1" applyFill="1" applyBorder="1"/>
    <xf numFmtId="0" fontId="16" fillId="2" borderId="21" xfId="0" applyFont="1" applyFill="1" applyBorder="1"/>
    <xf numFmtId="0" fontId="17" fillId="0" borderId="13" xfId="0" applyFont="1" applyBorder="1"/>
    <xf numFmtId="2" fontId="0" fillId="0" borderId="0" xfId="0" applyNumberFormat="1"/>
    <xf numFmtId="0" fontId="0" fillId="0" borderId="26" xfId="0" applyBorder="1"/>
    <xf numFmtId="2" fontId="14" fillId="10" borderId="7" xfId="0" applyNumberFormat="1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11" xfId="0" applyFill="1" applyBorder="1"/>
    <xf numFmtId="2" fontId="14" fillId="10" borderId="12" xfId="0" applyNumberFormat="1" applyFont="1" applyFill="1" applyBorder="1"/>
    <xf numFmtId="0" fontId="0" fillId="10" borderId="5" xfId="0" applyFill="1" applyBorder="1"/>
    <xf numFmtId="164" fontId="14" fillId="10" borderId="7" xfId="0" applyNumberFormat="1" applyFont="1" applyFill="1" applyBorder="1"/>
    <xf numFmtId="0" fontId="14" fillId="10" borderId="0" xfId="0" applyFont="1" applyFill="1"/>
    <xf numFmtId="2" fontId="14" fillId="10" borderId="0" xfId="0" applyNumberFormat="1" applyFont="1" applyFill="1"/>
    <xf numFmtId="166" fontId="0" fillId="3" borderId="9" xfId="0" applyNumberFormat="1" applyFill="1" applyBorder="1"/>
    <xf numFmtId="167" fontId="14" fillId="3" borderId="12" xfId="0" applyNumberFormat="1" applyFont="1" applyFill="1" applyBorder="1"/>
    <xf numFmtId="0" fontId="0" fillId="0" borderId="21" xfId="0" applyBorder="1"/>
    <xf numFmtId="166" fontId="16" fillId="0" borderId="6" xfId="0" applyNumberFormat="1" applyFont="1" applyFill="1" applyBorder="1"/>
    <xf numFmtId="0" fontId="22" fillId="0" borderId="0" xfId="0" applyFont="1"/>
    <xf numFmtId="2" fontId="0" fillId="0" borderId="0" xfId="0" applyNumberFormat="1" applyBorder="1"/>
    <xf numFmtId="0" fontId="21" fillId="0" borderId="0" xfId="0" applyFont="1" applyBorder="1"/>
    <xf numFmtId="0" fontId="0" fillId="0" borderId="0" xfId="0" applyBorder="1" applyAlignment="1">
      <alignment horizontal="right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1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 applyAlignment="1">
      <alignment wrapText="1"/>
    </xf>
    <xf numFmtId="0" fontId="0" fillId="0" borderId="15" xfId="0" applyBorder="1"/>
    <xf numFmtId="165" fontId="14" fillId="0" borderId="0" xfId="0" applyNumberFormat="1" applyFont="1" applyFill="1" applyBorder="1"/>
    <xf numFmtId="0" fontId="0" fillId="10" borderId="1" xfId="0" applyFill="1" applyBorder="1"/>
    <xf numFmtId="0" fontId="0" fillId="0" borderId="1" xfId="0" applyFill="1" applyBorder="1"/>
    <xf numFmtId="2" fontId="11" fillId="3" borderId="20" xfId="0" applyNumberFormat="1" applyFont="1" applyFill="1" applyBorder="1"/>
    <xf numFmtId="0" fontId="16" fillId="2" borderId="0" xfId="0" applyFont="1" applyFill="1" applyBorder="1"/>
    <xf numFmtId="0" fontId="0" fillId="0" borderId="6" xfId="0" applyFill="1" applyBorder="1"/>
    <xf numFmtId="0" fontId="0" fillId="10" borderId="12" xfId="0" applyFill="1" applyBorder="1"/>
    <xf numFmtId="0" fontId="0" fillId="10" borderId="0" xfId="0" applyFill="1" applyBorder="1"/>
    <xf numFmtId="166" fontId="16" fillId="0" borderId="0" xfId="0" applyNumberFormat="1" applyFont="1" applyBorder="1"/>
    <xf numFmtId="0" fontId="0" fillId="0" borderId="11" xfId="0" applyFill="1" applyBorder="1"/>
    <xf numFmtId="0" fontId="16" fillId="2" borderId="16" xfId="0" applyFont="1" applyFill="1" applyBorder="1"/>
    <xf numFmtId="2" fontId="11" fillId="3" borderId="41" xfId="0" applyNumberFormat="1" applyFont="1" applyFill="1" applyBorder="1"/>
    <xf numFmtId="0" fontId="0" fillId="0" borderId="20" xfId="0" applyBorder="1"/>
    <xf numFmtId="2" fontId="0" fillId="3" borderId="13" xfId="0" applyNumberFormat="1" applyFill="1" applyBorder="1"/>
    <xf numFmtId="0" fontId="0" fillId="0" borderId="17" xfId="0" applyBorder="1"/>
    <xf numFmtId="0" fontId="1" fillId="0" borderId="0" xfId="0" applyFont="1" applyFill="1" applyBorder="1"/>
    <xf numFmtId="0" fontId="3" fillId="6" borderId="43" xfId="0" applyFont="1" applyFill="1" applyBorder="1"/>
    <xf numFmtId="0" fontId="3" fillId="6" borderId="44" xfId="0" applyFont="1" applyFill="1" applyBorder="1"/>
    <xf numFmtId="0" fontId="16" fillId="0" borderId="44" xfId="0" applyFont="1" applyBorder="1"/>
    <xf numFmtId="0" fontId="16" fillId="5" borderId="44" xfId="0" applyFont="1" applyFill="1" applyBorder="1"/>
    <xf numFmtId="0" fontId="14" fillId="5" borderId="44" xfId="0" applyNumberFormat="1" applyFont="1" applyFill="1" applyBorder="1"/>
    <xf numFmtId="165" fontId="14" fillId="3" borderId="44" xfId="0" applyNumberFormat="1" applyFont="1" applyFill="1" applyBorder="1"/>
    <xf numFmtId="2" fontId="14" fillId="3" borderId="44" xfId="0" applyNumberFormat="1" applyFont="1" applyFill="1" applyBorder="1"/>
    <xf numFmtId="2" fontId="14" fillId="4" borderId="42" xfId="0" applyNumberFormat="1" applyFont="1" applyFill="1" applyBorder="1"/>
    <xf numFmtId="2" fontId="14" fillId="3" borderId="28" xfId="0" applyNumberFormat="1" applyFont="1" applyFill="1" applyBorder="1"/>
    <xf numFmtId="0" fontId="23" fillId="0" borderId="14" xfId="0" applyFont="1" applyFill="1" applyBorder="1" applyAlignment="1">
      <alignment wrapText="1"/>
    </xf>
    <xf numFmtId="2" fontId="0" fillId="3" borderId="17" xfId="0" applyNumberFormat="1" applyFill="1" applyBorder="1"/>
    <xf numFmtId="0" fontId="17" fillId="0" borderId="44" xfId="0" applyNumberFormat="1" applyFont="1" applyBorder="1"/>
    <xf numFmtId="0" fontId="17" fillId="0" borderId="2" xfId="0" applyNumberFormat="1" applyFont="1" applyBorder="1"/>
    <xf numFmtId="0" fontId="17" fillId="0" borderId="23" xfId="0" applyNumberFormat="1" applyFont="1" applyBorder="1"/>
    <xf numFmtId="0" fontId="17" fillId="0" borderId="13" xfId="0" applyNumberFormat="1" applyFont="1" applyBorder="1"/>
    <xf numFmtId="0" fontId="0" fillId="0" borderId="45" xfId="0" applyBorder="1"/>
    <xf numFmtId="0" fontId="0" fillId="0" borderId="24" xfId="0" applyBorder="1"/>
    <xf numFmtId="0" fontId="9" fillId="10" borderId="12" xfId="0" applyFont="1" applyFill="1" applyBorder="1"/>
    <xf numFmtId="0" fontId="0" fillId="7" borderId="9" xfId="0" applyFill="1" applyBorder="1"/>
    <xf numFmtId="0" fontId="14" fillId="10" borderId="6" xfId="0" applyFont="1" applyFill="1" applyBorder="1"/>
    <xf numFmtId="0" fontId="14" fillId="0" borderId="6" xfId="0" applyFont="1" applyFill="1" applyBorder="1"/>
    <xf numFmtId="0" fontId="14" fillId="10" borderId="7" xfId="0" applyFont="1" applyFill="1" applyBorder="1"/>
    <xf numFmtId="0" fontId="16" fillId="5" borderId="0" xfId="0" applyFont="1" applyFill="1" applyBorder="1"/>
    <xf numFmtId="0" fontId="16" fillId="5" borderId="45" xfId="0" applyFont="1" applyFill="1" applyBorder="1"/>
    <xf numFmtId="0" fontId="17" fillId="0" borderId="37" xfId="0" applyNumberFormat="1" applyFont="1" applyBorder="1"/>
    <xf numFmtId="0" fontId="0" fillId="11" borderId="0" xfId="0" applyFill="1"/>
    <xf numFmtId="0" fontId="18" fillId="3" borderId="32" xfId="0" applyFont="1" applyFill="1" applyBorder="1"/>
    <xf numFmtId="2" fontId="0" fillId="3" borderId="32" xfId="0" applyNumberFormat="1" applyFill="1" applyBorder="1"/>
    <xf numFmtId="166" fontId="16" fillId="0" borderId="1" xfId="0" applyNumberFormat="1" applyFont="1" applyBorder="1"/>
    <xf numFmtId="0" fontId="24" fillId="10" borderId="6" xfId="0" applyFont="1" applyFill="1" applyBorder="1"/>
    <xf numFmtId="0" fontId="24" fillId="0" borderId="21" xfId="0" applyFont="1" applyBorder="1"/>
    <xf numFmtId="165" fontId="11" fillId="3" borderId="46" xfId="0" applyNumberFormat="1" applyFont="1" applyFill="1" applyBorder="1"/>
    <xf numFmtId="0" fontId="16" fillId="5" borderId="15" xfId="0" applyFont="1" applyFill="1" applyBorder="1"/>
    <xf numFmtId="0" fontId="16" fillId="5" borderId="16" xfId="0" applyFont="1" applyFill="1" applyBorder="1"/>
    <xf numFmtId="165" fontId="14" fillId="0" borderId="47" xfId="0" applyNumberFormat="1" applyFont="1" applyFill="1" applyBorder="1"/>
    <xf numFmtId="0" fontId="25" fillId="0" borderId="0" xfId="0" applyFont="1" applyFill="1" applyAlignment="1"/>
    <xf numFmtId="0" fontId="26" fillId="0" borderId="0" xfId="0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9" fontId="0" fillId="12" borderId="1" xfId="0" applyNumberFormat="1" applyFill="1" applyBorder="1" applyProtection="1">
      <protection locked="0"/>
    </xf>
    <xf numFmtId="0" fontId="0" fillId="12" borderId="0" xfId="0" applyFill="1" applyBorder="1" applyAlignment="1"/>
    <xf numFmtId="0" fontId="26" fillId="0" borderId="0" xfId="0" applyFont="1" applyFill="1" applyBorder="1" applyAlignment="1" applyProtection="1">
      <alignment horizontal="right"/>
    </xf>
    <xf numFmtId="0" fontId="26" fillId="0" borderId="0" xfId="0" applyFont="1" applyFill="1" applyBorder="1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27" fillId="0" borderId="0" xfId="0" applyFont="1" applyAlignment="1"/>
    <xf numFmtId="0" fontId="0" fillId="12" borderId="1" xfId="0" applyFill="1" applyBorder="1" applyProtection="1">
      <protection locked="0"/>
    </xf>
    <xf numFmtId="0" fontId="26" fillId="0" borderId="0" xfId="0" applyFont="1" applyBorder="1"/>
    <xf numFmtId="0" fontId="0" fillId="13" borderId="1" xfId="0" applyFill="1" applyBorder="1" applyProtection="1">
      <protection locked="0"/>
    </xf>
    <xf numFmtId="0" fontId="26" fillId="12" borderId="1" xfId="0" applyFont="1" applyFill="1" applyBorder="1" applyProtection="1">
      <protection locked="0"/>
    </xf>
    <xf numFmtId="3" fontId="0" fillId="12" borderId="1" xfId="0" applyNumberFormat="1" applyFill="1" applyBorder="1" applyProtection="1">
      <protection locked="0"/>
    </xf>
    <xf numFmtId="0" fontId="0" fillId="10" borderId="1" xfId="0" applyFill="1" applyBorder="1" applyAlignment="1">
      <alignment horizontal="center"/>
    </xf>
    <xf numFmtId="3" fontId="0" fillId="14" borderId="1" xfId="0" applyNumberFormat="1" applyFill="1" applyBorder="1"/>
    <xf numFmtId="0" fontId="26" fillId="12" borderId="1" xfId="0" applyFont="1" applyFill="1" applyBorder="1" applyAlignment="1" applyProtection="1">
      <alignment horizontal="right"/>
      <protection locked="0"/>
    </xf>
    <xf numFmtId="0" fontId="26" fillId="0" borderId="0" xfId="0" applyFont="1"/>
    <xf numFmtId="0" fontId="0" fillId="0" borderId="0" xfId="0" applyBorder="1" applyAlignment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28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6" fillId="0" borderId="1" xfId="0" applyFont="1" applyBorder="1" applyAlignment="1"/>
    <xf numFmtId="0" fontId="0" fillId="0" borderId="5" xfId="0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9" fillId="12" borderId="1" xfId="0" applyFont="1" applyFill="1" applyBorder="1" applyAlignment="1" applyProtection="1">
      <protection locked="0"/>
    </xf>
    <xf numFmtId="170" fontId="29" fillId="12" borderId="1" xfId="0" applyNumberFormat="1" applyFont="1" applyFill="1" applyBorder="1" applyAlignment="1" applyProtection="1">
      <protection locked="0"/>
    </xf>
    <xf numFmtId="0" fontId="26" fillId="12" borderId="1" xfId="0" applyFont="1" applyFill="1" applyBorder="1" applyAlignment="1" applyProtection="1">
      <alignment horizontal="center"/>
      <protection locked="0"/>
    </xf>
    <xf numFmtId="0" fontId="26" fillId="10" borderId="1" xfId="0" applyFont="1" applyFill="1" applyBorder="1" applyProtection="1"/>
    <xf numFmtId="0" fontId="0" fillId="14" borderId="1" xfId="0" applyFill="1" applyBorder="1" applyAlignment="1">
      <alignment horizontal="center"/>
    </xf>
    <xf numFmtId="0" fontId="26" fillId="13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/>
    <xf numFmtId="3" fontId="0" fillId="12" borderId="2" xfId="0" applyNumberFormat="1" applyFill="1" applyBorder="1" applyAlignment="1">
      <alignment horizontal="right"/>
    </xf>
    <xf numFmtId="3" fontId="0" fillId="14" borderId="12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0" borderId="0" xfId="0" applyNumberFormat="1" applyBorder="1"/>
    <xf numFmtId="0" fontId="28" fillId="14" borderId="0" xfId="0" applyFont="1" applyFill="1" applyBorder="1" applyAlignment="1">
      <alignment horizontal="center"/>
    </xf>
    <xf numFmtId="0" fontId="30" fillId="0" borderId="0" xfId="0" applyFont="1"/>
    <xf numFmtId="0" fontId="27" fillId="0" borderId="0" xfId="0" applyFont="1"/>
    <xf numFmtId="0" fontId="31" fillId="0" borderId="1" xfId="0" applyFont="1" applyBorder="1" applyAlignment="1">
      <alignment horizontal="right"/>
    </xf>
    <xf numFmtId="3" fontId="32" fillId="14" borderId="1" xfId="0" applyNumberFormat="1" applyFont="1" applyFill="1" applyBorder="1"/>
    <xf numFmtId="0" fontId="33" fillId="0" borderId="7" xfId="0" applyFont="1" applyBorder="1" applyAlignment="1">
      <alignment horizontal="center"/>
    </xf>
    <xf numFmtId="0" fontId="0" fillId="0" borderId="8" xfId="0" applyBorder="1" applyAlignment="1"/>
    <xf numFmtId="0" fontId="0" fillId="14" borderId="8" xfId="0" applyFill="1" applyBorder="1" applyAlignment="1"/>
    <xf numFmtId="0" fontId="28" fillId="0" borderId="8" xfId="0" applyFont="1" applyFill="1" applyBorder="1" applyAlignment="1"/>
    <xf numFmtId="0" fontId="28" fillId="14" borderId="0" xfId="0" applyFont="1" applyFill="1" applyBorder="1" applyAlignment="1"/>
    <xf numFmtId="0" fontId="0" fillId="12" borderId="1" xfId="0" applyFill="1" applyBorder="1" applyAlignment="1">
      <alignment horizontal="right"/>
    </xf>
    <xf numFmtId="0" fontId="0" fillId="14" borderId="7" xfId="0" applyFill="1" applyBorder="1"/>
    <xf numFmtId="0" fontId="28" fillId="0" borderId="0" xfId="0" applyFont="1" applyFill="1" applyBorder="1" applyAlignment="1"/>
    <xf numFmtId="0" fontId="31" fillId="0" borderId="5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3" fontId="32" fillId="0" borderId="0" xfId="0" applyNumberFormat="1" applyFont="1" applyFill="1" applyBorder="1"/>
    <xf numFmtId="0" fontId="0" fillId="12" borderId="1" xfId="0" applyFill="1" applyBorder="1" applyAlignment="1" applyProtection="1">
      <alignment horizontal="center"/>
      <protection locked="0"/>
    </xf>
    <xf numFmtId="3" fontId="0" fillId="14" borderId="1" xfId="0" applyNumberFormat="1" applyFill="1" applyBorder="1" applyAlignment="1">
      <alignment horizontal="center"/>
    </xf>
    <xf numFmtId="0" fontId="0" fillId="15" borderId="1" xfId="0" applyFill="1" applyBorder="1"/>
    <xf numFmtId="0" fontId="0" fillId="0" borderId="48" xfId="0" applyFill="1" applyBorder="1" applyAlignment="1">
      <alignment horizontal="center"/>
    </xf>
    <xf numFmtId="3" fontId="32" fillId="10" borderId="1" xfId="0" applyNumberFormat="1" applyFont="1" applyFill="1" applyBorder="1"/>
    <xf numFmtId="0" fontId="0" fillId="0" borderId="1" xfId="0" applyBorder="1" applyAlignment="1"/>
    <xf numFmtId="171" fontId="29" fillId="12" borderId="1" xfId="0" applyNumberFormat="1" applyFont="1" applyFill="1" applyBorder="1" applyAlignment="1" applyProtection="1">
      <protection locked="0"/>
    </xf>
    <xf numFmtId="0" fontId="26" fillId="0" borderId="0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1" xfId="0" applyFont="1" applyFill="1" applyBorder="1" applyAlignment="1">
      <alignment horizontal="center"/>
    </xf>
    <xf numFmtId="0" fontId="0" fillId="0" borderId="21" xfId="0" applyFill="1" applyBorder="1" applyAlignment="1"/>
    <xf numFmtId="172" fontId="29" fillId="12" borderId="1" xfId="0" applyNumberFormat="1" applyFont="1" applyFill="1" applyBorder="1" applyAlignment="1" applyProtection="1">
      <protection locked="0"/>
    </xf>
    <xf numFmtId="0" fontId="26" fillId="10" borderId="1" xfId="0" applyFont="1" applyFill="1" applyBorder="1" applyAlignment="1">
      <alignment horizontal="center"/>
    </xf>
    <xf numFmtId="0" fontId="26" fillId="1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14" borderId="1" xfId="0" applyFill="1" applyBorder="1"/>
    <xf numFmtId="3" fontId="32" fillId="14" borderId="1" xfId="0" applyNumberFormat="1" applyFont="1" applyFill="1" applyBorder="1" applyAlignment="1">
      <alignment horizontal="right"/>
    </xf>
    <xf numFmtId="0" fontId="28" fillId="0" borderId="1" xfId="0" applyFont="1" applyBorder="1"/>
    <xf numFmtId="173" fontId="18" fillId="13" borderId="1" xfId="0" applyNumberFormat="1" applyFont="1" applyFill="1" applyBorder="1" applyAlignment="1" applyProtection="1">
      <alignment horizontal="center" vertical="center"/>
      <protection locked="0"/>
    </xf>
    <xf numFmtId="173" fontId="26" fillId="13" borderId="1" xfId="0" applyNumberFormat="1" applyFont="1" applyFill="1" applyBorder="1" applyAlignment="1" applyProtection="1">
      <alignment horizontal="center" vertical="center"/>
      <protection locked="0"/>
    </xf>
    <xf numFmtId="0" fontId="18" fillId="12" borderId="1" xfId="0" applyFont="1" applyFill="1" applyBorder="1" applyProtection="1">
      <protection locked="0"/>
    </xf>
    <xf numFmtId="173" fontId="18" fillId="0" borderId="1" xfId="0" applyNumberFormat="1" applyFont="1" applyBorder="1" applyAlignment="1">
      <alignment horizontal="center" vertical="center"/>
    </xf>
    <xf numFmtId="173" fontId="26" fillId="0" borderId="1" xfId="0" applyNumberFormat="1" applyFont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8" fillId="0" borderId="0" xfId="0" applyFont="1" applyFill="1" applyBorder="1"/>
    <xf numFmtId="49" fontId="26" fillId="0" borderId="1" xfId="0" applyNumberFormat="1" applyFont="1" applyBorder="1" applyAlignment="1">
      <alignment horizontal="left" wrapText="1"/>
    </xf>
    <xf numFmtId="0" fontId="35" fillId="0" borderId="1" xfId="0" applyFont="1" applyBorder="1"/>
    <xf numFmtId="3" fontId="0" fillId="13" borderId="1" xfId="0" applyNumberFormat="1" applyFill="1" applyBorder="1" applyProtection="1">
      <protection locked="0"/>
    </xf>
    <xf numFmtId="0" fontId="26" fillId="0" borderId="1" xfId="0" applyNumberFormat="1" applyFont="1" applyBorder="1" applyAlignment="1">
      <alignment horizontal="right" wrapText="1"/>
    </xf>
    <xf numFmtId="173" fontId="0" fillId="13" borderId="1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3" fontId="27" fillId="0" borderId="0" xfId="0" applyNumberFormat="1" applyFont="1"/>
    <xf numFmtId="0" fontId="0" fillId="0" borderId="1" xfId="0" applyFill="1" applyBorder="1" applyAlignment="1"/>
    <xf numFmtId="0" fontId="37" fillId="0" borderId="0" xfId="0" applyFont="1" applyAlignment="1">
      <alignment horizontal="left"/>
    </xf>
    <xf numFmtId="9" fontId="0" fillId="0" borderId="1" xfId="0" applyNumberFormat="1" applyBorder="1"/>
    <xf numFmtId="3" fontId="0" fillId="0" borderId="1" xfId="0" applyNumberFormat="1" applyBorder="1" applyAlignment="1">
      <alignment horizontal="center"/>
    </xf>
    <xf numFmtId="9" fontId="26" fillId="2" borderId="1" xfId="0" applyNumberFormat="1" applyFont="1" applyFill="1" applyBorder="1"/>
    <xf numFmtId="9" fontId="0" fillId="0" borderId="1" xfId="0" applyNumberFormat="1" applyFill="1" applyBorder="1"/>
    <xf numFmtId="0" fontId="0" fillId="0" borderId="0" xfId="0" applyProtection="1"/>
    <xf numFmtId="2" fontId="0" fillId="12" borderId="1" xfId="0" applyNumberFormat="1" applyFill="1" applyBorder="1" applyProtection="1">
      <protection locked="0"/>
    </xf>
    <xf numFmtId="2" fontId="0" fillId="13" borderId="1" xfId="0" applyNumberFormat="1" applyFill="1" applyBorder="1" applyProtection="1">
      <protection locked="0"/>
    </xf>
    <xf numFmtId="0" fontId="26" fillId="12" borderId="1" xfId="1" applyFont="1" applyFill="1" applyBorder="1" applyAlignment="1" applyProtection="1">
      <alignment horizontal="right"/>
      <protection locked="0"/>
    </xf>
    <xf numFmtId="0" fontId="0" fillId="16" borderId="1" xfId="0" applyFill="1" applyBorder="1"/>
    <xf numFmtId="2" fontId="14" fillId="5" borderId="2" xfId="0" applyNumberFormat="1" applyFont="1" applyFill="1" applyBorder="1"/>
    <xf numFmtId="0" fontId="0" fillId="13" borderId="0" xfId="0" applyFill="1"/>
    <xf numFmtId="0" fontId="40" fillId="0" borderId="1" xfId="0" applyNumberFormat="1" applyFont="1" applyFill="1" applyBorder="1" applyProtection="1">
      <protection locked="0"/>
    </xf>
    <xf numFmtId="0" fontId="0" fillId="13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NumberFormat="1" applyAlignment="1"/>
    <xf numFmtId="168" fontId="41" fillId="3" borderId="11" xfId="0" applyNumberFormat="1" applyFont="1" applyFill="1" applyBorder="1"/>
    <xf numFmtId="0" fontId="0" fillId="12" borderId="1" xfId="0" applyNumberFormat="1" applyFill="1" applyBorder="1" applyProtection="1">
      <protection locked="0"/>
    </xf>
    <xf numFmtId="174" fontId="0" fillId="3" borderId="29" xfId="0" applyNumberFormat="1" applyFill="1" applyBorder="1"/>
    <xf numFmtId="0" fontId="0" fillId="0" borderId="49" xfId="0" applyBorder="1"/>
    <xf numFmtId="2" fontId="0" fillId="0" borderId="8" xfId="0" applyNumberFormat="1" applyBorder="1"/>
    <xf numFmtId="0" fontId="12" fillId="2" borderId="27" xfId="0" applyFont="1" applyFill="1" applyBorder="1"/>
    <xf numFmtId="0" fontId="0" fillId="0" borderId="27" xfId="0" applyBorder="1"/>
    <xf numFmtId="164" fontId="0" fillId="2" borderId="27" xfId="0" applyNumberFormat="1" applyFill="1" applyBorder="1"/>
    <xf numFmtId="164" fontId="0" fillId="2" borderId="42" xfId="0" applyNumberFormat="1" applyFill="1" applyBorder="1"/>
    <xf numFmtId="0" fontId="1" fillId="2" borderId="27" xfId="0" applyFont="1" applyFill="1" applyBorder="1"/>
    <xf numFmtId="0" fontId="0" fillId="2" borderId="27" xfId="0" applyFill="1" applyBorder="1"/>
    <xf numFmtId="0" fontId="12" fillId="2" borderId="51" xfId="0" applyFont="1" applyFill="1" applyBorder="1"/>
    <xf numFmtId="0" fontId="0" fillId="0" borderId="28" xfId="0" applyBorder="1"/>
    <xf numFmtId="0" fontId="0" fillId="3" borderId="34" xfId="0" applyFill="1" applyBorder="1"/>
    <xf numFmtId="0" fontId="9" fillId="10" borderId="52" xfId="0" applyFont="1" applyFill="1" applyBorder="1"/>
    <xf numFmtId="0" fontId="0" fillId="10" borderId="32" xfId="0" applyFill="1" applyBorder="1"/>
    <xf numFmtId="0" fontId="11" fillId="10" borderId="31" xfId="0" applyFont="1" applyFill="1" applyBorder="1"/>
    <xf numFmtId="0" fontId="11" fillId="7" borderId="53" xfId="0" applyFont="1" applyFill="1" applyBorder="1"/>
    <xf numFmtId="0" fontId="0" fillId="3" borderId="40" xfId="0" applyFill="1" applyBorder="1"/>
    <xf numFmtId="0" fontId="11" fillId="7" borderId="4" xfId="0" applyFont="1" applyFill="1" applyBorder="1"/>
    <xf numFmtId="0" fontId="0" fillId="7" borderId="54" xfId="0" applyFill="1" applyBorder="1"/>
    <xf numFmtId="167" fontId="14" fillId="3" borderId="54" xfId="0" applyNumberFormat="1" applyFont="1" applyFill="1" applyBorder="1"/>
    <xf numFmtId="166" fontId="16" fillId="0" borderId="54" xfId="0" applyNumberFormat="1" applyFont="1" applyBorder="1"/>
    <xf numFmtId="0" fontId="0" fillId="3" borderId="55" xfId="0" applyFill="1" applyBorder="1"/>
    <xf numFmtId="175" fontId="16" fillId="0" borderId="29" xfId="0" applyNumberFormat="1" applyFont="1" applyBorder="1"/>
    <xf numFmtId="175" fontId="16" fillId="0" borderId="26" xfId="0" applyNumberFormat="1" applyFont="1" applyBorder="1"/>
    <xf numFmtId="165" fontId="0" fillId="3" borderId="28" xfId="0" applyNumberFormat="1" applyFill="1" applyBorder="1"/>
    <xf numFmtId="0" fontId="0" fillId="0" borderId="1" xfId="0" applyBorder="1"/>
    <xf numFmtId="0" fontId="0" fillId="0" borderId="0" xfId="0" applyNumberFormat="1" applyBorder="1"/>
    <xf numFmtId="0" fontId="0" fillId="0" borderId="1" xfId="0" applyBorder="1"/>
    <xf numFmtId="0" fontId="11" fillId="0" borderId="0" xfId="0" applyFont="1" applyFill="1" applyBorder="1"/>
    <xf numFmtId="0" fontId="0" fillId="0" borderId="36" xfId="0" applyBorder="1"/>
    <xf numFmtId="0" fontId="0" fillId="0" borderId="35" xfId="0" applyBorder="1"/>
    <xf numFmtId="0" fontId="0" fillId="0" borderId="57" xfId="0" applyBorder="1"/>
    <xf numFmtId="0" fontId="0" fillId="0" borderId="33" xfId="0" applyBorder="1"/>
    <xf numFmtId="0" fontId="0" fillId="0" borderId="34" xfId="0" applyBorder="1"/>
    <xf numFmtId="174" fontId="23" fillId="17" borderId="32" xfId="0" applyNumberFormat="1" applyFont="1" applyFill="1" applyBorder="1"/>
    <xf numFmtId="0" fontId="1" fillId="16" borderId="19" xfId="0" applyFont="1" applyFill="1" applyBorder="1"/>
    <xf numFmtId="0" fontId="1" fillId="16" borderId="20" xfId="0" applyFont="1" applyFill="1" applyBorder="1"/>
    <xf numFmtId="0" fontId="1" fillId="16" borderId="13" xfId="0" applyFont="1" applyFill="1" applyBorder="1"/>
    <xf numFmtId="0" fontId="1" fillId="16" borderId="14" xfId="0" applyFont="1" applyFill="1" applyBorder="1"/>
    <xf numFmtId="0" fontId="0" fillId="16" borderId="56" xfId="0" applyFill="1" applyBorder="1"/>
    <xf numFmtId="0" fontId="0" fillId="16" borderId="45" xfId="0" applyFill="1" applyBorder="1"/>
    <xf numFmtId="0" fontId="0" fillId="16" borderId="2" xfId="0" applyFill="1" applyBorder="1"/>
    <xf numFmtId="2" fontId="0" fillId="11" borderId="0" xfId="0" applyNumberFormat="1" applyFill="1"/>
    <xf numFmtId="0" fontId="0" fillId="0" borderId="5" xfId="0" applyBorder="1"/>
    <xf numFmtId="2" fontId="0" fillId="18" borderId="1" xfId="0" applyNumberFormat="1" applyFill="1" applyBorder="1"/>
    <xf numFmtId="0" fontId="0" fillId="19" borderId="7" xfId="0" applyFill="1" applyBorder="1"/>
    <xf numFmtId="0" fontId="0" fillId="19" borderId="9" xfId="0" applyFill="1" applyBorder="1"/>
    <xf numFmtId="0" fontId="0" fillId="19" borderId="12" xfId="0" applyFill="1" applyBorder="1"/>
    <xf numFmtId="0" fontId="0" fillId="20" borderId="1" xfId="0" applyFill="1" applyBorder="1"/>
    <xf numFmtId="164" fontId="0" fillId="20" borderId="1" xfId="0" applyNumberFormat="1" applyFill="1" applyBorder="1"/>
    <xf numFmtId="174" fontId="0" fillId="20" borderId="1" xfId="0" applyNumberFormat="1" applyFill="1" applyBorder="1"/>
    <xf numFmtId="0" fontId="0" fillId="18" borderId="5" xfId="0" applyFill="1" applyBorder="1"/>
    <xf numFmtId="0" fontId="0" fillId="18" borderId="7" xfId="0" applyFill="1" applyBorder="1"/>
    <xf numFmtId="0" fontId="0" fillId="18" borderId="48" xfId="0" applyFill="1" applyBorder="1"/>
    <xf numFmtId="0" fontId="0" fillId="18" borderId="10" xfId="0" applyFill="1" applyBorder="1"/>
    <xf numFmtId="0" fontId="0" fillId="18" borderId="0" xfId="0" applyFill="1" applyBorder="1"/>
    <xf numFmtId="0" fontId="42" fillId="18" borderId="0" xfId="0" applyFont="1" applyFill="1" applyBorder="1"/>
    <xf numFmtId="0" fontId="0" fillId="18" borderId="1" xfId="0" applyFill="1" applyBorder="1"/>
    <xf numFmtId="0" fontId="0" fillId="18" borderId="15" xfId="0" applyFill="1" applyBorder="1"/>
    <xf numFmtId="0" fontId="0" fillId="18" borderId="16" xfId="0" applyFill="1" applyBorder="1"/>
    <xf numFmtId="0" fontId="0" fillId="18" borderId="23" xfId="0" applyFill="1" applyBorder="1"/>
    <xf numFmtId="0" fontId="1" fillId="0" borderId="45" xfId="0" applyFont="1" applyFill="1" applyBorder="1"/>
    <xf numFmtId="0" fontId="0" fillId="21" borderId="1" xfId="0" applyFill="1" applyBorder="1"/>
    <xf numFmtId="174" fontId="22" fillId="0" borderId="21" xfId="0" applyNumberFormat="1" applyFont="1" applyBorder="1"/>
    <xf numFmtId="0" fontId="0" fillId="21" borderId="8" xfId="0" applyFill="1" applyBorder="1"/>
    <xf numFmtId="0" fontId="0" fillId="21" borderId="9" xfId="0" applyFill="1" applyBorder="1"/>
    <xf numFmtId="0" fontId="0" fillId="21" borderId="0" xfId="0" applyFill="1" applyBorder="1"/>
    <xf numFmtId="0" fontId="0" fillId="21" borderId="21" xfId="0" applyFill="1" applyBorder="1"/>
    <xf numFmtId="0" fontId="21" fillId="21" borderId="1" xfId="0" applyFont="1" applyFill="1" applyBorder="1"/>
    <xf numFmtId="0" fontId="0" fillId="21" borderId="11" xfId="0" applyFill="1" applyBorder="1"/>
    <xf numFmtId="0" fontId="0" fillId="21" borderId="12" xfId="0" applyFill="1" applyBorder="1"/>
    <xf numFmtId="0" fontId="0" fillId="21" borderId="15" xfId="0" applyFill="1" applyBorder="1"/>
    <xf numFmtId="0" fontId="0" fillId="21" borderId="16" xfId="0" applyFill="1" applyBorder="1"/>
    <xf numFmtId="165" fontId="14" fillId="21" borderId="1" xfId="0" applyNumberFormat="1" applyFont="1" applyFill="1" applyBorder="1"/>
    <xf numFmtId="0" fontId="0" fillId="21" borderId="15" xfId="0" applyFont="1" applyFill="1" applyBorder="1"/>
    <xf numFmtId="0" fontId="0" fillId="21" borderId="16" xfId="0" applyFont="1" applyFill="1" applyBorder="1"/>
    <xf numFmtId="0" fontId="0" fillId="21" borderId="2" xfId="0" applyFill="1" applyBorder="1"/>
    <xf numFmtId="0" fontId="0" fillId="0" borderId="56" xfId="0" applyBorder="1"/>
    <xf numFmtId="0" fontId="0" fillId="21" borderId="36" xfId="0" applyFill="1" applyBorder="1"/>
    <xf numFmtId="0" fontId="0" fillId="21" borderId="35" xfId="0" applyFill="1" applyBorder="1"/>
    <xf numFmtId="0" fontId="0" fillId="21" borderId="57" xfId="0" applyFill="1" applyBorder="1"/>
    <xf numFmtId="0" fontId="0" fillId="21" borderId="53" xfId="0" applyFill="1" applyBorder="1"/>
    <xf numFmtId="0" fontId="0" fillId="21" borderId="34" xfId="0" applyFill="1" applyBorder="1"/>
    <xf numFmtId="0" fontId="0" fillId="21" borderId="33" xfId="0" applyFill="1" applyBorder="1"/>
    <xf numFmtId="2" fontId="0" fillId="21" borderId="34" xfId="0" applyNumberFormat="1" applyFill="1" applyBorder="1"/>
    <xf numFmtId="0" fontId="0" fillId="21" borderId="52" xfId="0" applyFill="1" applyBorder="1"/>
    <xf numFmtId="0" fontId="0" fillId="21" borderId="58" xfId="0" applyFill="1" applyBorder="1"/>
    <xf numFmtId="0" fontId="0" fillId="21" borderId="59" xfId="0" applyFill="1" applyBorder="1"/>
    <xf numFmtId="0" fontId="0" fillId="21" borderId="39" xfId="0" applyFill="1" applyBorder="1"/>
    <xf numFmtId="0" fontId="0" fillId="21" borderId="56" xfId="0" applyFill="1" applyBorder="1"/>
    <xf numFmtId="0" fontId="0" fillId="21" borderId="45" xfId="0" applyFill="1" applyBorder="1"/>
    <xf numFmtId="0" fontId="0" fillId="21" borderId="30" xfId="0" applyFill="1" applyBorder="1"/>
    <xf numFmtId="2" fontId="14" fillId="22" borderId="9" xfId="0" applyNumberFormat="1" applyFont="1" applyFill="1" applyBorder="1"/>
    <xf numFmtId="2" fontId="14" fillId="22" borderId="7" xfId="0" applyNumberFormat="1" applyFont="1" applyFill="1" applyBorder="1"/>
    <xf numFmtId="0" fontId="0" fillId="16" borderId="0" xfId="0" applyFill="1"/>
    <xf numFmtId="0" fontId="0" fillId="23" borderId="0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31" xfId="0" applyFill="1" applyBorder="1"/>
    <xf numFmtId="0" fontId="0" fillId="0" borderId="33" xfId="0" applyFill="1" applyBorder="1"/>
    <xf numFmtId="0" fontId="0" fillId="0" borderId="36" xfId="0" applyFill="1" applyBorder="1"/>
    <xf numFmtId="0" fontId="0" fillId="0" borderId="21" xfId="0" applyFill="1" applyBorder="1"/>
    <xf numFmtId="0" fontId="0" fillId="18" borderId="8" xfId="0" applyFill="1" applyBorder="1"/>
    <xf numFmtId="0" fontId="0" fillId="20" borderId="15" xfId="0" applyFill="1" applyBorder="1" applyAlignment="1">
      <alignment wrapText="1"/>
    </xf>
    <xf numFmtId="0" fontId="0" fillId="0" borderId="16" xfId="0" applyFill="1" applyBorder="1"/>
    <xf numFmtId="0" fontId="0" fillId="0" borderId="2" xfId="0" applyFill="1" applyBorder="1"/>
    <xf numFmtId="0" fontId="43" fillId="18" borderId="48" xfId="0" applyFont="1" applyFill="1" applyBorder="1"/>
    <xf numFmtId="0" fontId="0" fillId="0" borderId="10" xfId="0" applyBorder="1"/>
    <xf numFmtId="0" fontId="0" fillId="0" borderId="0" xfId="0" applyNumberFormat="1" applyFill="1" applyBorder="1"/>
    <xf numFmtId="0" fontId="0" fillId="24" borderId="1" xfId="0" applyFill="1" applyBorder="1"/>
    <xf numFmtId="0" fontId="0" fillId="24" borderId="6" xfId="0" applyFill="1" applyBorder="1"/>
    <xf numFmtId="0" fontId="0" fillId="24" borderId="7" xfId="0" applyFill="1" applyBorder="1"/>
    <xf numFmtId="0" fontId="0" fillId="18" borderId="6" xfId="0" applyFill="1" applyBorder="1"/>
    <xf numFmtId="0" fontId="0" fillId="19" borderId="6" xfId="0" applyFill="1" applyBorder="1"/>
    <xf numFmtId="0" fontId="0" fillId="19" borderId="8" xfId="0" applyFill="1" applyBorder="1"/>
    <xf numFmtId="0" fontId="0" fillId="19" borderId="11" xfId="0" applyFill="1" applyBorder="1"/>
    <xf numFmtId="0" fontId="0" fillId="0" borderId="48" xfId="0" applyBorder="1"/>
    <xf numFmtId="0" fontId="0" fillId="3" borderId="5" xfId="0" applyFill="1" applyBorder="1"/>
    <xf numFmtId="0" fontId="0" fillId="23" borderId="5" xfId="0" applyFill="1" applyBorder="1"/>
    <xf numFmtId="0" fontId="0" fillId="23" borderId="6" xfId="0" applyFill="1" applyBorder="1"/>
    <xf numFmtId="0" fontId="0" fillId="23" borderId="7" xfId="0" applyFill="1" applyBorder="1"/>
    <xf numFmtId="164" fontId="0" fillId="23" borderId="9" xfId="0" applyNumberFormat="1" applyFill="1" applyBorder="1"/>
    <xf numFmtId="0" fontId="0" fillId="23" borderId="48" xfId="0" applyFill="1" applyBorder="1"/>
    <xf numFmtId="0" fontId="0" fillId="23" borderId="9" xfId="0" applyFill="1" applyBorder="1" applyAlignment="1">
      <alignment horizontal="right"/>
    </xf>
    <xf numFmtId="0" fontId="0" fillId="23" borderId="21" xfId="0" applyFill="1" applyBorder="1"/>
    <xf numFmtId="0" fontId="8" fillId="23" borderId="21" xfId="0" applyFont="1" applyFill="1" applyBorder="1"/>
    <xf numFmtId="0" fontId="8" fillId="23" borderId="0" xfId="0" applyFont="1" applyFill="1" applyBorder="1"/>
    <xf numFmtId="0" fontId="0" fillId="23" borderId="10" xfId="0" applyFill="1" applyBorder="1"/>
    <xf numFmtId="0" fontId="0" fillId="23" borderId="11" xfId="0" applyFill="1" applyBorder="1"/>
    <xf numFmtId="0" fontId="0" fillId="23" borderId="12" xfId="0" applyFill="1" applyBorder="1"/>
    <xf numFmtId="0" fontId="45" fillId="0" borderId="11" xfId="0" applyFont="1" applyFill="1" applyBorder="1"/>
    <xf numFmtId="176" fontId="0" fillId="0" borderId="12" xfId="0" applyNumberFormat="1" applyBorder="1"/>
    <xf numFmtId="0" fontId="0" fillId="3" borderId="49" xfId="0" applyFill="1" applyBorder="1"/>
    <xf numFmtId="0" fontId="0" fillId="13" borderId="8" xfId="0" applyFill="1" applyBorder="1"/>
    <xf numFmtId="0" fontId="0" fillId="13" borderId="0" xfId="0" applyFill="1" applyBorder="1"/>
    <xf numFmtId="2" fontId="0" fillId="13" borderId="2" xfId="0" applyNumberFormat="1" applyFill="1" applyBorder="1"/>
    <xf numFmtId="174" fontId="0" fillId="13" borderId="21" xfId="0" applyNumberFormat="1" applyFill="1" applyBorder="1"/>
    <xf numFmtId="2" fontId="14" fillId="25" borderId="28" xfId="0" applyNumberFormat="1" applyFont="1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NumberFormat="1" applyBorder="1"/>
    <xf numFmtId="164" fontId="0" fillId="0" borderId="1" xfId="0" applyNumberFormat="1" applyFill="1" applyBorder="1"/>
    <xf numFmtId="164" fontId="0" fillId="0" borderId="1" xfId="0" applyNumberFormat="1" applyBorder="1"/>
    <xf numFmtId="2" fontId="43" fillId="16" borderId="56" xfId="0" applyNumberFormat="1" applyFont="1" applyFill="1" applyBorder="1"/>
    <xf numFmtId="2" fontId="43" fillId="16" borderId="3" xfId="0" applyNumberFormat="1" applyFont="1" applyFill="1" applyBorder="1"/>
    <xf numFmtId="0" fontId="43" fillId="0" borderId="60" xfId="0" applyFont="1" applyBorder="1"/>
    <xf numFmtId="0" fontId="43" fillId="0" borderId="61" xfId="0" applyFont="1" applyBorder="1"/>
    <xf numFmtId="2" fontId="0" fillId="13" borderId="11" xfId="0" applyNumberFormat="1" applyFill="1" applyBorder="1"/>
    <xf numFmtId="2" fontId="0" fillId="13" borderId="6" xfId="0" applyNumberFormat="1" applyFill="1" applyBorder="1"/>
    <xf numFmtId="0" fontId="44" fillId="0" borderId="48" xfId="0" applyFont="1" applyBorder="1"/>
    <xf numFmtId="2" fontId="0" fillId="25" borderId="0" xfId="0" applyNumberFormat="1" applyFill="1" applyBorder="1"/>
    <xf numFmtId="0" fontId="42" fillId="0" borderId="0" xfId="0" applyFont="1" applyBorder="1"/>
    <xf numFmtId="0" fontId="22" fillId="0" borderId="48" xfId="0" applyFont="1" applyBorder="1"/>
    <xf numFmtId="0" fontId="22" fillId="0" borderId="0" xfId="0" applyFont="1" applyBorder="1"/>
    <xf numFmtId="0" fontId="11" fillId="0" borderId="48" xfId="0" applyFont="1" applyFill="1" applyBorder="1"/>
    <xf numFmtId="0" fontId="0" fillId="0" borderId="48" xfId="0" applyFill="1" applyBorder="1"/>
    <xf numFmtId="0" fontId="0" fillId="0" borderId="48" xfId="0" applyNumberFormat="1" applyBorder="1"/>
    <xf numFmtId="0" fontId="44" fillId="0" borderId="48" xfId="0" applyNumberFormat="1" applyFont="1" applyBorder="1"/>
    <xf numFmtId="0" fontId="46" fillId="0" borderId="0" xfId="0" applyFont="1" applyBorder="1"/>
    <xf numFmtId="0" fontId="0" fillId="25" borderId="0" xfId="0" applyFill="1" applyBorder="1"/>
    <xf numFmtId="2" fontId="0" fillId="0" borderId="29" xfId="0" applyNumberFormat="1" applyBorder="1"/>
    <xf numFmtId="2" fontId="0" fillId="8" borderId="34" xfId="0" applyNumberFormat="1" applyFill="1" applyBorder="1"/>
    <xf numFmtId="0" fontId="45" fillId="0" borderId="10" xfId="0" applyFont="1" applyBorder="1"/>
    <xf numFmtId="0" fontId="0" fillId="0" borderId="0" xfId="0" applyFill="1" applyBorder="1" applyProtection="1">
      <protection locked="0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49" fillId="28" borderId="1" xfId="4" applyBorder="1"/>
    <xf numFmtId="0" fontId="50" fillId="29" borderId="1" xfId="5" applyBorder="1"/>
    <xf numFmtId="0" fontId="50" fillId="29" borderId="63" xfId="5" applyBorder="1"/>
    <xf numFmtId="0" fontId="0" fillId="0" borderId="49" xfId="0" applyBorder="1" applyAlignment="1">
      <alignment horizontal="left"/>
    </xf>
    <xf numFmtId="0" fontId="50" fillId="29" borderId="64" xfId="5" applyBorder="1" applyAlignment="1">
      <alignment horizontal="right"/>
    </xf>
    <xf numFmtId="0" fontId="50" fillId="29" borderId="1" xfId="5" applyBorder="1" applyAlignment="1">
      <alignment horizontal="center"/>
    </xf>
    <xf numFmtId="0" fontId="21" fillId="0" borderId="48" xfId="0" applyFont="1" applyBorder="1" applyAlignment="1">
      <alignment horizontal="center" vertical="center"/>
    </xf>
    <xf numFmtId="0" fontId="50" fillId="29" borderId="65" xfId="5" applyBorder="1"/>
    <xf numFmtId="0" fontId="11" fillId="28" borderId="1" xfId="4" applyFont="1" applyBorder="1"/>
    <xf numFmtId="0" fontId="50" fillId="29" borderId="62" xfId="5"/>
    <xf numFmtId="0" fontId="50" fillId="29" borderId="64" xfId="5" applyBorder="1"/>
    <xf numFmtId="0" fontId="49" fillId="28" borderId="15" xfId="4" applyBorder="1" applyAlignment="1">
      <alignment horizontal="center"/>
    </xf>
    <xf numFmtId="0" fontId="21" fillId="0" borderId="0" xfId="0" applyFont="1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15" xfId="0" applyBorder="1" applyAlignment="1">
      <alignment horizontal="left"/>
    </xf>
    <xf numFmtId="0" fontId="21" fillId="0" borderId="1" xfId="0" applyFont="1" applyBorder="1"/>
    <xf numFmtId="0" fontId="42" fillId="0" borderId="20" xfId="0" applyFont="1" applyBorder="1"/>
    <xf numFmtId="0" fontId="0" fillId="0" borderId="2" xfId="0" applyBorder="1"/>
    <xf numFmtId="0" fontId="42" fillId="0" borderId="0" xfId="0" applyFont="1"/>
    <xf numFmtId="0" fontId="49" fillId="28" borderId="15" xfId="4" applyBorder="1"/>
    <xf numFmtId="0" fontId="50" fillId="29" borderId="15" xfId="5" applyBorder="1"/>
    <xf numFmtId="0" fontId="49" fillId="30" borderId="2" xfId="4" applyFill="1" applyBorder="1"/>
    <xf numFmtId="0" fontId="49" fillId="28" borderId="68" xfId="4" applyBorder="1"/>
    <xf numFmtId="0" fontId="49" fillId="28" borderId="70" xfId="4" applyBorder="1"/>
    <xf numFmtId="0" fontId="49" fillId="28" borderId="72" xfId="4" applyBorder="1"/>
    <xf numFmtId="0" fontId="49" fillId="30" borderId="15" xfId="4" applyFill="1" applyBorder="1"/>
    <xf numFmtId="0" fontId="49" fillId="28" borderId="14" xfId="4" applyBorder="1"/>
    <xf numFmtId="0" fontId="0" fillId="0" borderId="7" xfId="0" applyBorder="1" applyAlignment="1">
      <alignment horizontal="center" vertical="center"/>
    </xf>
    <xf numFmtId="0" fontId="49" fillId="31" borderId="16" xfId="4" applyFill="1" applyBorder="1" applyAlignment="1">
      <alignment horizontal="center" vertical="center"/>
    </xf>
    <xf numFmtId="0" fontId="49" fillId="28" borderId="14" xfId="4" applyBorder="1" applyAlignment="1">
      <alignment horizontal="center" vertical="center"/>
    </xf>
    <xf numFmtId="0" fontId="50" fillId="29" borderId="66" xfId="5" applyBorder="1" applyAlignment="1">
      <alignment horizontal="center"/>
    </xf>
    <xf numFmtId="0" fontId="50" fillId="29" borderId="67" xfId="5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47" fillId="26" borderId="5" xfId="2" applyBorder="1" applyAlignment="1">
      <alignment horizontal="center"/>
    </xf>
    <xf numFmtId="0" fontId="47" fillId="26" borderId="6" xfId="2" applyBorder="1" applyAlignment="1">
      <alignment horizontal="center"/>
    </xf>
    <xf numFmtId="0" fontId="47" fillId="26" borderId="7" xfId="2" applyBorder="1" applyAlignment="1">
      <alignment horizontal="center"/>
    </xf>
    <xf numFmtId="0" fontId="50" fillId="29" borderId="62" xfId="5" applyAlignment="1">
      <alignment horizontal="center"/>
    </xf>
    <xf numFmtId="0" fontId="47" fillId="26" borderId="1" xfId="2" applyBorder="1" applyAlignment="1">
      <alignment wrapText="1"/>
    </xf>
    <xf numFmtId="0" fontId="47" fillId="26" borderId="1" xfId="2" applyBorder="1" applyAlignment="1">
      <alignment horizontal="center"/>
    </xf>
    <xf numFmtId="0" fontId="48" fillId="27" borderId="5" xfId="3" applyBorder="1" applyAlignment="1">
      <alignment horizontal="center"/>
    </xf>
    <xf numFmtId="0" fontId="48" fillId="27" borderId="6" xfId="3" applyBorder="1" applyAlignment="1">
      <alignment horizontal="center"/>
    </xf>
    <xf numFmtId="0" fontId="48" fillId="27" borderId="7" xfId="3" applyBorder="1" applyAlignment="1">
      <alignment horizontal="center"/>
    </xf>
    <xf numFmtId="0" fontId="47" fillId="26" borderId="5" xfId="2" applyBorder="1" applyAlignment="1">
      <alignment horizontal="center" wrapText="1"/>
    </xf>
    <xf numFmtId="0" fontId="47" fillId="26" borderId="6" xfId="2" applyBorder="1" applyAlignment="1">
      <alignment horizontal="center" wrapText="1"/>
    </xf>
    <xf numFmtId="0" fontId="47" fillId="26" borderId="7" xfId="2" applyBorder="1" applyAlignment="1">
      <alignment horizontal="center" wrapText="1"/>
    </xf>
    <xf numFmtId="0" fontId="47" fillId="26" borderId="15" xfId="2" applyBorder="1"/>
    <xf numFmtId="0" fontId="53" fillId="0" borderId="2" xfId="0" applyFont="1" applyBorder="1" applyAlignment="1">
      <alignment wrapText="1"/>
    </xf>
    <xf numFmtId="0" fontId="47" fillId="26" borderId="1" xfId="2" applyBorder="1" applyAlignment="1">
      <alignment horizontal="left"/>
    </xf>
    <xf numFmtId="0" fontId="0" fillId="0" borderId="0" xfId="0" applyAlignment="1">
      <alignment horizontal="center"/>
    </xf>
    <xf numFmtId="0" fontId="47" fillId="26" borderId="18" xfId="2" applyBorder="1" applyAlignment="1">
      <alignment horizontal="center" vertical="center"/>
    </xf>
    <xf numFmtId="0" fontId="47" fillId="26" borderId="13" xfId="2" applyBorder="1" applyAlignment="1">
      <alignment horizontal="center" vertical="center"/>
    </xf>
    <xf numFmtId="0" fontId="47" fillId="26" borderId="16" xfId="2" applyBorder="1" applyAlignment="1">
      <alignment horizontal="center" vertical="center" wrapText="1"/>
    </xf>
    <xf numFmtId="0" fontId="47" fillId="26" borderId="2" xfId="2" applyBorder="1"/>
    <xf numFmtId="0" fontId="47" fillId="26" borderId="18" xfId="2" applyBorder="1"/>
    <xf numFmtId="0" fontId="47" fillId="26" borderId="13" xfId="2" applyBorder="1"/>
    <xf numFmtId="0" fontId="52" fillId="0" borderId="10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0" fillId="29" borderId="63" xfId="5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47" fillId="26" borderId="15" xfId="2" applyBorder="1" applyAlignment="1">
      <alignment horizontal="left"/>
    </xf>
    <xf numFmtId="0" fontId="47" fillId="26" borderId="43" xfId="2" applyBorder="1"/>
    <xf numFmtId="0" fontId="47" fillId="26" borderId="44" xfId="2" applyBorder="1"/>
    <xf numFmtId="0" fontId="47" fillId="26" borderId="69" xfId="2" applyBorder="1"/>
    <xf numFmtId="0" fontId="47" fillId="26" borderId="1" xfId="2" applyBorder="1"/>
    <xf numFmtId="0" fontId="47" fillId="26" borderId="71" xfId="2" applyBorder="1"/>
    <xf numFmtId="0" fontId="47" fillId="26" borderId="25" xfId="2" applyBorder="1"/>
    <xf numFmtId="0" fontId="20" fillId="2" borderId="0" xfId="0" applyFont="1" applyFill="1" applyBorder="1" applyAlignment="1">
      <alignment horizontal="center" textRotation="90"/>
    </xf>
    <xf numFmtId="0" fontId="0" fillId="2" borderId="0" xfId="0" applyFill="1" applyBorder="1" applyAlignment="1">
      <alignment horizontal="center"/>
    </xf>
    <xf numFmtId="0" fontId="19" fillId="7" borderId="36" xfId="0" applyFont="1" applyFill="1" applyBorder="1" applyAlignment="1">
      <alignment horizontal="center" wrapText="1"/>
    </xf>
    <xf numFmtId="0" fontId="19" fillId="7" borderId="50" xfId="0" applyFont="1" applyFill="1" applyBorder="1" applyAlignment="1">
      <alignment horizontal="center" wrapText="1"/>
    </xf>
    <xf numFmtId="0" fontId="19" fillId="7" borderId="52" xfId="0" applyFont="1" applyFill="1" applyBorder="1" applyAlignment="1">
      <alignment horizontal="center" wrapText="1"/>
    </xf>
    <xf numFmtId="0" fontId="19" fillId="7" borderId="1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5" fillId="0" borderId="56" xfId="0" applyFont="1" applyBorder="1" applyAlignment="1">
      <alignment horizontal="center"/>
    </xf>
    <xf numFmtId="0" fontId="5" fillId="0" borderId="45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0" fillId="0" borderId="15" xfId="0" applyFill="1" applyBorder="1" applyAlignment="1" applyProtection="1">
      <alignment horizontal="right"/>
    </xf>
    <xf numFmtId="0" fontId="26" fillId="13" borderId="15" xfId="0" applyNumberFormat="1" applyFont="1" applyFill="1" applyBorder="1" applyAlignment="1" applyProtection="1">
      <alignment horizontal="center"/>
    </xf>
    <xf numFmtId="0" fontId="0" fillId="13" borderId="15" xfId="0" applyNumberFormat="1" applyFill="1" applyBorder="1" applyAlignment="1" applyProtection="1">
      <alignment horizontal="center"/>
    </xf>
    <xf numFmtId="3" fontId="31" fillId="15" borderId="5" xfId="0" applyNumberFormat="1" applyFont="1" applyFill="1" applyBorder="1" applyAlignment="1">
      <alignment horizontal="center"/>
    </xf>
    <xf numFmtId="3" fontId="31" fillId="15" borderId="7" xfId="0" applyNumberFormat="1" applyFont="1" applyFill="1" applyBorder="1" applyAlignment="1">
      <alignment horizontal="center"/>
    </xf>
    <xf numFmtId="0" fontId="26" fillId="0" borderId="5" xfId="0" applyFont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3" fontId="31" fillId="15" borderId="1" xfId="0" applyNumberFormat="1" applyFont="1" applyFill="1" applyBorder="1" applyAlignment="1">
      <alignment horizontal="center"/>
    </xf>
    <xf numFmtId="0" fontId="26" fillId="7" borderId="1" xfId="0" applyFont="1" applyFill="1" applyBorder="1" applyAlignment="1" applyProtection="1">
      <alignment horizontal="right"/>
    </xf>
    <xf numFmtId="0" fontId="26" fillId="12" borderId="5" xfId="0" applyFont="1" applyFill="1" applyBorder="1" applyAlignment="1" applyProtection="1">
      <alignment horizontal="center" vertical="center"/>
    </xf>
    <xf numFmtId="0" fontId="0" fillId="12" borderId="6" xfId="0" applyFill="1" applyBorder="1" applyAlignment="1" applyProtection="1">
      <alignment horizontal="center" vertical="center"/>
    </xf>
    <xf numFmtId="0" fontId="0" fillId="12" borderId="7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right"/>
    </xf>
    <xf numFmtId="0" fontId="0" fillId="2" borderId="6" xfId="0" applyFill="1" applyBorder="1" applyAlignment="1" applyProtection="1">
      <alignment horizontal="right"/>
    </xf>
    <xf numFmtId="0" fontId="0" fillId="2" borderId="7" xfId="0" applyFill="1" applyBorder="1" applyAlignment="1" applyProtection="1">
      <alignment horizontal="right"/>
    </xf>
    <xf numFmtId="0" fontId="26" fillId="12" borderId="1" xfId="0" applyNumberFormat="1" applyFont="1" applyFill="1" applyBorder="1" applyAlignment="1" applyProtection="1">
      <alignment horizontal="center"/>
    </xf>
    <xf numFmtId="0" fontId="0" fillId="12" borderId="1" xfId="0" applyNumberFormat="1" applyFill="1" applyBorder="1" applyAlignment="1" applyProtection="1">
      <alignment horizontal="center"/>
    </xf>
    <xf numFmtId="0" fontId="0" fillId="14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6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28" fillId="0" borderId="19" xfId="0" applyFont="1" applyBorder="1" applyAlignment="1">
      <alignment horizontal="center"/>
    </xf>
    <xf numFmtId="0" fontId="28" fillId="0" borderId="1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8" fillId="0" borderId="0" xfId="0" applyFont="1" applyAlignment="1">
      <alignment horizontal="center"/>
    </xf>
    <xf numFmtId="0" fontId="36" fillId="0" borderId="48" xfId="0" applyFont="1" applyBorder="1" applyAlignment="1">
      <alignment horizontal="left"/>
    </xf>
    <xf numFmtId="0" fontId="36" fillId="0" borderId="0" xfId="0" applyFont="1" applyAlignment="1">
      <alignment horizontal="left"/>
    </xf>
    <xf numFmtId="0" fontId="26" fillId="0" borderId="1" xfId="0" applyFont="1" applyBorder="1"/>
    <xf numFmtId="0" fontId="0" fillId="0" borderId="1" xfId="0" applyBorder="1"/>
    <xf numFmtId="0" fontId="31" fillId="0" borderId="5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6" fillId="0" borderId="5" xfId="0" applyFont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26" fillId="0" borderId="7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29" fillId="12" borderId="1" xfId="0" applyFont="1" applyFill="1" applyBorder="1" applyAlignment="1" applyProtection="1">
      <alignment horizontal="left"/>
      <protection locked="0"/>
    </xf>
    <xf numFmtId="0" fontId="29" fillId="12" borderId="5" xfId="0" applyFont="1" applyFill="1" applyBorder="1" applyAlignment="1" applyProtection="1">
      <alignment horizontal="left"/>
      <protection locked="0"/>
    </xf>
    <xf numFmtId="0" fontId="29" fillId="12" borderId="6" xfId="0" applyFont="1" applyFill="1" applyBorder="1" applyAlignment="1" applyProtection="1">
      <alignment horizontal="left"/>
      <protection locked="0"/>
    </xf>
    <xf numFmtId="0" fontId="29" fillId="12" borderId="7" xfId="0" applyFont="1" applyFill="1" applyBorder="1" applyAlignment="1" applyProtection="1">
      <alignment horizontal="left"/>
      <protection locked="0"/>
    </xf>
    <xf numFmtId="0" fontId="26" fillId="0" borderId="5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7" xfId="0" applyFont="1" applyBorder="1" applyAlignment="1">
      <alignment horizontal="center"/>
    </xf>
    <xf numFmtId="0" fontId="29" fillId="12" borderId="1" xfId="0" applyFont="1" applyFill="1" applyBorder="1" applyAlignment="1" applyProtection="1">
      <alignment horizontal="center"/>
      <protection locked="0"/>
    </xf>
    <xf numFmtId="0" fontId="26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6" fillId="0" borderId="1" xfId="0" applyFont="1" applyBorder="1" applyAlignment="1">
      <alignment horizontal="center" wrapText="1"/>
    </xf>
    <xf numFmtId="0" fontId="0" fillId="0" borderId="9" xfId="0" applyBorder="1" applyAlignment="1">
      <alignment horizontal="center"/>
    </xf>
    <xf numFmtId="0" fontId="27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0" fillId="0" borderId="1" xfId="0" applyBorder="1" applyAlignment="1">
      <alignment horizontal="right"/>
    </xf>
    <xf numFmtId="0" fontId="26" fillId="13" borderId="15" xfId="0" applyFont="1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26" fillId="0" borderId="1" xfId="0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26" fillId="0" borderId="1" xfId="0" applyFont="1" applyBorder="1" applyAlignment="1">
      <alignment horizontal="right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6" xfId="0" applyFill="1" applyBorder="1" applyAlignment="1" applyProtection="1">
      <alignment horizontal="center"/>
      <protection locked="0"/>
    </xf>
    <xf numFmtId="0" fontId="0" fillId="12" borderId="7" xfId="0" applyFill="1" applyBorder="1" applyAlignment="1" applyProtection="1">
      <alignment horizontal="center"/>
      <protection locked="0"/>
    </xf>
    <xf numFmtId="0" fontId="26" fillId="12" borderId="1" xfId="0" applyFont="1" applyFill="1" applyBorder="1" applyAlignment="1" applyProtection="1">
      <protection locked="0"/>
    </xf>
    <xf numFmtId="0" fontId="0" fillId="12" borderId="1" xfId="0" applyFill="1" applyBorder="1" applyAlignment="1" applyProtection="1">
      <protection locked="0"/>
    </xf>
    <xf numFmtId="0" fontId="26" fillId="12" borderId="1" xfId="0" applyFont="1" applyFill="1" applyBorder="1" applyAlignment="1" applyProtection="1">
      <alignment horizontal="center"/>
      <protection locked="0"/>
    </xf>
    <xf numFmtId="0" fontId="0" fillId="12" borderId="1" xfId="0" applyFill="1" applyBorder="1" applyAlignment="1" applyProtection="1">
      <alignment horizontal="center"/>
      <protection locked="0"/>
    </xf>
  </cellXfs>
  <cellStyles count="6">
    <cellStyle name="Вывод" xfId="5" builtinId="21"/>
    <cellStyle name="Нейтральный" xfId="4" builtinId="28"/>
    <cellStyle name="Обычный" xfId="0" builtinId="0"/>
    <cellStyle name="Обычный 2" xfId="1"/>
    <cellStyle name="Плохой" xfId="3" builtinId="27"/>
    <cellStyle name="Хороший" xfId="2" builtinId="26"/>
  </cellStyles>
  <dxfs count="10">
    <dxf>
      <font>
        <color rgb="FFFF0000"/>
      </font>
    </dxf>
    <dxf>
      <font>
        <color theme="0" tint="-0.34998626667073579"/>
      </font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99"/>
      <color rgb="FFFFFEE5"/>
      <color rgb="FFB6E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603556</xdr:colOff>
      <xdr:row>29</xdr:row>
      <xdr:rowOff>47625</xdr:rowOff>
    </xdr:from>
    <xdr:to>
      <xdr:col>15</xdr:col>
      <xdr:colOff>469930</xdr:colOff>
      <xdr:row>43</xdr:row>
      <xdr:rowOff>48491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2631" y="6762750"/>
          <a:ext cx="5352774" cy="317269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6</xdr:col>
      <xdr:colOff>380998</xdr:colOff>
      <xdr:row>0</xdr:row>
      <xdr:rowOff>43294</xdr:rowOff>
    </xdr:from>
    <xdr:to>
      <xdr:col>12</xdr:col>
      <xdr:colOff>506555</xdr:colOff>
      <xdr:row>12</xdr:row>
      <xdr:rowOff>170583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0073" y="43294"/>
          <a:ext cx="3783157" cy="25752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11</xdr:row>
      <xdr:rowOff>95250</xdr:rowOff>
    </xdr:from>
    <xdr:to>
      <xdr:col>9</xdr:col>
      <xdr:colOff>257175</xdr:colOff>
      <xdr:row>15</xdr:row>
      <xdr:rowOff>104775</xdr:rowOff>
    </xdr:to>
    <xdr:cxnSp macro="">
      <xdr:nvCxnSpPr>
        <xdr:cNvPr id="2" name="Прямая со стрелкой 1"/>
        <xdr:cNvCxnSpPr/>
      </xdr:nvCxnSpPr>
      <xdr:spPr>
        <a:xfrm flipV="1">
          <a:off x="4048125" y="2190750"/>
          <a:ext cx="1695450" cy="771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257175</xdr:colOff>
      <xdr:row>10</xdr:row>
      <xdr:rowOff>142875</xdr:rowOff>
    </xdr:from>
    <xdr:to>
      <xdr:col>10</xdr:col>
      <xdr:colOff>561975</xdr:colOff>
      <xdr:row>15</xdr:row>
      <xdr:rowOff>104775</xdr:rowOff>
    </xdr:to>
    <xdr:sp macro="" textlink="">
      <xdr:nvSpPr>
        <xdr:cNvPr id="3" name="Овал 2"/>
        <xdr:cNvSpPr/>
      </xdr:nvSpPr>
      <xdr:spPr>
        <a:xfrm>
          <a:off x="5743575" y="2047875"/>
          <a:ext cx="914400" cy="91440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</xdr:col>
      <xdr:colOff>352425</xdr:colOff>
      <xdr:row>16</xdr:row>
      <xdr:rowOff>0</xdr:rowOff>
    </xdr:from>
    <xdr:to>
      <xdr:col>6</xdr:col>
      <xdr:colOff>352425</xdr:colOff>
      <xdr:row>21</xdr:row>
      <xdr:rowOff>0</xdr:rowOff>
    </xdr:to>
    <xdr:cxnSp macro="">
      <xdr:nvCxnSpPr>
        <xdr:cNvPr id="4" name="Прямая со стрелкой 3"/>
        <xdr:cNvCxnSpPr/>
      </xdr:nvCxnSpPr>
      <xdr:spPr>
        <a:xfrm>
          <a:off x="4010025" y="3048000"/>
          <a:ext cx="0" cy="952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13</xdr:row>
      <xdr:rowOff>180975</xdr:rowOff>
    </xdr:from>
    <xdr:to>
      <xdr:col>6</xdr:col>
      <xdr:colOff>419100</xdr:colOff>
      <xdr:row>15</xdr:row>
      <xdr:rowOff>180975</xdr:rowOff>
    </xdr:to>
    <xdr:sp macro="" textlink="">
      <xdr:nvSpPr>
        <xdr:cNvPr id="5" name="Прямоугольник 4"/>
        <xdr:cNvSpPr/>
      </xdr:nvSpPr>
      <xdr:spPr>
        <a:xfrm>
          <a:off x="3571875" y="2657475"/>
          <a:ext cx="504825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152400</xdr:colOff>
      <xdr:row>14</xdr:row>
      <xdr:rowOff>38100</xdr:rowOff>
    </xdr:from>
    <xdr:to>
      <xdr:col>8</xdr:col>
      <xdr:colOff>19050</xdr:colOff>
      <xdr:row>17</xdr:row>
      <xdr:rowOff>38099</xdr:rowOff>
    </xdr:to>
    <xdr:sp macro="" textlink="">
      <xdr:nvSpPr>
        <xdr:cNvPr id="6" name="Дуга 5"/>
        <xdr:cNvSpPr/>
      </xdr:nvSpPr>
      <xdr:spPr>
        <a:xfrm>
          <a:off x="4419600" y="2705100"/>
          <a:ext cx="476250" cy="571499"/>
        </a:xfrm>
        <a:prstGeom prst="arc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9525</xdr:colOff>
      <xdr:row>16</xdr:row>
      <xdr:rowOff>28575</xdr:rowOff>
    </xdr:from>
    <xdr:to>
      <xdr:col>12</xdr:col>
      <xdr:colOff>342900</xdr:colOff>
      <xdr:row>16</xdr:row>
      <xdr:rowOff>38100</xdr:rowOff>
    </xdr:to>
    <xdr:cxnSp macro="">
      <xdr:nvCxnSpPr>
        <xdr:cNvPr id="7" name="Прямая соединительная линия 6"/>
        <xdr:cNvCxnSpPr/>
      </xdr:nvCxnSpPr>
      <xdr:spPr>
        <a:xfrm>
          <a:off x="4276725" y="3076575"/>
          <a:ext cx="4019550" cy="952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lan%20Chumak\Desktop\&#1090;&#1086;&#1088;&#1086;&#1089;&#1092;&#1077;&#1088;&#1080;&#1095;&#1077;&#1089;&#1082;&#1080;&#1077;%20&#1076;&#1085;&#1080;&#1097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/>
      <sheetData sheetId="1">
        <row r="2">
          <cell r="A2" t="str">
            <v>AISI 304</v>
          </cell>
        </row>
        <row r="3">
          <cell r="A3" t="str">
            <v>AISI 316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gradFill>
          <a:gsLst>
            <a:gs pos="0">
              <a:srgbClr val="5E9EFF"/>
            </a:gs>
            <a:gs pos="39999">
              <a:srgbClr val="85C2FF"/>
            </a:gs>
            <a:gs pos="70000">
              <a:srgbClr val="C4D6EB"/>
            </a:gs>
            <a:gs pos="100000">
              <a:srgbClr val="FFEBFA"/>
            </a:gs>
          </a:gsLst>
          <a:lin ang="10800000" scaled="1"/>
        </a:gradFill>
        <a:ln>
          <a:solidFill>
            <a:schemeClr val="tx1">
              <a:lumMod val="50000"/>
              <a:lumOff val="50000"/>
            </a:schemeClr>
          </a:solidFill>
        </a:ln>
        <a:effectLst>
          <a:outerShdw blurRad="40000" dist="20000" dir="5400000" rotWithShape="0">
            <a:srgbClr val="000000">
              <a:alpha val="38000"/>
            </a:srgbClr>
          </a:outerShdw>
        </a:effectLst>
        <a:scene3d>
          <a:camera prst="orthographicFront">
            <a:rot lat="0" lon="0" rev="0"/>
          </a:camera>
          <a:lightRig rig="soft" dir="t"/>
        </a:scene3d>
        <a:sp3d prstMaterial="dkEdge">
          <a:bevelB/>
        </a:sp3d>
      </a:spPr>
      <a:bodyPr vertOverflow="clip" rtlCol="0" anchor="ctr"/>
      <a:lstStyle>
        <a:defPPr algn="ctr">
          <a:defRPr sz="1100">
            <a:solidFill>
              <a:schemeClr val="tx1"/>
            </a:solidFill>
          </a:defRPr>
        </a:defPPr>
      </a:lstStyle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selection activeCell="H53" sqref="H53"/>
    </sheetView>
  </sheetViews>
  <sheetFormatPr defaultRowHeight="15" x14ac:dyDescent="0.25"/>
  <cols>
    <col min="2" max="2" width="12.5703125" bestFit="1" customWidth="1"/>
    <col min="3" max="3" width="10.5703125" customWidth="1"/>
    <col min="4" max="4" width="9.85546875" customWidth="1"/>
  </cols>
  <sheetData>
    <row r="1" spans="1:8" ht="21" x14ac:dyDescent="0.35">
      <c r="A1" s="474" t="s">
        <v>282</v>
      </c>
      <c r="B1" s="474"/>
      <c r="C1" s="474"/>
      <c r="D1" s="474"/>
      <c r="E1" s="474"/>
      <c r="F1" s="411"/>
    </row>
    <row r="2" spans="1:8" x14ac:dyDescent="0.25">
      <c r="A2" s="475" t="s">
        <v>283</v>
      </c>
      <c r="B2" s="475"/>
      <c r="C2" s="475"/>
      <c r="D2" s="475"/>
      <c r="E2" s="434" t="s">
        <v>170</v>
      </c>
      <c r="F2" s="411"/>
      <c r="G2" s="17"/>
      <c r="H2" s="17"/>
    </row>
    <row r="3" spans="1:8" ht="15.75" thickBot="1" x14ac:dyDescent="0.3">
      <c r="A3" s="475" t="s">
        <v>284</v>
      </c>
      <c r="B3" s="475"/>
      <c r="C3" s="475"/>
      <c r="D3" s="475"/>
      <c r="E3" s="435">
        <f>E4+2*E9</f>
        <v>508</v>
      </c>
      <c r="F3" s="413" t="s">
        <v>285</v>
      </c>
      <c r="G3" s="17"/>
      <c r="H3" s="17"/>
    </row>
    <row r="4" spans="1:8" x14ac:dyDescent="0.25">
      <c r="A4" s="476" t="s">
        <v>286</v>
      </c>
      <c r="B4" s="477"/>
      <c r="C4" s="477"/>
      <c r="D4" s="477"/>
      <c r="E4" s="437">
        <v>500</v>
      </c>
      <c r="F4" s="413" t="s">
        <v>285</v>
      </c>
    </row>
    <row r="5" spans="1:8" x14ac:dyDescent="0.25">
      <c r="A5" s="478" t="s">
        <v>287</v>
      </c>
      <c r="B5" s="479"/>
      <c r="C5" s="479"/>
      <c r="D5" s="479"/>
      <c r="E5" s="438">
        <v>1200</v>
      </c>
      <c r="F5" s="413" t="s">
        <v>285</v>
      </c>
    </row>
    <row r="6" spans="1:8" ht="15.75" thickBot="1" x14ac:dyDescent="0.3">
      <c r="A6" s="480" t="s">
        <v>288</v>
      </c>
      <c r="B6" s="481"/>
      <c r="C6" s="481"/>
      <c r="D6" s="481"/>
      <c r="E6" s="439">
        <v>50</v>
      </c>
      <c r="F6" s="413" t="s">
        <v>285</v>
      </c>
    </row>
    <row r="7" spans="1:8" x14ac:dyDescent="0.25">
      <c r="A7" s="467" t="s">
        <v>289</v>
      </c>
      <c r="B7" s="467"/>
      <c r="C7" s="467"/>
      <c r="D7" s="467"/>
      <c r="E7" s="436">
        <v>10</v>
      </c>
      <c r="F7" s="411" t="s">
        <v>285</v>
      </c>
    </row>
    <row r="8" spans="1:8" ht="15.75" thickBot="1" x14ac:dyDescent="0.3">
      <c r="A8" s="460" t="s">
        <v>290</v>
      </c>
      <c r="B8" s="460"/>
      <c r="C8" s="460"/>
      <c r="D8" s="460"/>
      <c r="E8" s="440">
        <f>((E4/2-E6-E6)^2)/E5+E6</f>
        <v>68.75</v>
      </c>
      <c r="F8" s="411" t="s">
        <v>285</v>
      </c>
    </row>
    <row r="9" spans="1:8" ht="15.75" thickBot="1" x14ac:dyDescent="0.3">
      <c r="A9" s="468" t="s">
        <v>291</v>
      </c>
      <c r="B9" s="469"/>
      <c r="C9" s="469"/>
      <c r="D9" s="469"/>
      <c r="E9" s="441">
        <v>4</v>
      </c>
      <c r="F9" s="413" t="s">
        <v>285</v>
      </c>
    </row>
    <row r="10" spans="1:8" ht="18.75" x14ac:dyDescent="0.25">
      <c r="A10" s="470" t="s">
        <v>292</v>
      </c>
      <c r="B10" s="471"/>
      <c r="C10" s="471"/>
      <c r="D10" s="471"/>
      <c r="E10" s="472"/>
    </row>
    <row r="11" spans="1:8" x14ac:dyDescent="0.25">
      <c r="A11" s="351" t="s">
        <v>293</v>
      </c>
      <c r="B11" s="416">
        <f>E5/E3</f>
        <v>2.3622047244094486</v>
      </c>
      <c r="C11" s="473" t="str">
        <f>IF(B11&gt;0.9,"тип А",IF(B11&gt;0.8,"тип B",IF(B11&lt;0.8,"тип C","ложь")))</f>
        <v>тип А</v>
      </c>
      <c r="D11" s="473"/>
      <c r="E11" s="473"/>
    </row>
    <row r="12" spans="1:8" x14ac:dyDescent="0.25">
      <c r="A12" s="417" t="s">
        <v>294</v>
      </c>
      <c r="B12" s="418">
        <f>E6/E3</f>
        <v>9.8425196850393706E-2</v>
      </c>
      <c r="C12" s="463"/>
      <c r="D12" s="463"/>
      <c r="E12" s="463"/>
    </row>
    <row r="13" spans="1:8" x14ac:dyDescent="0.25">
      <c r="A13" s="462" t="s">
        <v>295</v>
      </c>
      <c r="B13" s="462"/>
      <c r="C13" s="462"/>
      <c r="D13" s="462"/>
      <c r="E13" s="419">
        <f>1.68*10^3</f>
        <v>1680</v>
      </c>
      <c r="F13" s="411" t="s">
        <v>296</v>
      </c>
    </row>
    <row r="14" spans="1:8" ht="15.75" thickBot="1" x14ac:dyDescent="0.3">
      <c r="A14" s="420" t="s">
        <v>297</v>
      </c>
      <c r="B14" s="421">
        <f>IF(C11="тип А",0.25*(((E3/E9)^(1/3))+1),IF(C11="тип B",0.12*(((E3/E9)^(1/3))+3.75),0.12*(((E3/E9)^(1/3))+3.2)))</f>
        <v>1.5066314238283698</v>
      </c>
      <c r="C14" s="463"/>
      <c r="D14" s="463"/>
      <c r="E14" s="463"/>
    </row>
    <row r="15" spans="1:8" ht="15.75" thickBot="1" x14ac:dyDescent="0.3">
      <c r="A15" s="464" t="s">
        <v>298</v>
      </c>
      <c r="B15" s="465"/>
      <c r="C15" s="465"/>
      <c r="D15" s="444">
        <v>4</v>
      </c>
      <c r="E15" s="442" t="s">
        <v>299</v>
      </c>
    </row>
    <row r="16" spans="1:8" ht="28.5" customHeight="1" x14ac:dyDescent="0.25">
      <c r="A16" s="466" t="s">
        <v>300</v>
      </c>
      <c r="B16" s="466"/>
      <c r="C16" s="466"/>
      <c r="D16" s="443">
        <v>0.5</v>
      </c>
      <c r="E16" s="204"/>
      <c r="H16" s="422" t="s">
        <v>301</v>
      </c>
    </row>
    <row r="17" spans="1:8" ht="30.75" customHeight="1" x14ac:dyDescent="0.25">
      <c r="A17" s="452" t="s">
        <v>302</v>
      </c>
      <c r="B17" s="452"/>
      <c r="C17" s="452"/>
      <c r="D17" s="452"/>
      <c r="E17" s="452"/>
      <c r="H17" s="415" t="s">
        <v>303</v>
      </c>
    </row>
    <row r="18" spans="1:8" x14ac:dyDescent="0.25">
      <c r="A18" s="412" t="s">
        <v>304</v>
      </c>
      <c r="B18" s="423">
        <f>((2*(E13)*D16*E9)/((E3)*B14))</f>
        <v>8.7800813440353682</v>
      </c>
      <c r="C18" s="413" t="s">
        <v>296</v>
      </c>
    </row>
    <row r="19" spans="1:8" ht="28.5" customHeight="1" x14ac:dyDescent="0.25">
      <c r="A19" s="457" t="s">
        <v>305</v>
      </c>
      <c r="B19" s="458"/>
      <c r="C19" s="458"/>
      <c r="D19" s="458"/>
      <c r="E19" s="459"/>
    </row>
    <row r="20" spans="1:8" x14ac:dyDescent="0.25">
      <c r="A20" s="412" t="s">
        <v>306</v>
      </c>
      <c r="B20" s="423">
        <f>((2*(E13)*E9)/(E5+0.5*E9))</f>
        <v>11.181364392678869</v>
      </c>
      <c r="C20" s="413" t="s">
        <v>296</v>
      </c>
    </row>
    <row r="21" spans="1:8" ht="31.5" customHeight="1" x14ac:dyDescent="0.25">
      <c r="A21" s="457" t="s">
        <v>307</v>
      </c>
      <c r="B21" s="458"/>
      <c r="C21" s="458"/>
      <c r="D21" s="458"/>
      <c r="E21" s="459"/>
    </row>
    <row r="22" spans="1:8" x14ac:dyDescent="0.25">
      <c r="A22" s="245" t="s">
        <v>308</v>
      </c>
      <c r="B22" s="423">
        <f>(((26*10^(-6))*(2*(10^6))/(2.4))*(((100*6)/(1*E5))^2))</f>
        <v>5.416666666666667</v>
      </c>
      <c r="C22" s="81" t="s">
        <v>296</v>
      </c>
    </row>
    <row r="23" spans="1:8" x14ac:dyDescent="0.25">
      <c r="A23" s="360" t="s">
        <v>304</v>
      </c>
      <c r="B23" s="424">
        <f>B20/((1+((B20/B22)^2))^1/2)</f>
        <v>4.2505514768735626</v>
      </c>
      <c r="C23" s="71" t="s">
        <v>296</v>
      </c>
    </row>
    <row r="24" spans="1:8" ht="21" customHeight="1" x14ac:dyDescent="0.25">
      <c r="A24" s="451">
        <f>B23/(D15*1.25)</f>
        <v>0.8501102953747125</v>
      </c>
      <c r="B24" s="451"/>
      <c r="C24" s="451"/>
    </row>
    <row r="26" spans="1:8" x14ac:dyDescent="0.25">
      <c r="A26" s="453" t="s">
        <v>309</v>
      </c>
      <c r="B26" s="453"/>
      <c r="C26" s="453"/>
      <c r="D26" s="453"/>
      <c r="E26" s="453"/>
    </row>
    <row r="27" spans="1:8" x14ac:dyDescent="0.25">
      <c r="A27" s="460" t="s">
        <v>310</v>
      </c>
      <c r="B27" s="460"/>
      <c r="C27" s="460"/>
      <c r="D27" s="460"/>
      <c r="E27" s="425">
        <v>20</v>
      </c>
    </row>
    <row r="28" spans="1:8" ht="14.25" customHeight="1" x14ac:dyDescent="0.25">
      <c r="A28" s="452" t="s">
        <v>295</v>
      </c>
      <c r="B28" s="452"/>
      <c r="C28" s="452"/>
      <c r="D28" s="452"/>
      <c r="E28" s="419">
        <f>2.291*10^3</f>
        <v>2291</v>
      </c>
      <c r="F28" s="411" t="s">
        <v>296</v>
      </c>
      <c r="G28" s="410"/>
    </row>
    <row r="29" spans="1:8" ht="34.5" customHeight="1" x14ac:dyDescent="0.25">
      <c r="A29" s="461" t="s">
        <v>311</v>
      </c>
      <c r="B29" s="461"/>
      <c r="C29" s="461"/>
      <c r="D29" s="461"/>
      <c r="E29" s="461"/>
    </row>
    <row r="30" spans="1:8" ht="16.5" customHeight="1" x14ac:dyDescent="0.25">
      <c r="A30" s="426"/>
      <c r="B30" s="17"/>
      <c r="C30" s="427"/>
      <c r="D30" s="428"/>
      <c r="E30" s="428"/>
    </row>
    <row r="31" spans="1:8" ht="27.75" customHeight="1" x14ac:dyDescent="0.25">
      <c r="A31" s="452" t="s">
        <v>312</v>
      </c>
      <c r="B31" s="452"/>
      <c r="C31" s="452"/>
      <c r="D31" s="452"/>
      <c r="E31" s="452"/>
    </row>
    <row r="32" spans="1:8" x14ac:dyDescent="0.25">
      <c r="A32" s="85" t="s">
        <v>304</v>
      </c>
      <c r="B32" s="423">
        <f>(2*E28*D16*E9)/(E3*B14)</f>
        <v>11.973313309038707</v>
      </c>
      <c r="C32" s="429" t="s">
        <v>296</v>
      </c>
    </row>
    <row r="33" spans="1:5" x14ac:dyDescent="0.25">
      <c r="A33" s="452" t="s">
        <v>313</v>
      </c>
      <c r="B33" s="452"/>
      <c r="C33" s="452"/>
      <c r="D33" s="452"/>
      <c r="E33" s="452"/>
    </row>
    <row r="34" spans="1:5" x14ac:dyDescent="0.25">
      <c r="A34" s="85" t="s">
        <v>304</v>
      </c>
      <c r="B34" s="424">
        <f>(2*E28*D16*6)/(E5+0.5*6)</f>
        <v>11.42643391521197</v>
      </c>
      <c r="C34" s="429" t="s">
        <v>296</v>
      </c>
    </row>
    <row r="35" spans="1:5" x14ac:dyDescent="0.25">
      <c r="A35" s="451">
        <f>B32/(D15*1.25)</f>
        <v>2.3946626618077413</v>
      </c>
      <c r="B35" s="451"/>
      <c r="C35" s="451"/>
    </row>
    <row r="37" spans="1:5" x14ac:dyDescent="0.25">
      <c r="A37" s="453" t="s">
        <v>314</v>
      </c>
      <c r="B37" s="453"/>
      <c r="C37" s="453"/>
      <c r="D37" s="453"/>
      <c r="E37" s="453"/>
    </row>
    <row r="38" spans="1:5" x14ac:dyDescent="0.25">
      <c r="A38" s="454" t="s">
        <v>315</v>
      </c>
      <c r="B38" s="455"/>
      <c r="C38" s="455"/>
      <c r="D38" s="455"/>
      <c r="E38" s="456"/>
    </row>
    <row r="39" spans="1:5" x14ac:dyDescent="0.25">
      <c r="A39" s="411" t="s">
        <v>316</v>
      </c>
      <c r="B39" s="423">
        <f>D15/E28</f>
        <v>1.7459624618070711E-3</v>
      </c>
    </row>
    <row r="40" spans="1:5" ht="21" x14ac:dyDescent="0.35">
      <c r="A40" s="430" t="s">
        <v>317</v>
      </c>
      <c r="B40" s="414">
        <v>2.4</v>
      </c>
      <c r="C40" t="s">
        <v>318</v>
      </c>
      <c r="D40" t="str">
        <f>C11</f>
        <v>тип А</v>
      </c>
    </row>
    <row r="41" spans="1:5" x14ac:dyDescent="0.25">
      <c r="A41" s="85" t="s">
        <v>319</v>
      </c>
      <c r="B41" s="416">
        <f>(D15*E3*B40)/(2*E28*D16)</f>
        <v>2.1286774334351812</v>
      </c>
      <c r="C41" s="85" t="s">
        <v>285</v>
      </c>
    </row>
    <row r="42" spans="1:5" x14ac:dyDescent="0.25">
      <c r="A42" s="453" t="s">
        <v>320</v>
      </c>
      <c r="B42" s="453"/>
      <c r="C42" s="453"/>
      <c r="D42" s="453"/>
      <c r="E42" s="453"/>
    </row>
    <row r="43" spans="1:5" ht="15.75" thickBot="1" x14ac:dyDescent="0.3">
      <c r="A43" s="85" t="s">
        <v>319</v>
      </c>
      <c r="B43" s="424">
        <f>(D15*E5)/((2*E28*D16)-(0.5*D15))</f>
        <v>2.0969855832241153</v>
      </c>
      <c r="C43" s="85" t="s">
        <v>285</v>
      </c>
    </row>
    <row r="44" spans="1:5" ht="15.75" thickBot="1" x14ac:dyDescent="0.3">
      <c r="A44" s="445">
        <f>E9/B41</f>
        <v>1.8791010498687664</v>
      </c>
      <c r="B44" s="446"/>
      <c r="C44" s="446"/>
      <c r="D44" s="431" t="s">
        <v>321</v>
      </c>
      <c r="E44" s="100"/>
    </row>
    <row r="46" spans="1:5" ht="18.75" x14ac:dyDescent="0.3">
      <c r="A46" s="447" t="s">
        <v>322</v>
      </c>
      <c r="B46" s="447"/>
      <c r="C46" s="447"/>
      <c r="D46" s="447"/>
      <c r="E46" s="447"/>
    </row>
    <row r="47" spans="1:5" x14ac:dyDescent="0.25">
      <c r="A47" s="85" t="s">
        <v>323</v>
      </c>
      <c r="B47" s="423">
        <f>10-((0.8*((E3*E9)^1/2))*10^-3)</f>
        <v>9.1872000000000007</v>
      </c>
      <c r="C47" s="85"/>
    </row>
    <row r="48" spans="1:5" x14ac:dyDescent="0.25">
      <c r="A48" s="448" t="s">
        <v>324</v>
      </c>
      <c r="B48" s="449"/>
      <c r="C48" s="449"/>
      <c r="D48" s="449"/>
      <c r="E48" s="450"/>
    </row>
    <row r="49" spans="1:4" x14ac:dyDescent="0.25">
      <c r="A49" s="432" t="s">
        <v>325</v>
      </c>
      <c r="B49" s="423">
        <f>(D15*E4)/(2*E28*D16-D15)</f>
        <v>0.87450808919982514</v>
      </c>
      <c r="C49" s="432" t="s">
        <v>285</v>
      </c>
    </row>
    <row r="50" spans="1:4" x14ac:dyDescent="0.25">
      <c r="A50" s="411" t="s">
        <v>326</v>
      </c>
      <c r="B50" s="423">
        <f>(2*E28*D16*E9)/(E4+E9)</f>
        <v>18.182539682539684</v>
      </c>
      <c r="C50" s="411" t="s">
        <v>296</v>
      </c>
    </row>
    <row r="51" spans="1:4" x14ac:dyDescent="0.25">
      <c r="A51" s="451">
        <f>B50/D15</f>
        <v>4.5456349206349209</v>
      </c>
      <c r="B51" s="451"/>
      <c r="C51" s="451"/>
      <c r="D51" s="433" t="s">
        <v>321</v>
      </c>
    </row>
  </sheetData>
  <mergeCells count="34">
    <mergeCell ref="C12:E12"/>
    <mergeCell ref="A1:E1"/>
    <mergeCell ref="A2:D2"/>
    <mergeCell ref="A3:D3"/>
    <mergeCell ref="A4:D4"/>
    <mergeCell ref="A5:D5"/>
    <mergeCell ref="A6:D6"/>
    <mergeCell ref="A7:D7"/>
    <mergeCell ref="A8:D8"/>
    <mergeCell ref="A9:D9"/>
    <mergeCell ref="A10:E10"/>
    <mergeCell ref="C11:E11"/>
    <mergeCell ref="A29:E29"/>
    <mergeCell ref="A13:D13"/>
    <mergeCell ref="C14:E14"/>
    <mergeCell ref="A15:C15"/>
    <mergeCell ref="A16:C16"/>
    <mergeCell ref="A17:E17"/>
    <mergeCell ref="A19:E19"/>
    <mergeCell ref="A21:E21"/>
    <mergeCell ref="A24:C24"/>
    <mergeCell ref="A26:E26"/>
    <mergeCell ref="A27:D27"/>
    <mergeCell ref="A28:D28"/>
    <mergeCell ref="A44:C44"/>
    <mergeCell ref="A46:E46"/>
    <mergeCell ref="A48:E48"/>
    <mergeCell ref="A51:C51"/>
    <mergeCell ref="A31:E31"/>
    <mergeCell ref="A33:E33"/>
    <mergeCell ref="A35:C35"/>
    <mergeCell ref="A37:E37"/>
    <mergeCell ref="A38:E38"/>
    <mergeCell ref="A42:E42"/>
  </mergeCells>
  <dataValidations count="1">
    <dataValidation type="list" allowBlank="1" showInputMessage="1" showErrorMessage="1" sqref="E2">
      <formula1>Материал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AS92"/>
  <sheetViews>
    <sheetView zoomScale="85" zoomScaleNormal="85" workbookViewId="0">
      <selection activeCell="L30" sqref="L30"/>
    </sheetView>
  </sheetViews>
  <sheetFormatPr defaultRowHeight="15" x14ac:dyDescent="0.25"/>
  <cols>
    <col min="1" max="1" width="4.28515625" customWidth="1"/>
    <col min="2" max="2" width="13.140625" customWidth="1"/>
    <col min="3" max="4" width="2.85546875" customWidth="1"/>
    <col min="5" max="5" width="5.140625" customWidth="1"/>
    <col min="6" max="6" width="7.85546875" customWidth="1"/>
    <col min="7" max="7" width="9.28515625" customWidth="1"/>
    <col min="8" max="8" width="10.5703125" customWidth="1"/>
    <col min="9" max="9" width="9.28515625" customWidth="1"/>
    <col min="10" max="10" width="7.5703125" customWidth="1"/>
    <col min="11" max="11" width="9.28515625" hidden="1" customWidth="1"/>
    <col min="12" max="12" width="8.7109375" customWidth="1"/>
    <col min="13" max="13" width="6.28515625" customWidth="1"/>
    <col min="14" max="14" width="7.140625" customWidth="1"/>
    <col min="15" max="15" width="11.28515625" customWidth="1"/>
    <col min="16" max="16" width="9.28515625" customWidth="1"/>
    <col min="17" max="17" width="12" customWidth="1"/>
    <col min="18" max="18" width="5" hidden="1" customWidth="1"/>
    <col min="19" max="19" width="9.85546875" customWidth="1"/>
    <col min="20" max="20" width="5.85546875" customWidth="1"/>
    <col min="21" max="21" width="10.28515625" customWidth="1"/>
    <col min="22" max="22" width="11.28515625" customWidth="1"/>
    <col min="23" max="23" width="14" customWidth="1"/>
    <col min="24" max="24" width="12.140625" customWidth="1"/>
    <col min="25" max="25" width="12.140625" hidden="1" customWidth="1"/>
    <col min="26" max="26" width="10.140625" customWidth="1"/>
    <col min="27" max="27" width="7.85546875" customWidth="1"/>
    <col min="28" max="28" width="2.140625" customWidth="1"/>
    <col min="29" max="31" width="7.85546875" customWidth="1"/>
    <col min="32" max="32" width="10.85546875" customWidth="1"/>
    <col min="33" max="33" width="13.42578125" customWidth="1"/>
    <col min="34" max="34" width="10.28515625" customWidth="1"/>
    <col min="35" max="35" width="7.85546875" customWidth="1"/>
    <col min="36" max="36" width="2.140625" customWidth="1"/>
    <col min="37" max="37" width="2.28515625" customWidth="1"/>
    <col min="39" max="39" width="4" customWidth="1"/>
    <col min="41" max="41" width="4" customWidth="1"/>
    <col min="43" max="43" width="4" customWidth="1"/>
  </cols>
  <sheetData>
    <row r="1" spans="1:45" ht="9" customHeight="1" thickBot="1" x14ac:dyDescent="0.3">
      <c r="A1" s="2"/>
      <c r="B1" s="2"/>
    </row>
    <row r="2" spans="1:45" ht="16.5" customHeight="1" thickBot="1" x14ac:dyDescent="0.3">
      <c r="E2" t="s">
        <v>71</v>
      </c>
      <c r="G2" s="80" t="s">
        <v>72</v>
      </c>
      <c r="H2" s="80"/>
      <c r="I2" s="80">
        <v>2</v>
      </c>
      <c r="J2" s="80" t="s">
        <v>73</v>
      </c>
      <c r="L2" s="488" t="s">
        <v>213</v>
      </c>
      <c r="M2" s="488"/>
      <c r="N2" s="488"/>
      <c r="O2" s="269">
        <v>0.7</v>
      </c>
      <c r="AC2" s="322"/>
      <c r="AD2" s="323"/>
      <c r="AE2" s="323"/>
      <c r="AF2" s="323" t="s">
        <v>67</v>
      </c>
      <c r="AG2" s="323"/>
      <c r="AH2" s="323" t="s">
        <v>68</v>
      </c>
      <c r="AI2" s="324"/>
    </row>
    <row r="3" spans="1:45" ht="27.75" customHeight="1" thickBot="1" x14ac:dyDescent="0.35">
      <c r="B3" s="492" t="s">
        <v>8</v>
      </c>
      <c r="C3" s="489"/>
      <c r="D3" s="490"/>
      <c r="E3" s="490"/>
      <c r="F3" s="490"/>
      <c r="G3" s="495"/>
      <c r="H3" s="495"/>
      <c r="I3" s="495"/>
      <c r="J3" s="495"/>
      <c r="K3" s="490"/>
      <c r="L3" s="496"/>
      <c r="M3" s="494" t="s">
        <v>1</v>
      </c>
      <c r="N3" s="495"/>
      <c r="O3" s="495"/>
      <c r="P3" s="490"/>
      <c r="Q3" s="491"/>
      <c r="R3" s="78"/>
      <c r="S3" s="78"/>
      <c r="T3" s="489" t="s">
        <v>6</v>
      </c>
      <c r="U3" s="490"/>
      <c r="V3" s="490"/>
      <c r="W3" s="490"/>
      <c r="X3" s="491"/>
      <c r="Y3" s="77"/>
      <c r="Z3" s="100"/>
      <c r="AB3" s="273"/>
      <c r="AC3" s="325" t="s">
        <v>51</v>
      </c>
      <c r="AD3" s="308"/>
      <c r="AE3" s="309"/>
      <c r="AF3" s="306"/>
      <c r="AG3" s="306">
        <f>(4*AG6*AG6+AG7*AG7)/8/AG6</f>
        <v>1668.5956129204026</v>
      </c>
      <c r="AH3" s="306">
        <f>(4*AH6*AH6+AH7*AH7)/8/AH6</f>
        <v>2626.5536893843523</v>
      </c>
      <c r="AI3" s="326"/>
      <c r="AJ3" s="17"/>
      <c r="AK3" s="17"/>
      <c r="AL3" s="9"/>
      <c r="AM3" s="9"/>
      <c r="AN3" s="17"/>
      <c r="AO3" s="17"/>
      <c r="AP3" s="17"/>
      <c r="AQ3" s="17"/>
      <c r="AR3" s="17"/>
      <c r="AS3" s="17"/>
    </row>
    <row r="4" spans="1:45" ht="53.25" customHeight="1" thickBot="1" x14ac:dyDescent="0.3">
      <c r="B4" s="493"/>
      <c r="C4" s="38"/>
      <c r="D4" s="39"/>
      <c r="E4" s="3" t="s">
        <v>0</v>
      </c>
      <c r="F4" s="40" t="s">
        <v>5</v>
      </c>
      <c r="G4" s="41" t="s">
        <v>32</v>
      </c>
      <c r="H4" s="41" t="s">
        <v>31</v>
      </c>
      <c r="I4" s="42" t="s">
        <v>28</v>
      </c>
      <c r="J4" s="42" t="s">
        <v>27</v>
      </c>
      <c r="K4" s="43" t="s">
        <v>25</v>
      </c>
      <c r="L4" s="44" t="s">
        <v>26</v>
      </c>
      <c r="M4" s="37" t="s">
        <v>2</v>
      </c>
      <c r="N4" s="3" t="s">
        <v>3</v>
      </c>
      <c r="O4" s="4" t="s">
        <v>4</v>
      </c>
      <c r="P4" s="79" t="s">
        <v>63</v>
      </c>
      <c r="Q4" s="84" t="s">
        <v>69</v>
      </c>
      <c r="R4" s="43" t="s">
        <v>25</v>
      </c>
      <c r="S4" s="111" t="s">
        <v>70</v>
      </c>
      <c r="T4" s="12" t="s">
        <v>2</v>
      </c>
      <c r="U4" s="3" t="s">
        <v>3</v>
      </c>
      <c r="V4" s="4" t="s">
        <v>4</v>
      </c>
      <c r="W4" s="79" t="s">
        <v>63</v>
      </c>
      <c r="X4" s="84" t="s">
        <v>69</v>
      </c>
      <c r="Y4" s="43" t="s">
        <v>25</v>
      </c>
      <c r="Z4" s="111" t="s">
        <v>70</v>
      </c>
      <c r="AB4" s="276"/>
      <c r="AC4" s="327" t="s">
        <v>61</v>
      </c>
      <c r="AD4" s="310"/>
      <c r="AE4" s="311"/>
      <c r="AF4" s="306" t="s">
        <v>62</v>
      </c>
      <c r="AG4" s="306">
        <f>B5/2-AC25</f>
        <v>963.39745962155621</v>
      </c>
      <c r="AH4" s="306">
        <f>B5/2-AC23</f>
        <v>956.03073792140913</v>
      </c>
      <c r="AI4" s="326"/>
      <c r="AJ4" s="17"/>
      <c r="AK4" s="9"/>
      <c r="AL4" s="9"/>
      <c r="AM4" s="9"/>
      <c r="AN4" s="17"/>
      <c r="AO4" s="17"/>
      <c r="AP4" s="17"/>
      <c r="AQ4" s="17"/>
      <c r="AR4" s="17"/>
      <c r="AS4" s="17"/>
    </row>
    <row r="5" spans="1:45" ht="16.5" customHeight="1" thickBot="1" x14ac:dyDescent="0.35">
      <c r="B5" s="36">
        <v>2100</v>
      </c>
      <c r="C5" s="102">
        <f>IF(F5&gt;0,1)</f>
        <v>1</v>
      </c>
      <c r="D5" s="103">
        <f>F5*IF(G5="рулон",1,H5)*0.001</f>
        <v>2</v>
      </c>
      <c r="E5" s="113">
        <v>4</v>
      </c>
      <c r="F5" s="104">
        <v>2000</v>
      </c>
      <c r="G5" s="105" t="s">
        <v>214</v>
      </c>
      <c r="H5" s="106">
        <f>IF(G5="",,IF(G5="рулон",B6,B6/G5))</f>
        <v>6609.9053599999997</v>
      </c>
      <c r="I5" s="107">
        <f>2*IF(E2="сталь",250,200)*0.3*(E5-0.1)/(B5+(E5-0.1))*10*IF(E5&gt;0,1,0)*O2</f>
        <v>1.557108227577356</v>
      </c>
      <c r="J5" s="108">
        <f>2*IF(E2="сталь",350,500)*0.5*(E5-0.1)/(B5+(E5-0.1))*10*IF(E5&gt;0,1,0)</f>
        <v>9.2685013546271211</v>
      </c>
      <c r="K5" s="109">
        <f>IF(E2="сталь",1.99,2.15)*0.0000208/(1.1*7.5)*B5/1*(100*(E5-0.1)/B5)^2.5*100000</f>
        <v>16.91922328103426</v>
      </c>
      <c r="L5" s="110">
        <f>I5/SQRT(1+(I5/K5)^2)</f>
        <v>1.5505555711383827</v>
      </c>
      <c r="M5" s="126">
        <v>6</v>
      </c>
      <c r="N5" s="57">
        <v>110</v>
      </c>
      <c r="O5" s="57">
        <v>100</v>
      </c>
      <c r="P5" s="133">
        <f>2*IF(E2="сталь",250,200)*0.3*(M5-0.1)/(AH3*2+(M5-0.1))*10*SIN(RADIANS(N5))*O2</f>
        <v>0.88555050282232839</v>
      </c>
      <c r="Q5" s="97">
        <f>SQRT(AH13^2+AH14^2-AH13*AH14)</f>
        <v>2.9459834961053666</v>
      </c>
      <c r="R5" s="98">
        <f>IF(E2="сталь",1.99,2.15)*0.0000208/(1.1*7.5)*AH3/1*(100*(M5-0.1)/AH3)^2.5*100000</f>
        <v>34.048536656269363</v>
      </c>
      <c r="S5" s="89">
        <f>P5/SQRT(1+(P5/R5)^2)</f>
        <v>0.88525114346295242</v>
      </c>
      <c r="T5" s="116">
        <v>6</v>
      </c>
      <c r="U5" s="57">
        <v>120</v>
      </c>
      <c r="V5" s="57">
        <v>100</v>
      </c>
      <c r="W5" s="136">
        <f>2*IF(E2="сталь",250,200)*0.3*(T5-0.1)/(AG3*2+(T5-0.1))*10*SIN(RADIANS(U5))*O2</f>
        <v>1.2838482743097182</v>
      </c>
      <c r="X5" s="99">
        <f>SQRT(AG13^2+AG14^2-AG13*AG14)</f>
        <v>2.8993130835468417</v>
      </c>
      <c r="Y5" s="98">
        <f>IF(E2="сталь",1.99,2.15)*0.0000208/(1.1*7.5)*AG3*(100*(T5-0.1)/AG3)^2.5*100000</f>
        <v>67.24364230892445</v>
      </c>
      <c r="Z5" s="112">
        <f>W5/SQRT(1+(W5/Y5)^2)</f>
        <v>1.2836143421460011</v>
      </c>
      <c r="AB5" s="276"/>
      <c r="AC5" s="327" t="s">
        <v>56</v>
      </c>
      <c r="AD5" s="310"/>
      <c r="AE5" s="311"/>
      <c r="AF5" s="306" t="s">
        <v>57</v>
      </c>
      <c r="AG5" s="306">
        <v>0.1</v>
      </c>
      <c r="AH5" s="306">
        <v>0.1</v>
      </c>
      <c r="AI5" s="326"/>
      <c r="AJ5" s="17"/>
      <c r="AK5" s="17"/>
      <c r="AL5" s="9"/>
      <c r="AM5" s="17"/>
      <c r="AN5" s="9"/>
      <c r="AO5" s="17"/>
      <c r="AP5" s="9"/>
      <c r="AQ5" s="17"/>
      <c r="AR5" s="17"/>
      <c r="AS5" s="17"/>
    </row>
    <row r="6" spans="1:45" ht="15" customHeight="1" thickBot="1" x14ac:dyDescent="0.3">
      <c r="B6" s="68">
        <f>(B5+E5)*3.14159</f>
        <v>6609.9053599999997</v>
      </c>
      <c r="C6" s="45" t="b">
        <f t="shared" ref="C6:C19" si="0">IF(F6&gt;0,1)</f>
        <v>0</v>
      </c>
      <c r="D6" s="13">
        <f t="shared" ref="D6:D19" si="1">F6*IF(G6="рулон",1,H6)*0.001</f>
        <v>0</v>
      </c>
      <c r="E6" s="114"/>
      <c r="F6" s="29"/>
      <c r="G6" s="105"/>
      <c r="H6" s="23">
        <f>IF(G6="",,IF(G6="рулон",B6,B6/G6))</f>
        <v>0</v>
      </c>
      <c r="I6" s="24">
        <f>2*IF(E2="сталь",250,200)*0.3*(E6-0.1)/(B5+(E6-0.1))*10*IF(E6&gt;0,1,0)</f>
        <v>0</v>
      </c>
      <c r="J6" s="25">
        <f>2*IF(E2="сталь",350,500)*0.4*(E6-0.1)/(B5+(E6-0.1))*10*IF(E6&gt;0,1,0)</f>
        <v>0</v>
      </c>
      <c r="K6" s="26" t="e">
        <f>IF(E2="сталь",1.99,2.15)*0.0000208/(1.1*7.5)*B5/1*(100*(E6-0.1)/B5)^2.5*100000</f>
        <v>#NUM!</v>
      </c>
      <c r="L6" s="46" t="e">
        <f t="shared" ref="L6:L19" si="2">I6/SQRT(1+(I6/K6)^2)</f>
        <v>#NUM!</v>
      </c>
      <c r="M6" s="124" t="s">
        <v>5</v>
      </c>
      <c r="N6" s="124"/>
      <c r="O6" s="124"/>
      <c r="P6" s="134">
        <v>2000</v>
      </c>
      <c r="Q6" s="58">
        <f>P5/(I2*1.25)</f>
        <v>0.35422020112893138</v>
      </c>
      <c r="S6" s="131">
        <f>O15*(1-COS(RADIANS(O18/2)))</f>
        <v>21.106851622608893</v>
      </c>
      <c r="V6" t="s">
        <v>74</v>
      </c>
      <c r="W6" s="134">
        <v>2500</v>
      </c>
      <c r="X6" s="58">
        <f>W5/X22</f>
        <v>0.47549936085545114</v>
      </c>
      <c r="Z6" s="131">
        <f>V15*(1-COS(RADIANS(V18/2)))</f>
        <v>110.78967406048595</v>
      </c>
      <c r="AB6" s="276"/>
      <c r="AC6" s="327" t="s">
        <v>53</v>
      </c>
      <c r="AD6" s="310"/>
      <c r="AE6" s="311"/>
      <c r="AF6" s="306" t="s">
        <v>52</v>
      </c>
      <c r="AG6" s="306">
        <f>AG5*TAN(RADIANS(ABS(U5-90)*1))</f>
        <v>5.7735026918962574E-2</v>
      </c>
      <c r="AH6" s="306">
        <f>AH5*TAN(RADIANS(ABS(N5-90)*1))</f>
        <v>3.6397023426620233E-2</v>
      </c>
      <c r="AI6" s="328"/>
      <c r="AJ6" s="18"/>
      <c r="AK6" s="9"/>
      <c r="AL6" s="17"/>
      <c r="AM6" s="17"/>
      <c r="AN6" s="17"/>
      <c r="AO6" s="17"/>
      <c r="AP6" s="17"/>
      <c r="AQ6" s="17"/>
      <c r="AR6" s="17"/>
      <c r="AS6" s="17"/>
    </row>
    <row r="7" spans="1:45" ht="16.5" thickBot="1" x14ac:dyDescent="0.3">
      <c r="B7" s="482" t="s">
        <v>44</v>
      </c>
      <c r="C7" s="45" t="b">
        <f t="shared" si="0"/>
        <v>0</v>
      </c>
      <c r="D7" s="13">
        <f t="shared" si="1"/>
        <v>0</v>
      </c>
      <c r="E7" s="114"/>
      <c r="F7" s="29"/>
      <c r="G7" s="105"/>
      <c r="H7" s="27">
        <f>IF(G7="",,IF(G7="рулон",B6,B6/G7))</f>
        <v>0</v>
      </c>
      <c r="I7" s="24">
        <f>2*IF(E2="сталь",250,200)*0.3*(E7-0.1)/(B5+(E7-0.1))*10*IF(E7&gt;0,1,0)</f>
        <v>0</v>
      </c>
      <c r="J7" s="25">
        <f>2*IF(E2="сталь",350,500)*0.4*(E7-0.1)/(B5+(E7-0.1))*10*IF(E7&gt;0,1,0)</f>
        <v>0</v>
      </c>
      <c r="K7" s="26" t="e">
        <f>IF(E2="сталь",1.99,2.15)*0.0000208/(1.1*7.5)*B5/1*(100*(E7-0.1)/B5)^2.5*100000</f>
        <v>#NUM!</v>
      </c>
      <c r="L7" s="46" t="e">
        <f>I7/SQRT(1+(I7/K7)^2)</f>
        <v>#NUM!</v>
      </c>
      <c r="M7" s="124" t="s">
        <v>32</v>
      </c>
      <c r="N7" s="124"/>
      <c r="O7" s="124"/>
      <c r="P7" s="135">
        <v>3000</v>
      </c>
      <c r="Q7" s="17"/>
      <c r="R7" s="17"/>
      <c r="S7" s="132">
        <f>IF(N5&lt;150,(O15*2+20)*(O15*2+20-S6)*0.000001,(O15*2+20)*O15*0.000001)</f>
        <v>5.6097968566313181</v>
      </c>
      <c r="T7" s="17"/>
      <c r="U7" s="17"/>
      <c r="V7" s="17"/>
      <c r="W7" s="135">
        <v>1500</v>
      </c>
      <c r="X7" s="17"/>
      <c r="Y7" s="117"/>
      <c r="Z7" s="132">
        <f>IF(U5&lt;150,(V15*2+20)*(V15*2+20-Z6)*0.000001,(V15*2+20)*V15*0.000001)</f>
        <v>6.2641720350611312</v>
      </c>
      <c r="AB7" s="276"/>
      <c r="AC7" s="327" t="s">
        <v>54</v>
      </c>
      <c r="AD7" s="310"/>
      <c r="AE7" s="311"/>
      <c r="AF7" s="306" t="s">
        <v>55</v>
      </c>
      <c r="AG7" s="306">
        <f>2*SQRT(2*AG5*(B5/2-AC25)-AG5^2)</f>
        <v>27.761087293138306</v>
      </c>
      <c r="AH7" s="306">
        <f>2*SQRT(2*AH5*(B5/2-AC23)-AH5^2)</f>
        <v>27.654739021316534</v>
      </c>
      <c r="AI7" s="326"/>
      <c r="AJ7" s="9"/>
      <c r="AK7" s="9"/>
      <c r="AL7" s="17"/>
      <c r="AM7" s="17"/>
      <c r="AN7" s="17"/>
      <c r="AO7" s="17"/>
      <c r="AP7" s="17"/>
      <c r="AQ7" s="17"/>
      <c r="AR7" s="17"/>
      <c r="AS7" s="17"/>
    </row>
    <row r="8" spans="1:45" ht="15" customHeight="1" thickBot="1" x14ac:dyDescent="0.3">
      <c r="B8" s="482"/>
      <c r="C8" s="45"/>
      <c r="D8" s="13"/>
      <c r="E8" s="114"/>
      <c r="F8" s="29"/>
      <c r="G8" s="105"/>
      <c r="H8" s="27">
        <f>IF(G8="",,IF(G8="рулон",B6,B6/G8))</f>
        <v>0</v>
      </c>
      <c r="I8" s="24">
        <f>2*IF(E2="сталь",250,200)*0.3*(E8-0.1)/(B5+(E8-0.1))*10*IF(E8&gt;0,1,0)</f>
        <v>0</v>
      </c>
      <c r="J8" s="25">
        <f>2*IF(E2="сталь",350,500)*0.4*(E8-0.1)/(B5+(E8-0.1))*10*IF(E8&gt;0,1,0)</f>
        <v>0</v>
      </c>
      <c r="K8" s="26" t="e">
        <f>IF(E3="сталь",1.99,2.15)*0.0000208/(1.1*7.5)*B6/1*(100*(E8-0.1)/B6)^2.5*100000</f>
        <v>#NUM!</v>
      </c>
      <c r="L8" s="46"/>
      <c r="M8" s="125" t="s">
        <v>31</v>
      </c>
      <c r="N8" s="125"/>
      <c r="O8" s="125"/>
      <c r="P8" s="233">
        <f>IF(P7="Рулон",S7*1000000/P6,S7*1000000/(P6*P7))</f>
        <v>0.93496614277188639</v>
      </c>
      <c r="Q8" s="117"/>
      <c r="R8" s="117"/>
      <c r="S8" s="118"/>
      <c r="T8" s="117"/>
      <c r="U8" s="117"/>
      <c r="V8" s="117"/>
      <c r="W8" s="233">
        <f>IF(W7="Рулон",Z7*1000000/W6,Z7*1000000/(W6*W7))</f>
        <v>1.6704458760163017</v>
      </c>
      <c r="X8" s="117"/>
      <c r="Y8" s="17"/>
      <c r="Z8" s="17"/>
      <c r="AB8" s="276"/>
      <c r="AC8" s="327"/>
      <c r="AD8" s="310"/>
      <c r="AE8" s="311"/>
      <c r="AF8" s="306"/>
      <c r="AG8" s="306"/>
      <c r="AH8" s="306"/>
      <c r="AI8" s="326"/>
      <c r="AJ8" s="9"/>
      <c r="AK8" s="9"/>
      <c r="AL8" s="17"/>
      <c r="AM8" s="17"/>
      <c r="AN8" s="17"/>
      <c r="AO8" s="17"/>
      <c r="AP8" s="17"/>
      <c r="AQ8" s="17"/>
      <c r="AR8" s="17"/>
      <c r="AS8" s="17"/>
    </row>
    <row r="9" spans="1:45" ht="16.5" thickBot="1" x14ac:dyDescent="0.3">
      <c r="B9" s="482"/>
      <c r="C9" s="45" t="b">
        <f>IF(F9&gt;0,1)</f>
        <v>0</v>
      </c>
      <c r="D9" s="13">
        <f t="shared" si="1"/>
        <v>0</v>
      </c>
      <c r="E9" s="114"/>
      <c r="F9" s="29"/>
      <c r="G9" s="105"/>
      <c r="H9" s="27">
        <f>IF(G9="",,IF(G9="рулон",B6,B6/G9))</f>
        <v>0</v>
      </c>
      <c r="I9" s="24">
        <f>2*IF(E2="сталь",250,200)*0.3*(E9-0.1)/(B5+(E9-0.1))*10*IF(E9&gt;0,1,0)</f>
        <v>0</v>
      </c>
      <c r="J9" s="25">
        <f>2*IF(E2="сталь",350,500)*0.4*(E9-0.1)/(B5+(E9-0.1))*10*IF(E9&gt;0,1,0)</f>
        <v>0</v>
      </c>
      <c r="K9" s="26" t="e">
        <f>IF(E2="сталь",1.99,2.15)*0.0000208/(1.1*7.5)*B5/1*(100*(E9-0.1)/B5)^2.5*100000</f>
        <v>#NUM!</v>
      </c>
      <c r="L9" s="46" t="e">
        <f t="shared" si="2"/>
        <v>#NUM!</v>
      </c>
      <c r="M9" s="483" t="s">
        <v>48</v>
      </c>
      <c r="N9" s="483"/>
      <c r="O9" s="483"/>
      <c r="P9" s="95"/>
      <c r="Q9" s="96">
        <v>50</v>
      </c>
      <c r="R9" s="96"/>
      <c r="S9" s="96"/>
      <c r="T9" s="17"/>
      <c r="U9" s="17"/>
      <c r="V9" s="17"/>
      <c r="W9" s="17"/>
      <c r="X9" s="56">
        <v>50</v>
      </c>
      <c r="Y9" s="90"/>
      <c r="Z9" s="17"/>
      <c r="AB9" s="276"/>
      <c r="AC9" s="327" t="s">
        <v>59</v>
      </c>
      <c r="AD9" s="310"/>
      <c r="AE9" s="311"/>
      <c r="AF9" s="312" t="s">
        <v>60</v>
      </c>
      <c r="AG9" s="306">
        <f>DEGREES(ACOS((AG4-AG5)/AG4))*2</f>
        <v>1.6510819674181716</v>
      </c>
      <c r="AH9" s="306">
        <f>DEGREES(ACOS((AH4-AH5)/AH4))*2</f>
        <v>1.6574310999575494</v>
      </c>
      <c r="AI9" s="326"/>
      <c r="AJ9" s="17"/>
      <c r="AK9" s="9"/>
      <c r="AL9" s="9"/>
      <c r="AM9" s="9"/>
      <c r="AN9" s="17"/>
      <c r="AO9" s="17"/>
      <c r="AP9" s="17"/>
      <c r="AQ9" s="17"/>
      <c r="AR9" s="17"/>
      <c r="AS9" s="17"/>
    </row>
    <row r="10" spans="1:45" ht="15" customHeight="1" thickBot="1" x14ac:dyDescent="0.3">
      <c r="B10" s="482"/>
      <c r="C10" s="45" t="b">
        <f t="shared" si="0"/>
        <v>0</v>
      </c>
      <c r="D10" s="13">
        <f t="shared" si="1"/>
        <v>0</v>
      </c>
      <c r="E10" s="114"/>
      <c r="F10" s="29"/>
      <c r="G10" s="105"/>
      <c r="H10" s="27">
        <f>IF(G10="",,IF(G10="рулон",B6,B6/G10))</f>
        <v>0</v>
      </c>
      <c r="I10" s="24">
        <f>2*IF(E2="сталь",250,200)*0.3*(E10-0.1)/(B5+(E10-0.1))*10*IF(E10&gt;0,1,0)</f>
        <v>0</v>
      </c>
      <c r="J10" s="25">
        <f>2*IF(E2="сталь",350,500)*0.4*(E10-0.1)/(B5+(E10-0.1))*10*IF(E10&gt;0,1,0)</f>
        <v>0</v>
      </c>
      <c r="K10" s="26" t="e">
        <f>IF(E2="сталь",1.99,2.15)*0.0000208/(1.1*7.5)*B5/1*(100*(E10-0.1)/B5)^2.5*100000</f>
        <v>#NUM!</v>
      </c>
      <c r="L10" s="46" t="e">
        <f t="shared" si="2"/>
        <v>#NUM!</v>
      </c>
      <c r="M10" s="11"/>
      <c r="N10" s="11"/>
      <c r="O10" s="91"/>
      <c r="Q10" s="121">
        <f>(90-(N5-90))*2</f>
        <v>140</v>
      </c>
      <c r="R10" s="22"/>
      <c r="S10" s="22"/>
      <c r="T10" s="122"/>
      <c r="U10" s="11"/>
      <c r="V10" s="11"/>
      <c r="W10" s="91"/>
      <c r="X10" s="123">
        <f>(90-(U5-90))*2</f>
        <v>120</v>
      </c>
      <c r="Y10" s="9"/>
      <c r="Z10" s="17"/>
      <c r="AB10" s="276"/>
      <c r="AC10" s="329" t="s">
        <v>58</v>
      </c>
      <c r="AD10" s="313"/>
      <c r="AE10" s="314"/>
      <c r="AF10" s="306"/>
      <c r="AG10" s="306">
        <f>AG5/COS(RADIANS(U5-90))</f>
        <v>0.11547005383792515</v>
      </c>
      <c r="AH10" s="306"/>
      <c r="AI10" s="326"/>
      <c r="AJ10" s="17"/>
      <c r="AK10" s="75"/>
      <c r="AL10" s="17"/>
      <c r="AM10" s="17"/>
      <c r="AN10" s="76"/>
      <c r="AO10" s="17"/>
      <c r="AP10" s="17"/>
      <c r="AQ10" s="17"/>
      <c r="AR10" s="17"/>
      <c r="AS10" s="17"/>
    </row>
    <row r="11" spans="1:45" ht="16.5" thickBot="1" x14ac:dyDescent="0.3">
      <c r="B11" s="482"/>
      <c r="C11" s="45" t="b">
        <f t="shared" si="0"/>
        <v>0</v>
      </c>
      <c r="D11" s="13">
        <f t="shared" si="1"/>
        <v>0</v>
      </c>
      <c r="E11" s="114"/>
      <c r="F11" s="29"/>
      <c r="G11" s="105"/>
      <c r="H11" s="27">
        <f>IF(G11="",,IF(G11="рулон",B6,B6/G11))</f>
        <v>0</v>
      </c>
      <c r="I11" s="24">
        <f>2*IF(E2="сталь",250,200)*0.3*(E11-0.1)/(B5+(E11-0.1))*10*IF(E11&gt;0,1,0)</f>
        <v>0</v>
      </c>
      <c r="J11" s="25">
        <f>2*IF(E2="сталь",350,500)*0.4*(E11-0.1)/(B5+(E11-0.1))*10*IF(E11&gt;0,1,0)</f>
        <v>0</v>
      </c>
      <c r="K11" s="26" t="e">
        <f>IF(E2="сталь",1.99,2.15)*0.0000208/(1.1*7.5)*B5/1*(100*(E11-0.1)/B5)^2.5*100000</f>
        <v>#NUM!</v>
      </c>
      <c r="L11" s="46" t="e">
        <f t="shared" si="2"/>
        <v>#NUM!</v>
      </c>
      <c r="M11" s="73" t="s">
        <v>50</v>
      </c>
      <c r="Q11" s="11"/>
      <c r="X11" s="16"/>
      <c r="Y11" s="9"/>
      <c r="AB11" s="276"/>
      <c r="AC11" s="327"/>
      <c r="AD11" s="310"/>
      <c r="AE11" s="310"/>
      <c r="AF11" s="309"/>
      <c r="AG11" s="309"/>
      <c r="AH11" s="315"/>
      <c r="AI11" s="326"/>
      <c r="AJ11" s="17"/>
      <c r="AK11" s="17"/>
      <c r="AL11" s="17"/>
      <c r="AM11" s="17"/>
      <c r="AN11" s="74"/>
      <c r="AO11" s="17"/>
      <c r="AP11" s="17"/>
      <c r="AQ11" s="17"/>
      <c r="AR11" s="17"/>
      <c r="AS11" s="17"/>
    </row>
    <row r="12" spans="1:45" ht="15.75" x14ac:dyDescent="0.25">
      <c r="B12" s="482"/>
      <c r="C12" s="45" t="b">
        <f t="shared" si="0"/>
        <v>0</v>
      </c>
      <c r="D12" s="13">
        <f t="shared" si="1"/>
        <v>0</v>
      </c>
      <c r="E12" s="114"/>
      <c r="F12" s="29"/>
      <c r="G12" s="105"/>
      <c r="H12" s="27">
        <f>IF(G12="",,IF(G12="рулон",B6,B6/G12))</f>
        <v>0</v>
      </c>
      <c r="I12" s="24">
        <f>2*IF(E2="сталь",250,200)*0.3*(E12-0.1)/(B5+(E12-0.1))*10*IF(E12&gt;0,1,0)</f>
        <v>0</v>
      </c>
      <c r="J12" s="25">
        <f>2*IF(E2="сталь",350,500)*0.4*(E12-0.1)/(B5+(E12-0.1))*10*IF(E12&gt;0,1,0)</f>
        <v>0</v>
      </c>
      <c r="K12" s="26" t="e">
        <f>IF(E2="сталь",1.99,2.15)*0.0000208/(1.1*7.5)*B5/1*(100*(E12-0.1)/B5)^2.5*100000</f>
        <v>#NUM!</v>
      </c>
      <c r="L12" s="46" t="e">
        <f t="shared" si="2"/>
        <v>#NUM!</v>
      </c>
      <c r="M12" s="19" t="s">
        <v>40</v>
      </c>
      <c r="N12" s="19"/>
      <c r="O12" s="19"/>
      <c r="P12" s="72">
        <v>10</v>
      </c>
      <c r="Q12" s="95"/>
      <c r="R12" s="22"/>
      <c r="S12" s="91"/>
      <c r="T12" s="11"/>
      <c r="U12" s="1"/>
      <c r="V12" s="11"/>
      <c r="W12" s="72">
        <v>10</v>
      </c>
      <c r="X12" s="22"/>
      <c r="Y12" s="17"/>
      <c r="AB12" s="276"/>
      <c r="AC12" s="327"/>
      <c r="AD12" s="310"/>
      <c r="AE12" s="310" t="s">
        <v>66</v>
      </c>
      <c r="AF12" s="311"/>
      <c r="AG12" s="311"/>
      <c r="AH12" s="316"/>
      <c r="AI12" s="326"/>
      <c r="AJ12" s="17"/>
      <c r="AK12" s="17"/>
      <c r="AL12" s="17"/>
      <c r="AM12" s="17"/>
      <c r="AN12" s="76"/>
      <c r="AO12" s="17"/>
      <c r="AP12" s="17"/>
      <c r="AQ12" s="17"/>
      <c r="AR12" s="17"/>
      <c r="AS12" s="17"/>
    </row>
    <row r="13" spans="1:45" ht="15.75" customHeight="1" thickBot="1" x14ac:dyDescent="0.3">
      <c r="B13" s="482"/>
      <c r="C13" s="45" t="b">
        <f t="shared" si="0"/>
        <v>0</v>
      </c>
      <c r="D13" s="13">
        <f t="shared" si="1"/>
        <v>0</v>
      </c>
      <c r="E13" s="114"/>
      <c r="F13" s="29"/>
      <c r="G13" s="28"/>
      <c r="H13" s="27">
        <f>IF(G13="",,IF(G13="рулон",B6,B6/G13))</f>
        <v>0</v>
      </c>
      <c r="I13" s="24">
        <f>2*IF(E2="сталь",250,200)*0.3*(E13-0.1)/(B5+(E13-0.1))*10*IF(E13&gt;0,1,0)</f>
        <v>0</v>
      </c>
      <c r="J13" s="25">
        <f>2*IF(E2="сталь",350,500)*0.4*(E13-0.1)/(B5+(E13-0.1))*10*IF(E13&gt;0,1,0)</f>
        <v>0</v>
      </c>
      <c r="K13" s="26" t="e">
        <f>IF(E2="сталь",1.99,2.15)*0.0000208/(1.1*7.5)*B5/1*(100*(E13-0.1)/B5)^2.5*100000</f>
        <v>#NUM!</v>
      </c>
      <c r="L13" s="46" t="e">
        <f t="shared" si="2"/>
        <v>#NUM!</v>
      </c>
      <c r="M13" t="s">
        <v>49</v>
      </c>
      <c r="O13" s="245"/>
      <c r="P13" s="246">
        <f>PI()*O5*ABS(90-(N5-90))/180+P12</f>
        <v>132.17304763960308</v>
      </c>
      <c r="Q13" s="10"/>
      <c r="R13" s="81"/>
      <c r="S13" s="10"/>
      <c r="T13" s="10"/>
      <c r="U13" s="10"/>
      <c r="V13" s="10"/>
      <c r="W13" s="246">
        <f>PI()*V5*ABS(90-(U5-90))/180+W12</f>
        <v>114.71975511965977</v>
      </c>
      <c r="X13" s="81"/>
      <c r="Y13" s="17"/>
      <c r="AB13" s="276"/>
      <c r="AC13" s="327"/>
      <c r="AD13" s="310"/>
      <c r="AE13" s="310" t="s">
        <v>65</v>
      </c>
      <c r="AF13" s="311"/>
      <c r="AG13" s="317">
        <f>2*IF(E2="сталь",250,200)/(2-COS((RADIANS((180-U5)/2)))-COS((RADIANS((180-U5)/2)))^2)/(6*(1+COS((RADIANS((180-U5)/2)))))*T5/V5^2*10</f>
        <v>0.55826441659843051</v>
      </c>
      <c r="AH13" s="306">
        <f>2*IF(E2="сталь",250,200)/(2-COS((RADIANS((180-N5)/2)))-COS((RADIANS((180-N5)/2)))^2)/(6*(1+COS((RADIANS((180-N5)/2)))))*M5/O5^2*10</f>
        <v>0.43127957363194769</v>
      </c>
      <c r="AI13" s="326"/>
      <c r="AJ13" s="17"/>
      <c r="AK13" s="17"/>
      <c r="AL13" s="17"/>
      <c r="AM13" s="17"/>
      <c r="AN13" s="17"/>
      <c r="AO13" s="17"/>
      <c r="AP13" s="17"/>
      <c r="AQ13" s="17"/>
      <c r="AR13" s="17"/>
      <c r="AS13" s="17"/>
    </row>
    <row r="14" spans="1:45" ht="15.75" customHeight="1" x14ac:dyDescent="0.25">
      <c r="B14" s="482"/>
      <c r="C14" s="45" t="b">
        <f t="shared" si="0"/>
        <v>0</v>
      </c>
      <c r="D14" s="13">
        <f t="shared" si="1"/>
        <v>0</v>
      </c>
      <c r="E14" s="114"/>
      <c r="F14" s="29"/>
      <c r="G14" s="28"/>
      <c r="H14" s="27">
        <f>IF(G14="",,IF(G14="рулон",B6,B6/G14))</f>
        <v>0</v>
      </c>
      <c r="I14" s="24">
        <f>2*IF(E2="сталь",250,200)*0.3*(E14-0.1)/(B5+(E14-0.1))*10*IF(E14&gt;0,1,0)</f>
        <v>0</v>
      </c>
      <c r="J14" s="25">
        <f>2*IF(E2="сталь",350,500)*0.4*(E14-0.1)/(B5+(E14-0.1))*10*IF(E14&gt;0,1,0)</f>
        <v>0</v>
      </c>
      <c r="K14" s="26" t="e">
        <f>IF(E2="сталь",1.99,2.15)*0.0000208/(1.1*7.5)*B5/1*(100*(E14-0.1)/B5)^2.5*100000</f>
        <v>#NUM!</v>
      </c>
      <c r="L14" s="46" t="e">
        <f t="shared" si="2"/>
        <v>#NUM!</v>
      </c>
      <c r="M14" s="484" t="s">
        <v>10</v>
      </c>
      <c r="N14" s="485"/>
      <c r="O14" s="247" t="s">
        <v>38</v>
      </c>
      <c r="P14" s="248"/>
      <c r="Q14" s="249"/>
      <c r="R14" s="250"/>
      <c r="S14" s="249"/>
      <c r="T14" s="251"/>
      <c r="U14" s="252"/>
      <c r="V14" s="253" t="s">
        <v>38</v>
      </c>
      <c r="W14" s="248"/>
      <c r="X14" s="254"/>
      <c r="Y14" s="6"/>
      <c r="AB14" s="276"/>
      <c r="AC14" s="327"/>
      <c r="AD14" s="310"/>
      <c r="AE14" s="310" t="s">
        <v>64</v>
      </c>
      <c r="AF14" s="311"/>
      <c r="AG14" s="317">
        <f>2*IF(E2="сталь",250,200)*0.4*(T5-0.1)/(B5+(T5-0.1))*7*IF(T5&gt;0,1,0)</f>
        <v>3.1378508001329597</v>
      </c>
      <c r="AH14" s="306">
        <f>2*IF(E2="сталь",250,200)*0.4*(M5-0.1)/(B5+(M5-0.1))*7*IF(M5&gt;0,1,0)</f>
        <v>3.1378508001329597</v>
      </c>
      <c r="AI14" s="326"/>
      <c r="AJ14" s="17"/>
      <c r="AK14" s="17"/>
      <c r="AL14" s="17"/>
      <c r="AM14" s="17"/>
      <c r="AN14" s="17"/>
      <c r="AO14" s="17"/>
      <c r="AP14" s="17"/>
      <c r="AQ14" s="17"/>
      <c r="AR14" s="17"/>
      <c r="AS14" s="17"/>
    </row>
    <row r="15" spans="1:45" ht="16.5" x14ac:dyDescent="0.3">
      <c r="B15" s="482"/>
      <c r="C15" s="45" t="b">
        <f>IF(F15&gt;0,1)</f>
        <v>0</v>
      </c>
      <c r="D15" s="13">
        <f t="shared" si="1"/>
        <v>0</v>
      </c>
      <c r="E15" s="114"/>
      <c r="F15" s="29"/>
      <c r="G15" s="28"/>
      <c r="H15" s="27">
        <f>IF(G15="",,IF(G15="рулон",B6,B6/G15))</f>
        <v>0</v>
      </c>
      <c r="I15" s="24">
        <f>2*IF(E2="сталь",250,200)*0.3*(E15-0.1)/(B5+(E15-0.1))*10*IF(E15&gt;0,1,0)</f>
        <v>0</v>
      </c>
      <c r="J15" s="25">
        <f>2*IF(E2="сталь",350,500)*0.4*(E15-0.1)/(B5+(E15-0.1))*10*IF(E15&gt;0,1,0)</f>
        <v>0</v>
      </c>
      <c r="K15" s="26" t="e">
        <f>IF(E2="сталь",1.99,2.15)*0.0000208/(1.1*7.5)*B5/1*(100*(E15-0.1)/B5)^2.5*100000</f>
        <v>#NUM!</v>
      </c>
      <c r="L15" s="46" t="e">
        <f t="shared" si="2"/>
        <v>#NUM!</v>
      </c>
      <c r="M15" s="486"/>
      <c r="N15" s="487"/>
      <c r="O15" s="70">
        <f>P13+((B5)/2/SIN(RADIANS(90-(N5-90))))-ABS(O5*COS(RADIANS(N5/2))/COS(RADIANS(180-(N5/2+90))))</f>
        <v>1179.5389549183401</v>
      </c>
      <c r="P15" s="242">
        <f>O15*2+20</f>
        <v>2379.0779098366802</v>
      </c>
      <c r="Q15" s="14"/>
      <c r="R15" s="8"/>
      <c r="S15" s="14"/>
      <c r="T15" s="15"/>
      <c r="U15" s="7"/>
      <c r="V15" s="70">
        <f>W13+((B5)/2/SIN(RADIANS(90-(U5-90))))-ABS(V5*COS(RADIANS(U5/2))/COS(RADIANS(180-(U5/2+90))))</f>
        <v>1269.4202934989114</v>
      </c>
      <c r="W15" s="242">
        <f>V15*2+20</f>
        <v>2558.8405869978228</v>
      </c>
      <c r="X15" s="255"/>
      <c r="Y15" s="93"/>
      <c r="Z15">
        <f>V15*2</f>
        <v>2538.8405869978228</v>
      </c>
      <c r="AB15" s="276"/>
      <c r="AC15" s="327"/>
      <c r="AD15" s="310"/>
      <c r="AE15" s="310"/>
      <c r="AF15" s="310"/>
      <c r="AG15" s="310"/>
      <c r="AH15" s="310"/>
      <c r="AI15" s="326"/>
      <c r="AJ15" s="17"/>
      <c r="AK15" s="17"/>
      <c r="AL15" s="17"/>
      <c r="AM15" s="17"/>
      <c r="AN15" s="17"/>
      <c r="AO15" s="17"/>
      <c r="AP15" s="17"/>
      <c r="AQ15" s="17"/>
      <c r="AR15" s="17"/>
      <c r="AS15" s="17"/>
    </row>
    <row r="16" spans="1:45" ht="15.75" x14ac:dyDescent="0.25">
      <c r="B16" s="482"/>
      <c r="C16" s="45" t="b">
        <f t="shared" si="0"/>
        <v>0</v>
      </c>
      <c r="D16" s="13">
        <f t="shared" si="1"/>
        <v>0</v>
      </c>
      <c r="E16" s="114"/>
      <c r="F16" s="29"/>
      <c r="G16" s="28"/>
      <c r="H16" s="27">
        <f>IF(G16="",,IF(G16="рулон",B6,B6/G16))</f>
        <v>0</v>
      </c>
      <c r="I16" s="24">
        <f>2*IF(E2="сталь",250,200)*0.3*(E16-0.1)/(B5+(E16-0.1))*10*IF(E16&gt;0,1,0)</f>
        <v>0</v>
      </c>
      <c r="J16" s="25">
        <f>2*IF(E2="сталь",350,500)*0.4*(E16-0.1)/(B5+(E16-0.1))*10*IF(E16&gt;0,1,0)</f>
        <v>0</v>
      </c>
      <c r="K16" s="26" t="e">
        <f>IF(E2="сталь",1.99,2.15)*0.0000208/(1.1*7.5)*B5/1*(100*(E16-0.1)/B5)^2.5*100000</f>
        <v>#NUM!</v>
      </c>
      <c r="L16" s="46" t="e">
        <f t="shared" si="2"/>
        <v>#NUM!</v>
      </c>
      <c r="M16" s="256" t="s">
        <v>11</v>
      </c>
      <c r="N16" s="119"/>
      <c r="O16" s="60">
        <f>(B5+M5)/2*TAN(RADIANS(N5-90))-Q9/2*TAN(RADIANS(N5-90))</f>
        <v>374.16140082565602</v>
      </c>
      <c r="P16" s="61"/>
      <c r="Q16" s="61"/>
      <c r="R16" s="92"/>
      <c r="S16" s="63"/>
      <c r="T16" s="63"/>
      <c r="U16" s="63"/>
      <c r="V16" s="64">
        <f>(B5+T5)/2*TAN(RADIANS(U5-90))-X9/2*TAN(RADIANS(U5-90))</f>
        <v>593.51607672693535</v>
      </c>
      <c r="W16" s="65"/>
      <c r="X16" s="257"/>
      <c r="Y16" s="93"/>
      <c r="AB16" s="276"/>
      <c r="AC16" s="327"/>
      <c r="AD16" s="310"/>
      <c r="AE16" s="310"/>
      <c r="AF16" s="310"/>
      <c r="AG16" s="310"/>
      <c r="AH16" s="310"/>
      <c r="AI16" s="326"/>
      <c r="AJ16" s="17"/>
      <c r="AK16" s="17"/>
      <c r="AL16" s="17"/>
      <c r="AM16" s="17"/>
      <c r="AN16" s="17"/>
      <c r="AO16" s="17"/>
      <c r="AP16" s="17"/>
      <c r="AQ16" s="17"/>
      <c r="AR16" s="17"/>
      <c r="AS16" s="17"/>
    </row>
    <row r="17" spans="2:45" ht="15.75" x14ac:dyDescent="0.25">
      <c r="B17" s="482"/>
      <c r="C17" s="45" t="b">
        <f t="shared" si="0"/>
        <v>0</v>
      </c>
      <c r="D17" s="13">
        <f t="shared" si="1"/>
        <v>0</v>
      </c>
      <c r="E17" s="114"/>
      <c r="F17" s="29"/>
      <c r="G17" s="28"/>
      <c r="H17" s="27">
        <f>IF(G17="",,IF(G17="рулон",B6,B6/G17))</f>
        <v>0</v>
      </c>
      <c r="I17" s="24">
        <f>2*IF(E2="сталь",250,200)*0.3*(E17-0.1)/(B5+(E17-0.1))*10*IF(E17&gt;0,1,0)</f>
        <v>0</v>
      </c>
      <c r="J17" s="25">
        <f>2*IF(E2="сталь",350,500)*0.4*(E17-0.1)/(B5+(E17-0.1))*10*IF(E17&gt;0,1,0)</f>
        <v>0</v>
      </c>
      <c r="K17" s="26" t="e">
        <f>IF(E2="сталь",1.99,2.15)*0.0000208/(1.1*7.5)*B5/1*(100*(E17-0.1)/B5)^2.5*100000</f>
        <v>#NUM!</v>
      </c>
      <c r="L17" s="46" t="e">
        <f t="shared" si="2"/>
        <v>#NUM!</v>
      </c>
      <c r="M17" s="258" t="s">
        <v>36</v>
      </c>
      <c r="N17" s="62"/>
      <c r="O17" s="66">
        <f>PI()*(O15*COS(RADIANS(ABS(N5-90)))*2)</f>
        <v>6964.3080531045707</v>
      </c>
      <c r="P17" s="61"/>
      <c r="Q17" s="61"/>
      <c r="R17" s="62"/>
      <c r="S17" s="61"/>
      <c r="T17" s="61"/>
      <c r="U17" s="61"/>
      <c r="V17" s="66">
        <f>PI()*(V15*COS(RADIANS(ABS(U5-90)))*2)</f>
        <v>6907.4211638830193</v>
      </c>
      <c r="W17" s="65"/>
      <c r="X17" s="257"/>
      <c r="Y17" s="6"/>
      <c r="AB17" s="276"/>
      <c r="AC17" s="327"/>
      <c r="AD17" s="310"/>
      <c r="AE17" s="310"/>
      <c r="AF17" s="310"/>
      <c r="AG17" s="310"/>
      <c r="AH17" s="310"/>
      <c r="AI17" s="326"/>
      <c r="AJ17" s="17"/>
      <c r="AK17" s="17"/>
      <c r="AL17" s="17"/>
      <c r="AM17" s="17"/>
      <c r="AN17" s="17"/>
      <c r="AO17" s="17"/>
      <c r="AP17" s="17"/>
      <c r="AQ17" s="17"/>
      <c r="AR17" s="17"/>
      <c r="AS17" s="17"/>
    </row>
    <row r="18" spans="2:45" ht="15.75" x14ac:dyDescent="0.25">
      <c r="B18" s="482"/>
      <c r="C18" s="45" t="b">
        <f t="shared" si="0"/>
        <v>0</v>
      </c>
      <c r="D18" s="13">
        <f t="shared" si="1"/>
        <v>0</v>
      </c>
      <c r="E18" s="114"/>
      <c r="F18" s="29"/>
      <c r="G18" s="28"/>
      <c r="H18" s="27">
        <f>IF(G18="",,IF(G18="рулон",B6,B6/G18))</f>
        <v>0</v>
      </c>
      <c r="I18" s="24">
        <f>2*IF(E2="сталь",250,200)*0.3*(E18-0.1)/(B5+(E18-0.1))*10*IF(E18&gt;0,1,0)</f>
        <v>0</v>
      </c>
      <c r="J18" s="25">
        <f>2*IF(E2="сталь",350,500)*0.4*(E18-0.1)/(B5+(E18-0.1))*10*IF(E18&gt;0,1,0)</f>
        <v>0</v>
      </c>
      <c r="K18" s="26" t="e">
        <f>IF(E2="сталь",1.99,2.15)*0.0000208/(1.1*7.5)*B5/1*(100*(E18-0.1)/B5)^2.5*100000</f>
        <v>#NUM!</v>
      </c>
      <c r="L18" s="46" t="e">
        <f t="shared" si="2"/>
        <v>#NUM!</v>
      </c>
      <c r="M18" s="259" t="s">
        <v>37</v>
      </c>
      <c r="N18" s="120"/>
      <c r="O18" s="337">
        <f>360-O17*360/(PI()*O15*2)</f>
        <v>21.710656517073005</v>
      </c>
      <c r="P18" s="20"/>
      <c r="Q18" s="5"/>
      <c r="R18" s="21"/>
      <c r="S18" s="20"/>
      <c r="T18" s="20"/>
      <c r="U18" s="20"/>
      <c r="V18" s="336">
        <f>360-V17*360/(PI()*V15*2)</f>
        <v>48.230854637602079</v>
      </c>
      <c r="W18" s="6"/>
      <c r="X18" s="260"/>
      <c r="Y18" s="94"/>
      <c r="AB18" s="276"/>
      <c r="AC18" s="327"/>
      <c r="AD18" s="310"/>
      <c r="AE18" s="310"/>
      <c r="AF18" s="310"/>
      <c r="AG18" s="310"/>
      <c r="AH18" s="310"/>
      <c r="AI18" s="326"/>
    </row>
    <row r="19" spans="2:45" ht="15" customHeight="1" thickBot="1" x14ac:dyDescent="0.3">
      <c r="B19" s="482"/>
      <c r="C19" s="47" t="b">
        <f t="shared" si="0"/>
        <v>0</v>
      </c>
      <c r="D19" s="48">
        <f t="shared" si="1"/>
        <v>0</v>
      </c>
      <c r="E19" s="115"/>
      <c r="F19" s="49"/>
      <c r="G19" s="50"/>
      <c r="H19" s="51">
        <f>IF(G19="",,IF(G19="рулон",B6,B6/G19))</f>
        <v>0</v>
      </c>
      <c r="I19" s="52">
        <f>2*IF(E2="сталь",250,200)*0.3*(E19-0.1)/(B5+(E19-0.1))*10*IF(E19&gt;0,1,0)</f>
        <v>0</v>
      </c>
      <c r="J19" s="53">
        <f>2*IF(E2="сталь",350,500)*0.4*(E19-0.1)/(B5+(E19-0.1))*10*IF(E19&gt;0,1,0)</f>
        <v>0</v>
      </c>
      <c r="K19" s="54" t="e">
        <f>IF(E2="сталь",1.99,2.15)*0.0000208/(1.1*7.5)*B5/1*(100*(E19-0.1)/B5)^2.5*100000</f>
        <v>#NUM!</v>
      </c>
      <c r="L19" s="55" t="e">
        <f t="shared" si="2"/>
        <v>#NUM!</v>
      </c>
      <c r="M19" s="261" t="s">
        <v>39</v>
      </c>
      <c r="N19" s="262"/>
      <c r="O19" s="263">
        <f>Q19/2/COS(RADIANS(ABS(N5-90)))</f>
        <v>26.604444311897801</v>
      </c>
      <c r="P19" s="30"/>
      <c r="Q19" s="267">
        <v>50</v>
      </c>
      <c r="R19" s="264"/>
      <c r="S19" s="265"/>
      <c r="T19" s="30"/>
      <c r="U19" s="30"/>
      <c r="V19" s="263">
        <f>X19/2/COS(RADIANS(ABS(U5-90)))</f>
        <v>438.78620458411552</v>
      </c>
      <c r="W19" s="30"/>
      <c r="X19" s="266">
        <v>760</v>
      </c>
      <c r="AB19" s="276"/>
      <c r="AC19" s="327"/>
      <c r="AD19" s="310"/>
      <c r="AE19" s="310"/>
      <c r="AF19" s="310"/>
      <c r="AG19" s="310"/>
      <c r="AH19" s="310"/>
      <c r="AI19" s="326"/>
    </row>
    <row r="20" spans="2:45" ht="15" customHeight="1" thickBot="1" x14ac:dyDescent="0.3">
      <c r="M20" s="101"/>
      <c r="N20" s="9"/>
      <c r="AB20" s="276"/>
      <c r="AC20" s="327"/>
      <c r="AD20" s="310"/>
      <c r="AE20" s="310"/>
      <c r="AF20" s="310"/>
      <c r="AG20" s="310"/>
      <c r="AH20" s="310"/>
      <c r="AI20" s="326"/>
    </row>
    <row r="21" spans="2:45" ht="15" customHeight="1" x14ac:dyDescent="0.25">
      <c r="B21" s="362" t="s">
        <v>35</v>
      </c>
      <c r="C21" s="363"/>
      <c r="D21" s="363"/>
      <c r="E21" s="364"/>
      <c r="F21" s="365">
        <f>C23+D23</f>
        <v>15.21981072</v>
      </c>
      <c r="L21" s="67">
        <f>B5-2*(O5*(COS(RADIANS(90))-COS(RADIANS(Q10)))+0.7*Q10*SIN(RADIANS(Q10)))</f>
        <v>1820.8047398776425</v>
      </c>
      <c r="M21" s="101"/>
      <c r="N21" s="9"/>
      <c r="O21" s="340" t="s">
        <v>7</v>
      </c>
      <c r="P21" s="31"/>
      <c r="Q21" s="31"/>
      <c r="R21" s="31"/>
      <c r="S21" s="31"/>
      <c r="T21" s="31"/>
      <c r="U21" s="31"/>
      <c r="V21" s="32">
        <f>SUM(F5:F19)</f>
        <v>2000</v>
      </c>
      <c r="W21" t="s">
        <v>14</v>
      </c>
      <c r="X21" s="286">
        <f>V21*0.1*V30</f>
        <v>0.2</v>
      </c>
      <c r="AB21" s="276"/>
      <c r="AC21" s="327" t="s">
        <v>24</v>
      </c>
      <c r="AD21" s="310"/>
      <c r="AE21" s="310"/>
      <c r="AF21" s="310"/>
      <c r="AG21" s="310"/>
      <c r="AH21" s="310"/>
      <c r="AI21" s="326"/>
    </row>
    <row r="22" spans="2:45" ht="16.5" customHeight="1" thickBot="1" x14ac:dyDescent="0.3">
      <c r="B22" s="366"/>
      <c r="C22" s="367" t="s">
        <v>33</v>
      </c>
      <c r="D22" s="339" t="s">
        <v>34</v>
      </c>
      <c r="E22" s="339"/>
      <c r="F22" s="368"/>
      <c r="M22" s="101"/>
      <c r="N22" s="9"/>
      <c r="O22" s="341" t="s">
        <v>9</v>
      </c>
      <c r="P22" s="30"/>
      <c r="Q22" s="30"/>
      <c r="R22" s="30"/>
      <c r="S22" s="30"/>
      <c r="T22" s="30"/>
      <c r="U22" s="30"/>
      <c r="V22" s="33">
        <f>V21+(IF(O16&gt;0,O16,0)+IF(V16&gt;0,V16,0)+(O5/TAN(RADIANS(N5/2)))+(V5/TAN(RADIANS(U5/2))))</f>
        <v>3095.4332582925254</v>
      </c>
      <c r="W22" t="s">
        <v>14</v>
      </c>
      <c r="X22" s="127">
        <f>I2*1.25+X21</f>
        <v>2.7</v>
      </c>
      <c r="AB22" s="276"/>
      <c r="AC22" s="327" t="s">
        <v>23</v>
      </c>
      <c r="AD22" s="310" t="s">
        <v>22</v>
      </c>
      <c r="AE22" s="310" t="s">
        <v>21</v>
      </c>
      <c r="AF22" s="310" t="s">
        <v>20</v>
      </c>
      <c r="AG22" s="310"/>
      <c r="AH22" s="310"/>
      <c r="AI22" s="326"/>
    </row>
    <row r="23" spans="2:45" ht="15.75" thickBot="1" x14ac:dyDescent="0.3">
      <c r="B23" s="366"/>
      <c r="C23" s="369">
        <f>(SUM(C5:C22)+1)*B6*0.001</f>
        <v>13.21981072</v>
      </c>
      <c r="D23" s="370">
        <f>SUM(D5:D22)</f>
        <v>2</v>
      </c>
      <c r="E23" s="339"/>
      <c r="F23" s="368"/>
      <c r="K23">
        <f>9.45*B5/1*SQRT(B5/100*(E5-0.1))</f>
        <v>179594.50895698342</v>
      </c>
      <c r="N23" s="2"/>
      <c r="O23" s="2"/>
      <c r="Q23" t="s">
        <v>46</v>
      </c>
      <c r="V23" s="58">
        <f>(V24-V25)*100/V24</f>
        <v>13.10698978427301</v>
      </c>
      <c r="W23" t="s">
        <v>47</v>
      </c>
      <c r="AB23" s="276"/>
      <c r="AC23" s="330">
        <f>(2*O5*SIN(RADIANS((180-N5)/2)))*SIN(RADIANS(N5/2))</f>
        <v>93.96926207859083</v>
      </c>
      <c r="AD23" s="315">
        <f>AC23*SIN(RADIANS(90-N5/2))*(2*O5*SIN(RADIANS((90-N5/2))))/2</f>
        <v>3091.4940797131931</v>
      </c>
      <c r="AE23" s="315">
        <f>O5^2/2*(3.14159/180*(180-N5)-SIN(RADIANS(180-N5)))</f>
        <v>1410.1841182926794</v>
      </c>
      <c r="AF23" s="318">
        <f>(((B5)/2)^2+(Q9/2)^2+B5/2*Q9/2)*PI()*O16/3*0.000000001</f>
        <v>0.44251273198332908</v>
      </c>
      <c r="AG23" s="310"/>
      <c r="AH23" s="310"/>
      <c r="AI23" s="326"/>
    </row>
    <row r="24" spans="2:45" x14ac:dyDescent="0.25">
      <c r="B24" s="366"/>
      <c r="C24" s="339"/>
      <c r="D24" s="339"/>
      <c r="E24" s="339"/>
      <c r="F24" s="368"/>
      <c r="O24" s="340" t="s">
        <v>12</v>
      </c>
      <c r="P24" s="31"/>
      <c r="Q24" s="31"/>
      <c r="R24" s="31"/>
      <c r="S24" s="31"/>
      <c r="T24" s="31"/>
      <c r="U24" s="31"/>
      <c r="V24" s="268">
        <f>V26+AF23+(AE23+AD23)*B6*0.00000001+AC23*(B5*0.00001)^2/4*PI()</f>
        <v>8.6693839532001036</v>
      </c>
      <c r="W24" t="s">
        <v>15</v>
      </c>
      <c r="AB24" s="276"/>
      <c r="AC24" s="327"/>
      <c r="AD24" s="310"/>
      <c r="AE24" s="310"/>
      <c r="AF24" s="310"/>
      <c r="AG24" s="310"/>
      <c r="AH24" s="310"/>
      <c r="AI24" s="326"/>
    </row>
    <row r="25" spans="2:45" ht="15.75" x14ac:dyDescent="0.25">
      <c r="B25" s="366"/>
      <c r="C25" s="339"/>
      <c r="D25" s="339"/>
      <c r="E25" s="339"/>
      <c r="F25" s="368"/>
      <c r="J25">
        <v>1</v>
      </c>
      <c r="K25" s="2"/>
      <c r="O25" s="342" t="s">
        <v>29</v>
      </c>
      <c r="P25" s="5"/>
      <c r="Q25" s="5"/>
      <c r="R25" s="5"/>
      <c r="S25" s="5"/>
      <c r="T25" s="5"/>
      <c r="U25" s="130">
        <v>100</v>
      </c>
      <c r="V25" s="278">
        <f>PI()*B5^2/4*(V21+5-U25)*0.000000001+AF25+(AE25+AD25)*B6*0.00000001+AC25*(B5*0.00001)^2/4*PI()</f>
        <v>7.5330886840947624</v>
      </c>
      <c r="W25" t="s">
        <v>15</v>
      </c>
      <c r="AB25" s="276"/>
      <c r="AC25" s="331">
        <f>(2*V5*SIN(RADIANS((180-U5)/2)))*SIN(RADIANS(U5/2))</f>
        <v>86.602540378443848</v>
      </c>
      <c r="AD25" s="316">
        <f>AC25*SIN(RADIANS(90-U5/2))*(2*V5*SIN(RADIANS((90-U5/2))))/2</f>
        <v>2165.0635094610957</v>
      </c>
      <c r="AE25" s="316">
        <f>V5^2/2*(3.14159/180*(180-U5)-SIN(RADIANS(180-U5)))</f>
        <v>905.85631441113981</v>
      </c>
      <c r="AF25" s="319">
        <f>(((B5)/2)^2+(X9/2)^2+B5/2*X9/2)*PI()*V16/3*0.000000001</f>
        <v>0.70193884245917215</v>
      </c>
      <c r="AG25" s="310"/>
      <c r="AH25" s="310"/>
      <c r="AI25" s="326"/>
    </row>
    <row r="26" spans="2:45" x14ac:dyDescent="0.25">
      <c r="B26" s="371"/>
      <c r="C26" s="372"/>
      <c r="D26" s="372"/>
      <c r="E26" s="372"/>
      <c r="F26" s="373"/>
      <c r="K26">
        <v>1</v>
      </c>
      <c r="O26" s="343" t="s">
        <v>13</v>
      </c>
      <c r="P26" s="6"/>
      <c r="Q26" s="6"/>
      <c r="R26" s="6"/>
      <c r="S26" s="6"/>
      <c r="T26" s="6"/>
      <c r="U26" s="6"/>
      <c r="V26" s="129">
        <f>V27+AF25+(AE25+AD25)*B6*0.00000001+AC25*(B5*0.00001)^2/4*PI()</f>
        <v>7.8967673036559507</v>
      </c>
      <c r="W26" t="s">
        <v>15</v>
      </c>
      <c r="Z26" t="s">
        <v>74</v>
      </c>
      <c r="AB26" s="276"/>
      <c r="AC26" s="332" t="s">
        <v>14</v>
      </c>
      <c r="AD26" s="320" t="s">
        <v>19</v>
      </c>
      <c r="AE26" s="320" t="s">
        <v>19</v>
      </c>
      <c r="AF26" s="320" t="s">
        <v>18</v>
      </c>
      <c r="AG26" s="310"/>
      <c r="AH26" s="310"/>
      <c r="AI26" s="326"/>
    </row>
    <row r="27" spans="2:45" ht="15.75" thickBot="1" x14ac:dyDescent="0.3">
      <c r="K27">
        <v>1.5</v>
      </c>
      <c r="O27" s="341" t="s">
        <v>215</v>
      </c>
      <c r="P27" s="30"/>
      <c r="Q27" s="30"/>
      <c r="R27" s="30"/>
      <c r="S27" s="30"/>
      <c r="T27" s="30"/>
      <c r="U27" s="30"/>
      <c r="V27" s="244">
        <f>PI()*B5^2/4*(V21+10)*0.000000001</f>
        <v>6.9618478601713223</v>
      </c>
      <c r="W27" t="s">
        <v>15</v>
      </c>
      <c r="AB27" s="276"/>
      <c r="AC27" s="327"/>
      <c r="AD27" s="310"/>
      <c r="AE27" s="310"/>
      <c r="AF27" s="310"/>
      <c r="AG27" s="310"/>
      <c r="AH27" s="310"/>
      <c r="AI27" s="326"/>
    </row>
    <row r="28" spans="2:45" ht="15.75" thickBot="1" x14ac:dyDescent="0.3">
      <c r="K28">
        <v>2</v>
      </c>
      <c r="M28" s="2"/>
      <c r="N28" s="2"/>
      <c r="O28" s="9"/>
      <c r="P28" s="9"/>
      <c r="Q28" s="9"/>
      <c r="R28" s="9"/>
      <c r="S28" s="9"/>
      <c r="T28" s="2"/>
      <c r="U28" s="2"/>
      <c r="V28" s="2"/>
      <c r="AB28" s="276"/>
      <c r="AC28" s="327"/>
      <c r="AD28" s="310"/>
      <c r="AE28" s="310"/>
      <c r="AF28" s="310"/>
      <c r="AG28" s="310"/>
      <c r="AH28" s="310"/>
      <c r="AI28" s="326"/>
    </row>
    <row r="29" spans="2:45" x14ac:dyDescent="0.25">
      <c r="K29">
        <v>2.5</v>
      </c>
      <c r="M29" s="2"/>
      <c r="O29" s="344" t="s">
        <v>16</v>
      </c>
      <c r="P29" s="34"/>
      <c r="Q29" s="34"/>
      <c r="R29" s="34"/>
      <c r="S29" s="34"/>
      <c r="T29" s="34"/>
      <c r="U29" s="34"/>
      <c r="V29" s="381">
        <f>IF(E2="сталь",7.8,8.2)*(B6*(E5*F5+E6*F6+E7*F7+E9*F9+E10*F10+E11*F11+E12*F12+E13*F13+E14*F14+E15*F15+E16*F16+F17*E17+E18*F18+E19*F19)+(PI()*O15*(B5/2+Q9/2)*M5)+(PI()*V15*(B5/2+X9/2)*T5))*0.000001</f>
        <v>840.52600839351146</v>
      </c>
      <c r="W29" t="s">
        <v>17</v>
      </c>
      <c r="AB29" s="276"/>
      <c r="AC29" s="327"/>
      <c r="AD29" s="310"/>
      <c r="AE29" s="310"/>
      <c r="AF29" s="310"/>
      <c r="AG29" s="310"/>
      <c r="AH29" s="310"/>
      <c r="AI29" s="326"/>
    </row>
    <row r="30" spans="2:45" x14ac:dyDescent="0.25">
      <c r="K30">
        <v>3</v>
      </c>
      <c r="M30" s="2"/>
      <c r="N30" s="2"/>
      <c r="O30" s="342" t="s">
        <v>41</v>
      </c>
      <c r="P30" s="5"/>
      <c r="Q30" s="5"/>
      <c r="R30" s="5"/>
      <c r="S30" s="5"/>
      <c r="T30" s="5"/>
      <c r="U30" s="35"/>
      <c r="V30" s="128">
        <v>1E-3</v>
      </c>
      <c r="W30" s="17" t="s">
        <v>42</v>
      </c>
      <c r="AB30" s="276"/>
      <c r="AC30" s="327"/>
      <c r="AD30" s="310"/>
      <c r="AE30" s="310"/>
      <c r="AF30" s="310"/>
      <c r="AG30" s="310"/>
      <c r="AH30" s="310"/>
      <c r="AI30" s="326"/>
    </row>
    <row r="31" spans="2:45" ht="15.75" thickBot="1" x14ac:dyDescent="0.3">
      <c r="K31">
        <v>4</v>
      </c>
      <c r="O31" s="343" t="s">
        <v>45</v>
      </c>
      <c r="P31" s="6"/>
      <c r="Q31" s="6"/>
      <c r="R31" s="6"/>
      <c r="S31" s="6"/>
      <c r="T31" s="6"/>
      <c r="U31" s="69">
        <f>U25</f>
        <v>100</v>
      </c>
      <c r="V31" s="407">
        <f>V25*V30*1000</f>
        <v>7.5330886840947633</v>
      </c>
      <c r="W31" s="9" t="s">
        <v>43</v>
      </c>
      <c r="AB31" s="321"/>
      <c r="AC31" s="333"/>
      <c r="AD31" s="334"/>
      <c r="AE31" s="334"/>
      <c r="AF31" s="334"/>
      <c r="AG31" s="334"/>
      <c r="AH31" s="334"/>
      <c r="AI31" s="335"/>
    </row>
    <row r="32" spans="2:45" ht="15.75" thickBot="1" x14ac:dyDescent="0.3">
      <c r="K32">
        <v>5</v>
      </c>
      <c r="M32" s="2"/>
      <c r="O32" s="341" t="s">
        <v>256</v>
      </c>
      <c r="P32" s="59"/>
      <c r="Q32" s="59"/>
      <c r="R32" s="59"/>
      <c r="S32" s="59"/>
      <c r="T32" s="59"/>
      <c r="U32" s="59"/>
      <c r="V32" s="406">
        <f>V29*0.001+V31</f>
        <v>8.3736146924882746</v>
      </c>
      <c r="W32" s="9" t="s">
        <v>43</v>
      </c>
      <c r="AD32" s="9"/>
      <c r="AE32" s="86"/>
      <c r="AF32" s="9"/>
    </row>
    <row r="33" spans="2:32" x14ac:dyDescent="0.25">
      <c r="B33" t="s">
        <v>30</v>
      </c>
      <c r="C33">
        <f>VALUE(LEFT(B33,(IFERROR(SEARCH("x",B33),)+IFERROR(SEARCH("х",B33),))-1))</f>
        <v>15</v>
      </c>
      <c r="D33">
        <f>VALUE(RIGHT(B33,LEN(B33)-(IFERROR(SEARCH("x",B33),)+IFERROR(SEARCH("х",B33),))))</f>
        <v>23</v>
      </c>
      <c r="K33">
        <v>6</v>
      </c>
      <c r="W33" s="9" t="s">
        <v>74</v>
      </c>
      <c r="AD33" s="9"/>
      <c r="AE33" s="9"/>
      <c r="AF33" s="9"/>
    </row>
    <row r="34" spans="2:32" ht="15.75" customHeight="1" x14ac:dyDescent="0.25">
      <c r="K34">
        <v>8</v>
      </c>
      <c r="AD34" s="9"/>
      <c r="AE34" s="9"/>
      <c r="AF34" s="9"/>
    </row>
    <row r="35" spans="2:32" x14ac:dyDescent="0.25">
      <c r="B35" t="str">
        <f>CONCATENATE(C33,"х",D33)</f>
        <v>15х23</v>
      </c>
      <c r="K35">
        <v>10</v>
      </c>
      <c r="O35" s="353" t="s">
        <v>258</v>
      </c>
      <c r="P35" s="354"/>
      <c r="Q35" s="354"/>
      <c r="R35" s="354"/>
      <c r="S35" s="354"/>
      <c r="T35" s="354"/>
      <c r="U35" s="354"/>
      <c r="V35" s="355"/>
      <c r="W35" t="s">
        <v>281</v>
      </c>
      <c r="AD35" s="9"/>
      <c r="AE35" s="9"/>
      <c r="AF35" s="9"/>
    </row>
    <row r="36" spans="2:32" x14ac:dyDescent="0.25">
      <c r="N36" s="2"/>
      <c r="O36" s="245"/>
      <c r="P36" s="10"/>
      <c r="Q36" s="10"/>
      <c r="R36" s="10"/>
      <c r="S36" s="10"/>
      <c r="T36" s="10"/>
      <c r="U36" s="10"/>
      <c r="V36" s="81"/>
      <c r="W36">
        <v>1</v>
      </c>
    </row>
    <row r="37" spans="2:32" x14ac:dyDescent="0.25">
      <c r="N37" s="2"/>
      <c r="O37" s="360"/>
      <c r="P37" s="17"/>
      <c r="Q37" s="17"/>
      <c r="R37" s="17"/>
      <c r="S37" s="17"/>
      <c r="T37" s="17"/>
      <c r="U37" s="17"/>
      <c r="V37" s="71"/>
      <c r="X37" s="409"/>
    </row>
    <row r="38" spans="2:32" ht="21" x14ac:dyDescent="0.35">
      <c r="O38" s="395" t="s">
        <v>263</v>
      </c>
      <c r="P38" s="17"/>
      <c r="Q38" s="17" t="s">
        <v>265</v>
      </c>
      <c r="R38" s="17"/>
      <c r="S38" s="17"/>
      <c r="T38" s="17"/>
      <c r="U38" s="17"/>
      <c r="V38" s="71"/>
    </row>
    <row r="39" spans="2:32" x14ac:dyDescent="0.25">
      <c r="O39" s="88">
        <v>1</v>
      </c>
      <c r="P39" s="356" t="s">
        <v>232</v>
      </c>
      <c r="Q39" s="296"/>
      <c r="R39" s="17"/>
      <c r="S39" s="288">
        <f>13*100</f>
        <v>1300</v>
      </c>
      <c r="T39" s="17" t="s">
        <v>233</v>
      </c>
      <c r="U39" s="17"/>
      <c r="V39" s="71"/>
    </row>
    <row r="40" spans="2:32" x14ac:dyDescent="0.25">
      <c r="E40" t="s">
        <v>74</v>
      </c>
      <c r="G40" s="237"/>
      <c r="H40" s="240"/>
      <c r="O40" s="360"/>
      <c r="P40" s="357" t="s">
        <v>224</v>
      </c>
      <c r="Q40" s="289"/>
      <c r="R40" s="17"/>
      <c r="S40" s="306">
        <v>101</v>
      </c>
      <c r="T40" s="17" t="s">
        <v>229</v>
      </c>
      <c r="U40" s="17"/>
      <c r="V40" s="71"/>
      <c r="W40" s="88"/>
    </row>
    <row r="41" spans="2:32" ht="20.25" customHeight="1" x14ac:dyDescent="0.25">
      <c r="G41" s="238"/>
      <c r="H41" s="240"/>
      <c r="O41" s="360"/>
      <c r="P41" s="358" t="s">
        <v>225</v>
      </c>
      <c r="Q41" s="290"/>
      <c r="R41" s="17"/>
      <c r="S41" s="382">
        <v>100</v>
      </c>
      <c r="T41" s="9" t="s">
        <v>229</v>
      </c>
      <c r="U41" s="9"/>
      <c r="V41" s="71"/>
    </row>
    <row r="42" spans="2:32" x14ac:dyDescent="0.25">
      <c r="G42" s="239"/>
      <c r="H42" s="240"/>
      <c r="N42" s="17"/>
      <c r="O42" s="360"/>
      <c r="P42" s="359"/>
      <c r="Q42" s="291"/>
      <c r="R42" s="17"/>
      <c r="S42" s="88">
        <v>2</v>
      </c>
      <c r="T42" s="9" t="s">
        <v>229</v>
      </c>
      <c r="U42" s="9"/>
      <c r="V42" s="71"/>
    </row>
    <row r="43" spans="2:32" x14ac:dyDescent="0.25">
      <c r="G43" s="241">
        <v>3</v>
      </c>
      <c r="H43" s="240">
        <v>1250</v>
      </c>
      <c r="I43">
        <v>3000</v>
      </c>
      <c r="N43" s="270"/>
      <c r="O43" s="360"/>
      <c r="P43" s="295" t="s">
        <v>227</v>
      </c>
      <c r="Q43" s="296"/>
      <c r="R43" s="17"/>
      <c r="S43" s="292">
        <f>(V21-S41-S42)/S40</f>
        <v>18.792079207920793</v>
      </c>
      <c r="T43" s="9" t="s">
        <v>230</v>
      </c>
      <c r="U43" s="9"/>
      <c r="V43" s="71"/>
    </row>
    <row r="44" spans="2:32" x14ac:dyDescent="0.25">
      <c r="G44" s="241">
        <v>3</v>
      </c>
      <c r="H44" s="240">
        <v>1500</v>
      </c>
      <c r="I44">
        <v>3000</v>
      </c>
      <c r="N44" s="270"/>
      <c r="O44" s="360"/>
      <c r="P44" s="295" t="s">
        <v>228</v>
      </c>
      <c r="Q44" s="296"/>
      <c r="R44" s="17"/>
      <c r="S44" s="293">
        <f>S43*B6*0.001</f>
        <v>124.2138650819802</v>
      </c>
      <c r="T44" s="9" t="s">
        <v>231</v>
      </c>
      <c r="U44" s="9"/>
      <c r="V44" s="71"/>
    </row>
    <row r="45" spans="2:32" x14ac:dyDescent="0.25">
      <c r="G45" s="241">
        <v>4</v>
      </c>
      <c r="H45" s="240">
        <v>1500</v>
      </c>
      <c r="I45">
        <v>3000</v>
      </c>
      <c r="N45" s="270"/>
      <c r="O45" s="360"/>
      <c r="P45" s="295" t="s">
        <v>226</v>
      </c>
      <c r="Q45" s="296"/>
      <c r="R45" s="17"/>
      <c r="S45" s="294">
        <f>S44*S39*0.0000001</f>
        <v>1.6147802460657425E-2</v>
      </c>
      <c r="T45" s="9" t="s">
        <v>15</v>
      </c>
      <c r="U45" s="9"/>
      <c r="V45" s="71"/>
    </row>
    <row r="46" spans="2:32" x14ac:dyDescent="0.25">
      <c r="G46" s="241">
        <v>4</v>
      </c>
      <c r="H46" s="240">
        <v>1500</v>
      </c>
      <c r="I46">
        <v>6000</v>
      </c>
      <c r="N46" s="270"/>
      <c r="O46" s="360"/>
      <c r="P46" s="297" t="s">
        <v>264</v>
      </c>
      <c r="Q46" s="17"/>
      <c r="R46" s="17"/>
      <c r="S46" s="396">
        <f>150*1.5*S44*8*0.001*IF(O39=1,1,0)</f>
        <v>223.58495714756435</v>
      </c>
      <c r="T46" s="9" t="s">
        <v>17</v>
      </c>
      <c r="U46" s="17"/>
      <c r="V46" s="71"/>
    </row>
    <row r="47" spans="2:32" x14ac:dyDescent="0.25">
      <c r="G47" s="241">
        <v>5</v>
      </c>
      <c r="H47" s="240">
        <v>1500</v>
      </c>
      <c r="I47">
        <v>6000</v>
      </c>
      <c r="N47" s="270"/>
      <c r="O47" s="360"/>
      <c r="P47" s="17"/>
      <c r="Q47" s="17"/>
      <c r="R47" s="17"/>
      <c r="S47" s="17"/>
      <c r="T47" s="17"/>
      <c r="U47" s="17"/>
      <c r="V47" s="71"/>
    </row>
    <row r="48" spans="2:32" x14ac:dyDescent="0.25">
      <c r="G48" s="241">
        <v>5</v>
      </c>
      <c r="H48" s="240">
        <v>1500</v>
      </c>
      <c r="I48">
        <v>6000</v>
      </c>
      <c r="O48" s="360"/>
      <c r="P48" s="17"/>
      <c r="Q48" s="17"/>
      <c r="R48" s="17"/>
      <c r="S48" s="17"/>
      <c r="T48" s="17"/>
      <c r="U48" s="17"/>
      <c r="V48" s="71"/>
    </row>
    <row r="49" spans="4:22" ht="15.75" thickBot="1" x14ac:dyDescent="0.3">
      <c r="O49" s="88">
        <v>1</v>
      </c>
      <c r="P49" s="300" t="s">
        <v>234</v>
      </c>
      <c r="Q49" s="397"/>
      <c r="R49" s="397"/>
      <c r="S49" s="17"/>
      <c r="T49" s="397"/>
      <c r="U49" s="17"/>
      <c r="V49" s="71"/>
    </row>
    <row r="50" spans="4:22" x14ac:dyDescent="0.25">
      <c r="D50" s="273"/>
      <c r="E50" s="274" t="s">
        <v>219</v>
      </c>
      <c r="F50" s="274"/>
      <c r="G50" s="274"/>
      <c r="H50" s="274"/>
      <c r="I50" s="275"/>
      <c r="O50" s="360"/>
      <c r="P50" s="299" t="s">
        <v>235</v>
      </c>
      <c r="Q50" s="17"/>
      <c r="R50" s="17"/>
      <c r="S50" s="71">
        <v>50</v>
      </c>
      <c r="T50" s="17" t="s">
        <v>47</v>
      </c>
      <c r="U50" s="17"/>
      <c r="V50" s="71"/>
    </row>
    <row r="51" spans="4:22" x14ac:dyDescent="0.25">
      <c r="D51" s="276"/>
      <c r="E51" s="17"/>
      <c r="F51" s="17"/>
      <c r="G51" s="17"/>
      <c r="H51" s="17"/>
      <c r="I51" s="277"/>
      <c r="O51" s="360"/>
      <c r="P51" s="299" t="s">
        <v>236</v>
      </c>
      <c r="Q51" s="17"/>
      <c r="R51" s="17"/>
      <c r="S51" s="380">
        <f>Q62*S50/100*0.0015</f>
        <v>4.2073476424734886E-3</v>
      </c>
      <c r="T51" s="17" t="s">
        <v>15</v>
      </c>
      <c r="U51" s="17"/>
      <c r="V51" s="71"/>
    </row>
    <row r="52" spans="4:22" x14ac:dyDescent="0.25">
      <c r="D52" s="276"/>
      <c r="E52" s="302"/>
      <c r="F52" s="17"/>
      <c r="G52" s="17"/>
      <c r="H52" s="17"/>
      <c r="I52" s="301"/>
      <c r="O52" s="360"/>
      <c r="P52" s="17"/>
      <c r="Q52" s="17"/>
      <c r="R52" s="17"/>
      <c r="S52" s="71"/>
      <c r="T52" s="17"/>
      <c r="U52" s="17"/>
      <c r="V52" s="71"/>
    </row>
    <row r="53" spans="4:22" x14ac:dyDescent="0.25">
      <c r="D53" s="276"/>
      <c r="E53" s="303"/>
      <c r="F53" s="17"/>
      <c r="G53" s="17"/>
      <c r="H53" s="17"/>
      <c r="I53" s="301"/>
      <c r="L53" s="272"/>
      <c r="M53" s="272"/>
      <c r="N53" s="272"/>
      <c r="O53" s="398" t="s">
        <v>237</v>
      </c>
      <c r="P53" s="17"/>
      <c r="Q53" s="399"/>
      <c r="R53" s="399"/>
      <c r="S53" s="307">
        <f>S45+S51</f>
        <v>2.0355150103130912E-2</v>
      </c>
      <c r="T53" s="17" t="s">
        <v>15</v>
      </c>
      <c r="U53" s="17"/>
      <c r="V53" s="71"/>
    </row>
    <row r="54" spans="4:22" x14ac:dyDescent="0.25">
      <c r="D54" s="276"/>
      <c r="E54" s="303">
        <f t="shared" ref="E54:E56" si="3">I54*E55/I55</f>
        <v>7.5</v>
      </c>
      <c r="F54" s="17"/>
      <c r="G54" s="271" t="s">
        <v>220</v>
      </c>
      <c r="H54" s="287">
        <v>1</v>
      </c>
      <c r="I54" s="301">
        <f t="shared" ref="I54:I56" si="4">H54*I55/H55</f>
        <v>5</v>
      </c>
      <c r="L54" s="272"/>
      <c r="M54" s="272"/>
      <c r="N54" s="272"/>
      <c r="O54" s="360"/>
      <c r="P54" s="17" t="s">
        <v>266</v>
      </c>
      <c r="Q54" s="17"/>
      <c r="R54" s="17"/>
      <c r="S54" s="71">
        <v>4</v>
      </c>
      <c r="T54" s="17" t="s">
        <v>14</v>
      </c>
      <c r="U54" s="17"/>
      <c r="V54" s="71"/>
    </row>
    <row r="55" spans="4:22" x14ac:dyDescent="0.25">
      <c r="D55" s="276"/>
      <c r="E55" s="303">
        <f t="shared" si="3"/>
        <v>37.5</v>
      </c>
      <c r="F55" s="17"/>
      <c r="G55" s="271" t="s">
        <v>221</v>
      </c>
      <c r="H55" s="271">
        <v>5</v>
      </c>
      <c r="I55" s="301">
        <f t="shared" si="4"/>
        <v>25</v>
      </c>
      <c r="L55" s="272"/>
      <c r="M55" s="272"/>
      <c r="N55" s="272"/>
      <c r="O55" s="360"/>
      <c r="P55" s="17" t="s">
        <v>267</v>
      </c>
      <c r="Q55" s="17"/>
      <c r="R55" s="17"/>
      <c r="S55" s="396">
        <f>3.1415*B5/2*(V15+W13)*S54*8*0.000001*S50/100*IF(O49 =1,1,0)</f>
        <v>73.051036173952056</v>
      </c>
      <c r="T55" s="17" t="s">
        <v>17</v>
      </c>
      <c r="U55" s="17"/>
      <c r="V55" s="71"/>
    </row>
    <row r="56" spans="4:22" x14ac:dyDescent="0.25">
      <c r="D56" s="276"/>
      <c r="E56" s="303">
        <f t="shared" si="3"/>
        <v>60</v>
      </c>
      <c r="F56" s="17"/>
      <c r="G56" s="271" t="s">
        <v>222</v>
      </c>
      <c r="H56" s="271">
        <v>8</v>
      </c>
      <c r="I56" s="301">
        <f t="shared" si="4"/>
        <v>40</v>
      </c>
      <c r="L56" s="272"/>
      <c r="M56" s="272"/>
      <c r="N56" s="272"/>
      <c r="O56" s="400"/>
      <c r="P56" s="272"/>
      <c r="Q56" s="17"/>
      <c r="R56" s="17"/>
      <c r="S56" s="17"/>
      <c r="T56" s="17"/>
      <c r="U56" s="17"/>
      <c r="V56" s="71"/>
    </row>
    <row r="57" spans="4:22" ht="15.75" thickBot="1" x14ac:dyDescent="0.3">
      <c r="D57" s="276"/>
      <c r="E57" s="304">
        <f>I57*E58/I58</f>
        <v>45</v>
      </c>
      <c r="F57" s="17"/>
      <c r="G57" s="85" t="s">
        <v>223</v>
      </c>
      <c r="H57" s="85">
        <v>6</v>
      </c>
      <c r="I57" s="302">
        <f>H57*I58/H58</f>
        <v>30</v>
      </c>
      <c r="L57" s="272"/>
      <c r="M57" s="272"/>
      <c r="N57" s="272"/>
      <c r="O57" s="400"/>
      <c r="P57" s="272"/>
      <c r="Q57" s="17"/>
      <c r="R57" s="17"/>
      <c r="S57" s="17"/>
      <c r="T57" s="17"/>
      <c r="U57" s="17"/>
      <c r="V57" s="71"/>
    </row>
    <row r="58" spans="4:22" ht="21.75" thickBot="1" x14ac:dyDescent="0.4">
      <c r="D58" s="279" t="s">
        <v>216</v>
      </c>
      <c r="E58" s="305">
        <v>150</v>
      </c>
      <c r="F58" s="280"/>
      <c r="G58" s="281"/>
      <c r="H58" s="281">
        <f>SUM(H54:H57)</f>
        <v>20</v>
      </c>
      <c r="I58" s="282">
        <v>100</v>
      </c>
      <c r="L58" s="272"/>
      <c r="M58" s="272"/>
      <c r="N58" s="272"/>
      <c r="O58" s="395" t="s">
        <v>268</v>
      </c>
      <c r="P58" s="17"/>
      <c r="Q58" s="17"/>
      <c r="R58" s="17"/>
      <c r="S58" s="17"/>
      <c r="T58" s="17"/>
      <c r="U58" s="17"/>
      <c r="V58" s="71"/>
    </row>
    <row r="59" spans="4:22" ht="24" thickBot="1" x14ac:dyDescent="0.4">
      <c r="D59" s="283"/>
      <c r="E59" s="284"/>
      <c r="F59" s="284"/>
      <c r="G59" s="285" t="s">
        <v>217</v>
      </c>
      <c r="H59" s="285" t="s">
        <v>218</v>
      </c>
      <c r="I59" s="285" t="s">
        <v>47</v>
      </c>
      <c r="O59" s="347" t="s">
        <v>250</v>
      </c>
      <c r="P59" s="10"/>
      <c r="Q59" s="10" t="s">
        <v>254</v>
      </c>
      <c r="R59" s="17"/>
      <c r="S59" s="385"/>
      <c r="T59" s="383"/>
      <c r="U59" s="384" t="s">
        <v>255</v>
      </c>
      <c r="V59" s="385"/>
    </row>
    <row r="60" spans="4:22" x14ac:dyDescent="0.25">
      <c r="O60" s="348">
        <v>1</v>
      </c>
      <c r="P60" s="346" t="s">
        <v>251</v>
      </c>
      <c r="Q60" s="377">
        <f>V21*B5*3.14159*0.000001</f>
        <v>13.194678</v>
      </c>
      <c r="R60" s="17"/>
      <c r="S60" s="81" t="s">
        <v>195</v>
      </c>
      <c r="T60" s="245"/>
      <c r="U60" s="377">
        <f>Q60*Q64*0.001</f>
        <v>0.98960084999999998</v>
      </c>
      <c r="V60" s="81" t="s">
        <v>18</v>
      </c>
    </row>
    <row r="61" spans="4:22" x14ac:dyDescent="0.25">
      <c r="O61" s="348">
        <v>0</v>
      </c>
      <c r="P61" s="299" t="s">
        <v>252</v>
      </c>
      <c r="Q61" s="378">
        <f>W6*W7*W8*0.000001</f>
        <v>6.2641720350611312</v>
      </c>
      <c r="R61" s="17"/>
      <c r="S61" s="71" t="s">
        <v>195</v>
      </c>
      <c r="T61" s="17"/>
      <c r="U61" s="378">
        <f>Q61*Q64*0.001</f>
        <v>0.46981290262958481</v>
      </c>
      <c r="V61" s="71" t="s">
        <v>18</v>
      </c>
    </row>
    <row r="62" spans="4:22" x14ac:dyDescent="0.25">
      <c r="O62" s="349">
        <v>1</v>
      </c>
      <c r="P62" s="299" t="s">
        <v>253</v>
      </c>
      <c r="Q62" s="378">
        <f>P6*P7*P8*0.000001</f>
        <v>5.6097968566313181</v>
      </c>
      <c r="R62" s="17"/>
      <c r="S62" s="71" t="s">
        <v>195</v>
      </c>
      <c r="T62" s="17"/>
      <c r="U62" s="378">
        <f>Q62*Q64*0.001</f>
        <v>0.42073476424734885</v>
      </c>
      <c r="V62" s="71" t="s">
        <v>18</v>
      </c>
    </row>
    <row r="63" spans="4:22" x14ac:dyDescent="0.25">
      <c r="O63" s="401"/>
      <c r="P63" s="297" t="s">
        <v>212</v>
      </c>
      <c r="Q63" s="236">
        <f>IF(O60=1,Q60,0)+IF(O61=1,Q61,0)+IF(O62=1,Q62,0)</f>
        <v>18.804474856631316</v>
      </c>
      <c r="R63" s="17"/>
      <c r="S63" s="71" t="s">
        <v>195</v>
      </c>
      <c r="T63" s="17"/>
      <c r="U63" s="236">
        <f>Q63*Q64*0.001</f>
        <v>1.4103356142473489</v>
      </c>
      <c r="V63" s="71" t="s">
        <v>18</v>
      </c>
    </row>
    <row r="64" spans="4:22" ht="23.25" x14ac:dyDescent="0.35">
      <c r="O64" s="382" t="s">
        <v>259</v>
      </c>
      <c r="P64" s="298"/>
      <c r="Q64" s="374">
        <v>75</v>
      </c>
      <c r="R64" s="17"/>
      <c r="S64" s="83" t="s">
        <v>14</v>
      </c>
      <c r="T64" s="351"/>
      <c r="U64" s="82"/>
      <c r="V64" s="83"/>
    </row>
    <row r="65" spans="15:23" x14ac:dyDescent="0.25">
      <c r="O65" s="360"/>
      <c r="P65" s="297" t="s">
        <v>247</v>
      </c>
      <c r="Q65" s="17">
        <v>60</v>
      </c>
      <c r="R65" s="17"/>
      <c r="S65" s="345" t="s">
        <v>249</v>
      </c>
      <c r="T65" s="17"/>
      <c r="U65" s="345"/>
      <c r="V65" s="71"/>
    </row>
    <row r="66" spans="15:23" x14ac:dyDescent="0.25">
      <c r="O66" s="360"/>
      <c r="P66" s="350" t="s">
        <v>248</v>
      </c>
      <c r="Q66" s="396">
        <f>U63*Q65</f>
        <v>84.620136854840936</v>
      </c>
      <c r="R66" s="17"/>
      <c r="S66" s="17" t="s">
        <v>17</v>
      </c>
      <c r="T66" s="17"/>
      <c r="U66" s="17"/>
      <c r="V66" s="71"/>
    </row>
    <row r="67" spans="15:23" x14ac:dyDescent="0.25">
      <c r="O67" s="360"/>
      <c r="P67" s="17"/>
      <c r="Q67" s="17"/>
      <c r="R67" s="17"/>
      <c r="S67" s="17"/>
      <c r="T67" s="17"/>
      <c r="U67" s="17"/>
      <c r="V67" s="71"/>
    </row>
    <row r="68" spans="15:23" x14ac:dyDescent="0.25">
      <c r="O68" s="402"/>
      <c r="P68" s="270"/>
      <c r="Q68" s="270"/>
      <c r="R68" s="270"/>
      <c r="S68" s="270"/>
      <c r="T68" s="17"/>
      <c r="U68" s="17"/>
      <c r="V68" s="71"/>
    </row>
    <row r="69" spans="15:23" ht="21" x14ac:dyDescent="0.35">
      <c r="O69" s="403" t="s">
        <v>269</v>
      </c>
      <c r="P69" s="17"/>
      <c r="Q69" s="270"/>
      <c r="R69" s="270"/>
      <c r="S69" s="352" t="s">
        <v>90</v>
      </c>
      <c r="T69" s="17"/>
      <c r="U69" s="404">
        <f>B5+E5+E5+Q64+Q64+5</f>
        <v>2263</v>
      </c>
      <c r="V69" s="71" t="s">
        <v>229</v>
      </c>
    </row>
    <row r="70" spans="15:23" x14ac:dyDescent="0.25">
      <c r="O70" s="347" t="s">
        <v>250</v>
      </c>
      <c r="P70" s="352" t="s">
        <v>257</v>
      </c>
      <c r="Q70" s="270"/>
      <c r="R70" s="270"/>
      <c r="S70" s="270"/>
      <c r="T70" s="17"/>
      <c r="U70" s="17" t="s">
        <v>260</v>
      </c>
      <c r="V70" s="71"/>
    </row>
    <row r="71" spans="15:23" x14ac:dyDescent="0.25">
      <c r="O71" s="348">
        <v>1</v>
      </c>
      <c r="P71" s="352" t="s">
        <v>261</v>
      </c>
      <c r="Q71" s="386">
        <v>2</v>
      </c>
      <c r="R71" s="270"/>
      <c r="S71" s="270" t="s">
        <v>14</v>
      </c>
      <c r="T71" s="17"/>
      <c r="U71" s="393">
        <f>U69*3.14159*V21*Q71*8*0.000001*IF(O71=1,1,0)</f>
        <v>227.50138143999999</v>
      </c>
      <c r="V71" s="71" t="s">
        <v>17</v>
      </c>
    </row>
    <row r="72" spans="15:23" x14ac:dyDescent="0.25">
      <c r="O72" s="348">
        <v>0</v>
      </c>
      <c r="P72" s="352" t="s">
        <v>262</v>
      </c>
      <c r="Q72" s="386">
        <v>3</v>
      </c>
      <c r="R72" s="270"/>
      <c r="S72" s="270" t="s">
        <v>14</v>
      </c>
      <c r="T72" s="17"/>
      <c r="U72" s="394">
        <f>3.14159*U69/2*(O15+P13)*IF(O72=1,Q72,0)*8*0.000001</f>
        <v>0</v>
      </c>
      <c r="V72" s="71" t="s">
        <v>17</v>
      </c>
    </row>
    <row r="73" spans="15:23" x14ac:dyDescent="0.25">
      <c r="O73" s="349">
        <v>1</v>
      </c>
      <c r="P73" s="352" t="s">
        <v>253</v>
      </c>
      <c r="Q73" s="382">
        <v>2</v>
      </c>
      <c r="R73" s="17"/>
      <c r="S73" s="270" t="s">
        <v>14</v>
      </c>
      <c r="T73" s="17"/>
      <c r="U73" s="394">
        <f>3.14159*U69/2*(V15+W13)*IF(O73=1,Q73,0)*8*0.000001</f>
        <v>78.723443291788428</v>
      </c>
      <c r="V73" s="71" t="s">
        <v>17</v>
      </c>
    </row>
    <row r="74" spans="15:23" x14ac:dyDescent="0.25">
      <c r="O74" s="360"/>
      <c r="P74" s="17"/>
      <c r="Q74" s="17"/>
      <c r="R74" s="17"/>
      <c r="S74" s="270"/>
      <c r="T74" s="17"/>
      <c r="U74" s="396">
        <f>SUM(U71:U73)</f>
        <v>306.22482473178843</v>
      </c>
      <c r="V74" s="71" t="s">
        <v>17</v>
      </c>
    </row>
    <row r="75" spans="15:23" x14ac:dyDescent="0.25">
      <c r="O75" s="360"/>
      <c r="P75" s="17"/>
      <c r="Q75" s="17"/>
      <c r="R75" s="17"/>
      <c r="S75" s="17"/>
      <c r="T75" s="17"/>
      <c r="U75" s="17"/>
      <c r="V75" s="71"/>
    </row>
    <row r="76" spans="15:23" ht="21" x14ac:dyDescent="0.35">
      <c r="O76" s="395" t="s">
        <v>270</v>
      </c>
      <c r="P76" s="17"/>
      <c r="Q76" s="17"/>
      <c r="R76" s="17"/>
      <c r="S76" s="17"/>
      <c r="T76" s="17"/>
      <c r="U76" s="17"/>
      <c r="V76" s="71"/>
    </row>
    <row r="77" spans="15:23" x14ac:dyDescent="0.25">
      <c r="O77" s="88">
        <v>1</v>
      </c>
      <c r="P77" s="361" t="s">
        <v>271</v>
      </c>
      <c r="Q77" s="35"/>
      <c r="R77" s="17"/>
      <c r="S77" s="383">
        <v>4</v>
      </c>
      <c r="T77" s="385"/>
      <c r="U77" s="17" t="s">
        <v>230</v>
      </c>
      <c r="V77" s="71"/>
    </row>
    <row r="78" spans="15:23" x14ac:dyDescent="0.25">
      <c r="O78" s="360"/>
      <c r="P78" s="376" t="s">
        <v>272</v>
      </c>
      <c r="Q78" s="21"/>
      <c r="R78" s="17"/>
      <c r="S78" s="360">
        <v>104</v>
      </c>
      <c r="T78" s="375">
        <v>2</v>
      </c>
      <c r="U78" s="17" t="s">
        <v>14</v>
      </c>
      <c r="V78" s="71"/>
    </row>
    <row r="79" spans="15:23" x14ac:dyDescent="0.25">
      <c r="O79" s="360"/>
      <c r="P79" s="361" t="s">
        <v>274</v>
      </c>
      <c r="Q79" s="5"/>
      <c r="R79" s="384"/>
      <c r="S79" s="385"/>
      <c r="T79" s="382">
        <v>700</v>
      </c>
      <c r="U79" s="17" t="s">
        <v>14</v>
      </c>
      <c r="V79" s="71"/>
    </row>
    <row r="80" spans="15:23" x14ac:dyDescent="0.25">
      <c r="O80" s="360"/>
      <c r="P80" s="361" t="s">
        <v>273</v>
      </c>
      <c r="Q80" s="35"/>
      <c r="R80" s="17"/>
      <c r="S80" s="379">
        <f>T79+V16+V5+30</f>
        <v>1423.5160767269354</v>
      </c>
      <c r="T80" s="17"/>
      <c r="U80" s="17" t="s">
        <v>14</v>
      </c>
      <c r="V80" s="71"/>
      <c r="W80">
        <v>36.125</v>
      </c>
    </row>
    <row r="81" spans="15:24" x14ac:dyDescent="0.25">
      <c r="O81" s="360"/>
      <c r="P81" s="6" t="s">
        <v>275</v>
      </c>
      <c r="Q81" s="17"/>
      <c r="R81" s="17"/>
      <c r="S81" s="17"/>
      <c r="T81" s="405">
        <f>S77*S78*3.1415*S80*T78*8*0.000001*IF(O77=1,1,0)</f>
        <v>29.765470625530714</v>
      </c>
      <c r="U81" s="17" t="s">
        <v>17</v>
      </c>
      <c r="V81" s="71"/>
      <c r="W81">
        <v>0.3</v>
      </c>
    </row>
    <row r="82" spans="15:24" x14ac:dyDescent="0.25">
      <c r="O82" s="360"/>
      <c r="P82" s="6" t="s">
        <v>276</v>
      </c>
      <c r="Q82" s="17"/>
      <c r="R82" s="17"/>
      <c r="S82" s="17"/>
      <c r="T82" s="405">
        <f>S77*((S78/2*3.314*S78*1.3*6*8+(((S78+15)^2)*3.1415)/4*10*8)*0.000001+2+2)*IF(O77=1,1,0)</f>
        <v>24.032301675200003</v>
      </c>
      <c r="U82" s="17"/>
      <c r="V82" s="71"/>
      <c r="W82">
        <v>0.08</v>
      </c>
    </row>
    <row r="83" spans="15:24" x14ac:dyDescent="0.25">
      <c r="O83" s="360"/>
      <c r="P83" s="9"/>
      <c r="Q83" s="17"/>
      <c r="R83" s="17"/>
      <c r="S83" s="17"/>
      <c r="T83" s="17"/>
      <c r="U83" s="17"/>
      <c r="V83" s="71"/>
      <c r="W83">
        <v>6</v>
      </c>
    </row>
    <row r="84" spans="15:24" x14ac:dyDescent="0.25">
      <c r="O84" s="360"/>
      <c r="P84" s="17"/>
      <c r="Q84" s="17"/>
      <c r="R84" s="17"/>
      <c r="S84" s="17"/>
      <c r="T84" s="17"/>
      <c r="U84" s="17"/>
      <c r="V84" s="71"/>
      <c r="W84">
        <f>W80*W81*W82*W83</f>
        <v>5.202</v>
      </c>
      <c r="X84">
        <f>W84*2</f>
        <v>10.404</v>
      </c>
    </row>
    <row r="85" spans="15:24" ht="21" x14ac:dyDescent="0.35">
      <c r="O85" s="395" t="s">
        <v>277</v>
      </c>
      <c r="P85" s="17"/>
      <c r="Q85" s="17"/>
      <c r="R85" s="17"/>
      <c r="S85" s="17"/>
      <c r="T85" s="17"/>
      <c r="U85" s="17"/>
      <c r="V85" s="71"/>
    </row>
    <row r="86" spans="15:24" x14ac:dyDescent="0.25">
      <c r="O86" s="88">
        <v>1</v>
      </c>
      <c r="P86" s="17" t="s">
        <v>278</v>
      </c>
      <c r="Q86" s="17"/>
      <c r="R86" s="17"/>
      <c r="S86" s="405">
        <f>IF(O86=1,1,0)*T86</f>
        <v>80</v>
      </c>
      <c r="T86" s="387">
        <v>80</v>
      </c>
      <c r="U86" s="17" t="s">
        <v>17</v>
      </c>
      <c r="V86" s="71"/>
    </row>
    <row r="87" spans="15:24" x14ac:dyDescent="0.25">
      <c r="O87" s="88">
        <v>1</v>
      </c>
      <c r="P87" s="17" t="s">
        <v>279</v>
      </c>
      <c r="Q87" s="17"/>
      <c r="R87" s="17"/>
      <c r="S87" s="405">
        <f>IF(O87=1,1,0)*T87</f>
        <v>15</v>
      </c>
      <c r="T87" s="388">
        <v>15</v>
      </c>
      <c r="U87" s="17" t="s">
        <v>17</v>
      </c>
      <c r="V87" s="71"/>
    </row>
    <row r="88" spans="15:24" x14ac:dyDescent="0.25">
      <c r="O88" s="88">
        <v>0</v>
      </c>
      <c r="P88" s="17"/>
      <c r="Q88" s="17"/>
      <c r="R88" s="17"/>
      <c r="S88" s="405">
        <f>IF(O88=1,1,0)*T88</f>
        <v>0</v>
      </c>
      <c r="T88" s="17">
        <v>2000</v>
      </c>
      <c r="U88" s="17"/>
      <c r="V88" s="71"/>
    </row>
    <row r="89" spans="15:24" ht="15.75" thickBot="1" x14ac:dyDescent="0.3">
      <c r="O89" s="360"/>
      <c r="P89" s="17"/>
      <c r="Q89" s="17"/>
      <c r="R89" s="17"/>
      <c r="S89" s="17"/>
      <c r="T89" s="17"/>
      <c r="U89" s="17"/>
      <c r="V89" s="71"/>
    </row>
    <row r="90" spans="15:24" ht="21" customHeight="1" x14ac:dyDescent="0.35">
      <c r="O90" s="360"/>
      <c r="P90" s="408" t="s">
        <v>112</v>
      </c>
      <c r="Q90" s="82"/>
      <c r="R90" s="17"/>
      <c r="S90" s="390">
        <f>S87+S86+T82+T81+U74+Q66+S55+S46+V29+S88</f>
        <v>1676.8047356023881</v>
      </c>
      <c r="T90" s="391" t="s">
        <v>17</v>
      </c>
      <c r="U90" s="17"/>
      <c r="V90" s="71"/>
    </row>
    <row r="91" spans="15:24" ht="15.75" thickBot="1" x14ac:dyDescent="0.3">
      <c r="O91" s="360"/>
      <c r="P91" s="360" t="s">
        <v>280</v>
      </c>
      <c r="Q91" s="17"/>
      <c r="R91" s="17"/>
      <c r="S91" s="389">
        <f>S90*0.001+V31</f>
        <v>9.2098934196971509</v>
      </c>
      <c r="T91" s="392" t="s">
        <v>43</v>
      </c>
      <c r="U91" s="17"/>
      <c r="V91" s="71"/>
    </row>
    <row r="92" spans="15:24" x14ac:dyDescent="0.25">
      <c r="O92" s="351"/>
      <c r="P92" s="82"/>
      <c r="Q92" s="82"/>
      <c r="R92" s="82"/>
      <c r="S92" s="82"/>
      <c r="T92" s="82"/>
      <c r="U92" s="82"/>
      <c r="V92" s="83"/>
    </row>
  </sheetData>
  <sortState ref="G43:I48">
    <sortCondition ref="G43:G48"/>
    <sortCondition ref="H43:H48"/>
    <sortCondition ref="I43:I48"/>
  </sortState>
  <dataConsolidate>
    <dataRefs count="1">
      <dataRef ref="B7" sheet="Вариант1"/>
    </dataRefs>
  </dataConsolidate>
  <mergeCells count="8">
    <mergeCell ref="B7:B19"/>
    <mergeCell ref="M9:O9"/>
    <mergeCell ref="M14:N15"/>
    <mergeCell ref="L2:N2"/>
    <mergeCell ref="T3:X3"/>
    <mergeCell ref="B3:B4"/>
    <mergeCell ref="M3:Q3"/>
    <mergeCell ref="C3:L3"/>
  </mergeCells>
  <conditionalFormatting sqref="W5">
    <cfRule type="colorScale" priority="15">
      <colorScale>
        <cfvo type="num" val="$X$22"/>
        <cfvo type="num" val="$X$22"/>
        <color theme="9" tint="-0.249977111117893"/>
        <color rgb="FF00B050"/>
      </colorScale>
    </cfRule>
  </conditionalFormatting>
  <conditionalFormatting sqref="P5">
    <cfRule type="colorScale" priority="11">
      <colorScale>
        <cfvo type="num" val="$I$2*1.25"/>
        <cfvo type="percentile" val="50"/>
        <cfvo type="max"/>
        <color rgb="FFF8696B"/>
        <color rgb="FFFFEB84"/>
        <color rgb="FF63BE7B"/>
      </colorScale>
    </cfRule>
  </conditionalFormatting>
  <conditionalFormatting sqref="Q6 X6">
    <cfRule type="colorScale" priority="10">
      <colorScale>
        <cfvo type="num" val="1"/>
        <cfvo type="num" val="1.1000000000000001"/>
        <cfvo type="num" val="2"/>
        <color rgb="FFFF0000"/>
        <color rgb="FFFFFF00"/>
        <color theme="6" tint="0.39997558519241921"/>
      </colorScale>
    </cfRule>
  </conditionalFormatting>
  <conditionalFormatting sqref="O60:O62">
    <cfRule type="cellIs" dxfId="9" priority="9" operator="equal">
      <formula>1</formula>
    </cfRule>
  </conditionalFormatting>
  <conditionalFormatting sqref="O71:O73">
    <cfRule type="cellIs" dxfId="8" priority="8" operator="equal">
      <formula>1</formula>
    </cfRule>
  </conditionalFormatting>
  <conditionalFormatting sqref="O39">
    <cfRule type="cellIs" dxfId="7" priority="7" operator="equal">
      <formula>1</formula>
    </cfRule>
  </conditionalFormatting>
  <conditionalFormatting sqref="O49">
    <cfRule type="cellIs" dxfId="6" priority="5" operator="equal">
      <formula>1</formula>
    </cfRule>
  </conditionalFormatting>
  <conditionalFormatting sqref="O77">
    <cfRule type="cellIs" dxfId="5" priority="4" operator="equal">
      <formula>1</formula>
    </cfRule>
  </conditionalFormatting>
  <conditionalFormatting sqref="O86:O88">
    <cfRule type="cellIs" dxfId="4" priority="3" operator="equal">
      <formula>1</formula>
    </cfRule>
  </conditionalFormatting>
  <conditionalFormatting sqref="X37">
    <cfRule type="cellIs" dxfId="3" priority="2" operator="equal">
      <formula>1</formula>
    </cfRule>
  </conditionalFormatting>
  <conditionalFormatting sqref="W40">
    <cfRule type="cellIs" dxfId="2" priority="1" operator="equal">
      <formula>1</formula>
    </cfRule>
  </conditionalFormatting>
  <dataValidations disablePrompts="1" xWindow="209" yWindow="320" count="11">
    <dataValidation type="list" allowBlank="1" showInputMessage="1" showErrorMessage="1" sqref="E2">
      <formula1>"н/ж, сталь"</formula1>
    </dataValidation>
    <dataValidation type="list" errorStyle="information" showInputMessage="1" prompt="предпочтительный раскрой листа" sqref="F5:F19 P6 W6">
      <formula1>"1000,1250,1500,2000,2500"</formula1>
    </dataValidation>
    <dataValidation type="list" showInputMessage="1" sqref="W7 P7 G5:G19">
      <formula1>"Рулон,1000,1250,1500,2000,2500,3000,6000"</formula1>
    </dataValidation>
    <dataValidation type="list" showInputMessage="1" error="нет возмодеости изготовить " prompt="радиус подкатки" sqref="O5 V5">
      <formula1>"30,50,100,200,300"</formula1>
    </dataValidation>
    <dataValidation type="list" errorStyle="information" showInputMessage="1" error="не стандартный угол" prompt="Внутренний угол между вертикалью и образующей конуса" sqref="U5 N5">
      <formula1>"75,80,85,90,95,100,105,110,115,120,125,130"</formula1>
    </dataValidation>
    <dataValidation allowBlank="1" showErrorMessage="1" prompt="Вата" sqref="Q65"/>
    <dataValidation type="list" allowBlank="1" showInputMessage="1" showErrorMessage="1" sqref="O60:O62 O71:O73 O39 O49 O77 O86:O88">
      <formula1>"1,0"</formula1>
    </dataValidation>
    <dataValidation allowBlank="1" showErrorMessage="1" sqref="V72:V73"/>
    <dataValidation allowBlank="1" showErrorMessage="1" prompt="чап" sqref="Q69"/>
    <dataValidation type="list" allowBlank="1" showInputMessage="1" showErrorMessage="1" sqref="O67">
      <formula1>$O$67:$O$73</formula1>
    </dataValidation>
    <dataValidation type="list" allowBlank="1" showInputMessage="1" sqref="E5:E19 T5 M5">
      <formula1>$K$26:$K$35</formula1>
    </dataValidation>
  </dataValidations>
  <pageMargins left="0.70866141732283472" right="0.70866141732283472" top="0.74803149606299213" bottom="0.74803149606299213" header="0.31496062992125984" footer="0.31496062992125984"/>
  <pageSetup paperSize="9" scale="6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140"/>
  <sheetViews>
    <sheetView topLeftCell="A22" workbookViewId="0"/>
  </sheetViews>
  <sheetFormatPr defaultRowHeight="15" x14ac:dyDescent="0.25"/>
  <cols>
    <col min="1" max="1" width="4.7109375" customWidth="1"/>
    <col min="2" max="2" width="9.85546875" customWidth="1"/>
    <col min="3" max="3" width="13" customWidth="1"/>
    <col min="4" max="4" width="12.85546875" customWidth="1"/>
    <col min="5" max="5" width="36.28515625" customWidth="1"/>
    <col min="6" max="6" width="13.140625" customWidth="1"/>
    <col min="7" max="7" width="11.28515625" customWidth="1"/>
    <col min="8" max="8" width="10.140625" customWidth="1"/>
    <col min="9" max="9" width="19" customWidth="1"/>
    <col min="10" max="10" width="15.42578125" customWidth="1"/>
    <col min="11" max="11" width="11.42578125" customWidth="1"/>
    <col min="12" max="12" width="13.7109375" customWidth="1"/>
    <col min="13" max="13" width="19" customWidth="1"/>
    <col min="14" max="14" width="9" customWidth="1"/>
    <col min="15" max="15" width="8.5703125" customWidth="1"/>
  </cols>
  <sheetData>
    <row r="1" spans="1:15" ht="15.75" x14ac:dyDescent="0.25">
      <c r="A1" s="137" t="s">
        <v>75</v>
      </c>
      <c r="B1" s="137"/>
      <c r="C1" s="137"/>
      <c r="D1" s="137"/>
      <c r="E1" s="137"/>
      <c r="F1" s="138" t="s">
        <v>76</v>
      </c>
      <c r="G1" s="139">
        <v>40411</v>
      </c>
      <c r="M1" s="17"/>
    </row>
    <row r="2" spans="1:15" x14ac:dyDescent="0.25">
      <c r="K2" t="s">
        <v>77</v>
      </c>
      <c r="M2" s="140">
        <v>40465</v>
      </c>
    </row>
    <row r="3" spans="1:15" x14ac:dyDescent="0.25">
      <c r="M3" s="82"/>
      <c r="N3" s="17"/>
    </row>
    <row r="4" spans="1:15" x14ac:dyDescent="0.25">
      <c r="B4" s="552" t="s">
        <v>78</v>
      </c>
      <c r="C4" s="552"/>
      <c r="D4" s="558"/>
      <c r="E4" s="559"/>
      <c r="F4" s="559"/>
      <c r="G4" s="559"/>
      <c r="H4" s="559"/>
      <c r="I4" s="559"/>
      <c r="J4" s="559"/>
      <c r="K4" s="559"/>
      <c r="L4" s="559"/>
      <c r="M4" s="559"/>
      <c r="N4" s="141"/>
    </row>
    <row r="5" spans="1:15" x14ac:dyDescent="0.25">
      <c r="B5" s="552" t="s">
        <v>79</v>
      </c>
      <c r="C5" s="552"/>
      <c r="D5" s="558"/>
      <c r="E5" s="559"/>
      <c r="F5" s="559"/>
      <c r="G5" s="559"/>
      <c r="H5" s="559"/>
      <c r="I5" s="559"/>
      <c r="J5" s="559"/>
      <c r="K5" s="559"/>
      <c r="L5" s="559"/>
      <c r="M5" s="560"/>
      <c r="N5" s="141"/>
    </row>
    <row r="6" spans="1:15" x14ac:dyDescent="0.25">
      <c r="N6" s="17"/>
    </row>
    <row r="7" spans="1:15" ht="15.75" x14ac:dyDescent="0.3">
      <c r="B7" s="506" t="s">
        <v>80</v>
      </c>
      <c r="C7" s="506"/>
      <c r="D7" s="561"/>
      <c r="E7" s="562"/>
      <c r="F7" s="562"/>
      <c r="G7" s="510" t="s">
        <v>81</v>
      </c>
      <c r="H7" s="511"/>
      <c r="I7" s="512"/>
      <c r="J7" s="563" t="s">
        <v>211</v>
      </c>
      <c r="K7" s="564"/>
      <c r="L7" s="564"/>
      <c r="M7" s="564"/>
      <c r="N7" s="141"/>
      <c r="O7" s="17"/>
    </row>
    <row r="8" spans="1:15" ht="15.75" x14ac:dyDescent="0.3">
      <c r="B8" s="142"/>
      <c r="C8" s="142"/>
      <c r="D8" s="143"/>
      <c r="E8" s="144"/>
      <c r="F8" s="144"/>
      <c r="G8" s="497" t="s">
        <v>82</v>
      </c>
      <c r="H8" s="497"/>
      <c r="I8" s="497"/>
      <c r="J8" s="553"/>
      <c r="K8" s="554"/>
      <c r="L8" s="554"/>
      <c r="M8" s="554"/>
      <c r="N8" s="141"/>
      <c r="O8" s="17"/>
    </row>
    <row r="9" spans="1:15" ht="15.75" x14ac:dyDescent="0.3">
      <c r="B9" s="555" t="s">
        <v>83</v>
      </c>
      <c r="C9" s="555"/>
      <c r="D9" s="555"/>
      <c r="E9" s="556"/>
      <c r="F9" s="556"/>
      <c r="G9" s="556"/>
      <c r="H9" s="556"/>
      <c r="I9" s="556"/>
      <c r="J9" s="556"/>
      <c r="K9" s="556"/>
      <c r="L9" s="556"/>
      <c r="M9" s="556"/>
      <c r="N9" s="141"/>
      <c r="O9" s="17"/>
    </row>
    <row r="10" spans="1:15" x14ac:dyDescent="0.25">
      <c r="N10" s="17"/>
    </row>
    <row r="11" spans="1:15" x14ac:dyDescent="0.25">
      <c r="A11" s="550" t="s">
        <v>84</v>
      </c>
      <c r="B11" s="550"/>
      <c r="C11" s="550"/>
      <c r="D11" s="550"/>
      <c r="E11" s="550"/>
      <c r="F11" s="550"/>
      <c r="G11" s="550"/>
      <c r="H11" s="550"/>
      <c r="I11" s="550"/>
      <c r="J11" s="550"/>
      <c r="K11" s="550"/>
      <c r="L11" s="550"/>
      <c r="M11" s="550"/>
      <c r="N11" s="145"/>
    </row>
    <row r="12" spans="1:15" x14ac:dyDescent="0.25">
      <c r="B12" s="82"/>
      <c r="C12" s="82"/>
      <c r="D12" s="82"/>
      <c r="E12" s="82"/>
      <c r="F12" s="82"/>
      <c r="G12" s="17"/>
      <c r="H12" s="17"/>
      <c r="M12" t="s">
        <v>174</v>
      </c>
      <c r="N12" t="s">
        <v>175</v>
      </c>
    </row>
    <row r="13" spans="1:15" ht="15.75" x14ac:dyDescent="0.3">
      <c r="B13" s="557" t="s">
        <v>85</v>
      </c>
      <c r="C13" s="552"/>
      <c r="D13" s="552"/>
      <c r="E13" s="552"/>
      <c r="F13" s="229">
        <f>Вариант1!V25</f>
        <v>7.5330886840947624</v>
      </c>
      <c r="G13" s="147" t="s">
        <v>18</v>
      </c>
      <c r="H13" s="526" t="s">
        <v>86</v>
      </c>
      <c r="I13" s="526"/>
      <c r="J13" s="230">
        <f>Вариант1!V24</f>
        <v>8.6693839532001036</v>
      </c>
      <c r="K13" s="147" t="s">
        <v>18</v>
      </c>
    </row>
    <row r="14" spans="1:15" ht="15.75" x14ac:dyDescent="0.3">
      <c r="B14" s="502" t="s">
        <v>87</v>
      </c>
      <c r="C14" s="503"/>
      <c r="D14" s="503"/>
      <c r="E14" s="504"/>
      <c r="F14" s="149">
        <f>Вариант1!I2</f>
        <v>2</v>
      </c>
      <c r="G14" s="147" t="s">
        <v>88</v>
      </c>
      <c r="H14" s="526" t="s">
        <v>89</v>
      </c>
      <c r="I14" s="526"/>
      <c r="J14" s="148">
        <f>Вариант1!X22</f>
        <v>2.7</v>
      </c>
      <c r="K14" s="147" t="s">
        <v>88</v>
      </c>
      <c r="M14" s="231" t="s">
        <v>170</v>
      </c>
      <c r="N14">
        <v>3.3</v>
      </c>
    </row>
    <row r="15" spans="1:15" ht="15.75" x14ac:dyDescent="0.3">
      <c r="B15" s="552" t="s">
        <v>90</v>
      </c>
      <c r="C15" s="552"/>
      <c r="D15" s="552"/>
      <c r="E15" s="552"/>
      <c r="F15" s="150">
        <f>Вариант1!B5</f>
        <v>2100</v>
      </c>
      <c r="G15" s="17" t="s">
        <v>14</v>
      </c>
      <c r="H15" s="17"/>
      <c r="M15" s="231" t="s">
        <v>176</v>
      </c>
      <c r="N15">
        <v>2.2000000000000002</v>
      </c>
    </row>
    <row r="16" spans="1:15" ht="15.75" x14ac:dyDescent="0.3">
      <c r="B16" s="552" t="s">
        <v>91</v>
      </c>
      <c r="C16" s="552"/>
      <c r="D16" s="552"/>
      <c r="E16" s="552"/>
      <c r="F16" s="150">
        <f>Вариант1!V21</f>
        <v>2000</v>
      </c>
      <c r="G16" s="17" t="s">
        <v>14</v>
      </c>
      <c r="H16" s="80" t="s">
        <v>182</v>
      </c>
      <c r="I16" s="80" t="s">
        <v>183</v>
      </c>
      <c r="M16" s="231" t="s">
        <v>177</v>
      </c>
      <c r="N16">
        <v>4.8</v>
      </c>
    </row>
    <row r="17" spans="1:17" ht="15.75" x14ac:dyDescent="0.3">
      <c r="B17" s="552" t="s">
        <v>92</v>
      </c>
      <c r="C17" s="552"/>
      <c r="D17" s="552"/>
      <c r="E17" s="552"/>
      <c r="F17" s="150">
        <f>H17+I17</f>
        <v>3095.4332582925254</v>
      </c>
      <c r="G17" s="17" t="s">
        <v>14</v>
      </c>
      <c r="H17" s="80">
        <f>Вариант1!V22</f>
        <v>3095.4332582925254</v>
      </c>
      <c r="I17" s="232">
        <v>0</v>
      </c>
      <c r="M17" s="231" t="s">
        <v>178</v>
      </c>
      <c r="N17">
        <v>4.3</v>
      </c>
    </row>
    <row r="18" spans="1:17" ht="15.75" x14ac:dyDescent="0.3">
      <c r="B18" s="552" t="s">
        <v>93</v>
      </c>
      <c r="C18" s="552"/>
      <c r="D18" s="552"/>
      <c r="E18" s="552"/>
      <c r="F18" s="151" t="str">
        <f>F25</f>
        <v>AISI 304</v>
      </c>
      <c r="G18" s="17"/>
      <c r="H18" s="17"/>
      <c r="M18" s="231" t="s">
        <v>179</v>
      </c>
      <c r="N18">
        <v>2.2000000000000002</v>
      </c>
    </row>
    <row r="19" spans="1:17" ht="15.75" x14ac:dyDescent="0.3">
      <c r="B19" s="552" t="s">
        <v>94</v>
      </c>
      <c r="C19" s="552"/>
      <c r="D19" s="552"/>
      <c r="E19" s="552"/>
      <c r="F19" s="152">
        <f>SUM(J37,J60,J85,J107)</f>
        <v>7180.5599999999995</v>
      </c>
      <c r="G19" s="17" t="s">
        <v>17</v>
      </c>
      <c r="H19" s="17"/>
      <c r="M19" s="231" t="s">
        <v>180</v>
      </c>
      <c r="N19">
        <v>0.7</v>
      </c>
    </row>
    <row r="20" spans="1:17" ht="15.75" x14ac:dyDescent="0.3">
      <c r="A20" t="s">
        <v>74</v>
      </c>
      <c r="B20" s="552" t="s">
        <v>95</v>
      </c>
      <c r="C20" s="552"/>
      <c r="D20" s="552"/>
      <c r="E20" s="552"/>
      <c r="F20" s="153" t="s">
        <v>96</v>
      </c>
      <c r="G20" s="76"/>
      <c r="H20" s="17"/>
      <c r="I20" s="154"/>
      <c r="M20" s="231" t="s">
        <v>181</v>
      </c>
      <c r="N20">
        <v>0.7</v>
      </c>
    </row>
    <row r="21" spans="1:17" x14ac:dyDescent="0.25">
      <c r="B21" s="76"/>
      <c r="C21" s="76"/>
      <c r="D21" s="76"/>
      <c r="E21" s="76"/>
      <c r="F21" s="76"/>
      <c r="G21" s="155"/>
      <c r="H21" s="155"/>
      <c r="I21" s="155"/>
      <c r="J21" s="156"/>
    </row>
    <row r="22" spans="1:17" x14ac:dyDescent="0.25">
      <c r="A22" s="550" t="s">
        <v>97</v>
      </c>
      <c r="B22" s="550"/>
      <c r="C22" s="550"/>
      <c r="D22" s="550"/>
      <c r="E22" s="550"/>
      <c r="F22" s="550"/>
      <c r="G22" s="550"/>
      <c r="H22" s="550"/>
      <c r="I22" s="550"/>
      <c r="J22" s="550"/>
      <c r="K22" s="550"/>
      <c r="L22" s="550"/>
      <c r="M22" s="550"/>
      <c r="N22" s="145"/>
    </row>
    <row r="23" spans="1:17" x14ac:dyDescent="0.25">
      <c r="I23" s="157"/>
      <c r="J23" s="157"/>
      <c r="K23" s="548" t="s">
        <v>98</v>
      </c>
      <c r="L23" s="158" t="s">
        <v>99</v>
      </c>
      <c r="M23" s="158" t="s">
        <v>100</v>
      </c>
    </row>
    <row r="24" spans="1:17" ht="15.75" x14ac:dyDescent="0.3">
      <c r="A24" s="80"/>
      <c r="B24" s="80" t="s">
        <v>101</v>
      </c>
      <c r="C24" s="159" t="s">
        <v>102</v>
      </c>
      <c r="D24" s="160" t="s">
        <v>103</v>
      </c>
      <c r="E24" s="160" t="s">
        <v>104</v>
      </c>
      <c r="F24" s="159" t="s">
        <v>105</v>
      </c>
      <c r="G24" s="159" t="s">
        <v>106</v>
      </c>
      <c r="H24" s="159" t="s">
        <v>107</v>
      </c>
      <c r="I24" s="159" t="s">
        <v>108</v>
      </c>
      <c r="J24" s="161" t="s">
        <v>109</v>
      </c>
      <c r="K24" s="548"/>
      <c r="L24" s="162" t="s">
        <v>110</v>
      </c>
      <c r="M24" s="159" t="s">
        <v>111</v>
      </c>
      <c r="N24" s="158"/>
    </row>
    <row r="25" spans="1:17" ht="16.5" x14ac:dyDescent="0.3">
      <c r="A25" s="80">
        <v>1</v>
      </c>
      <c r="B25" s="163"/>
      <c r="C25" s="163" t="s">
        <v>169</v>
      </c>
      <c r="D25" s="164">
        <f>Вариант1!T5</f>
        <v>6</v>
      </c>
      <c r="E25" s="163" t="str">
        <f>CONCATENATE(Вариант1!W6,"х",,IF(Вариант1!W7="рулон",Вариант1!W8,Вариант1!W7))</f>
        <v>2500х1500</v>
      </c>
      <c r="F25" s="153" t="s">
        <v>170</v>
      </c>
      <c r="G25" s="165" t="s">
        <v>171</v>
      </c>
      <c r="H25" s="234">
        <f>CEILING(O25,0.1)</f>
        <v>1.7000000000000002</v>
      </c>
      <c r="I25" s="166">
        <f>IFERROR(VALUE(LEFT(E25,(IFERROR(SEARCH("x",E25),)+IFERROR(SEARCH("х",E25),))-1))*VALUE(RIGHT(E25,LEN(E25)-(IFERROR(SEARCH("x",E25),)+IFERROR(SEARCH("х",E25),))))*D25/1000000*8,)</f>
        <v>180</v>
      </c>
      <c r="J25" s="167">
        <f>H25*I25</f>
        <v>306.00000000000006</v>
      </c>
      <c r="K25" s="168" t="s">
        <v>172</v>
      </c>
      <c r="L25" s="146">
        <f>SUMIF(M14:M20,F25,N14:N20)</f>
        <v>3.3</v>
      </c>
      <c r="M25" s="151">
        <f>IF(K25="за Кг", J25*L25, L25*O25)</f>
        <v>1009.8000000000002</v>
      </c>
      <c r="O25" s="235">
        <f>IF(Вариант1!W7="рулон",1,Вариант1!W8)</f>
        <v>1.6704458760163017</v>
      </c>
      <c r="Q25" s="2"/>
    </row>
    <row r="26" spans="1:17" ht="16.5" x14ac:dyDescent="0.3">
      <c r="A26" s="80">
        <v>2</v>
      </c>
      <c r="B26" s="163"/>
      <c r="C26" s="163" t="s">
        <v>173</v>
      </c>
      <c r="D26" s="164">
        <f>Вариант1!M5</f>
        <v>6</v>
      </c>
      <c r="E26" s="163" t="str">
        <f>CONCATENATE(Вариант1!P6,"х",,IF(Вариант1!P8="рулон",Вариант1!P8,Вариант1!P7))</f>
        <v>2000х3000</v>
      </c>
      <c r="F26" s="153" t="s">
        <v>170</v>
      </c>
      <c r="G26" s="165" t="s">
        <v>171</v>
      </c>
      <c r="H26" s="236">
        <f>CEILING(O26,0.1)</f>
        <v>1</v>
      </c>
      <c r="I26" s="166">
        <f t="shared" ref="I26:I36" si="0">IFERROR(VALUE(LEFT(E26,(IFERROR(SEARCH("x",E26),)+IFERROR(SEARCH("х",E26),))-1))*VALUE(RIGHT(E26,LEN(E26)-(IFERROR(SEARCH("x",E26),)+IFERROR(SEARCH("х",E26),))))*D26/1000000*8,)</f>
        <v>288</v>
      </c>
      <c r="J26" s="167">
        <f>H26*I26</f>
        <v>288</v>
      </c>
      <c r="K26" s="168" t="s">
        <v>172</v>
      </c>
      <c r="L26" s="146">
        <f>SUMIF(M14:M20,F26,N14:N20)</f>
        <v>3.3</v>
      </c>
      <c r="M26" s="151">
        <f>IF(K26="за Кг", J26*L26, L26*O26)</f>
        <v>950.4</v>
      </c>
      <c r="N26" s="158"/>
      <c r="O26" s="235">
        <f>Вариант1!P8</f>
        <v>0.93496614277188639</v>
      </c>
      <c r="Q26" s="2"/>
    </row>
    <row r="27" spans="1:17" ht="16.5" x14ac:dyDescent="0.3">
      <c r="A27" s="80">
        <v>3</v>
      </c>
      <c r="B27" s="163"/>
      <c r="C27" s="163" t="s">
        <v>184</v>
      </c>
      <c r="D27" s="164">
        <v>5</v>
      </c>
      <c r="E27" s="163" t="s">
        <v>187</v>
      </c>
      <c r="F27" s="153" t="s">
        <v>170</v>
      </c>
      <c r="G27" s="165" t="s">
        <v>171</v>
      </c>
      <c r="H27" s="146">
        <v>3</v>
      </c>
      <c r="I27" s="166">
        <f t="shared" si="0"/>
        <v>480</v>
      </c>
      <c r="J27" s="167">
        <f t="shared" ref="J27:J36" si="1">H27*I27</f>
        <v>1440</v>
      </c>
      <c r="K27" s="168" t="s">
        <v>172</v>
      </c>
      <c r="L27" s="146">
        <f>SUMIF(M14:M20,F27,N14:N20)</f>
        <v>3.3</v>
      </c>
      <c r="M27" s="151">
        <f t="shared" ref="M27:M30" si="2">IF(K27="за Кг", J27*L27, L27*H27)</f>
        <v>4752</v>
      </c>
      <c r="N27" s="158"/>
      <c r="Q27" s="2"/>
    </row>
    <row r="28" spans="1:17" ht="16.5" x14ac:dyDescent="0.3">
      <c r="A28" s="80">
        <v>4</v>
      </c>
      <c r="B28" s="163"/>
      <c r="C28" s="163" t="s">
        <v>184</v>
      </c>
      <c r="D28" s="164">
        <v>4</v>
      </c>
      <c r="E28" s="163" t="s">
        <v>187</v>
      </c>
      <c r="F28" s="153" t="s">
        <v>170</v>
      </c>
      <c r="G28" s="165" t="s">
        <v>171</v>
      </c>
      <c r="H28" s="146">
        <v>3</v>
      </c>
      <c r="I28" s="166">
        <f t="shared" si="0"/>
        <v>384</v>
      </c>
      <c r="J28" s="167">
        <f t="shared" si="1"/>
        <v>1152</v>
      </c>
      <c r="K28" s="168" t="s">
        <v>172</v>
      </c>
      <c r="L28" s="146">
        <f>SUMIF(M14:M20,F28,N14:N20)</f>
        <v>3.3</v>
      </c>
      <c r="M28" s="151">
        <f t="shared" si="2"/>
        <v>3801.6</v>
      </c>
      <c r="N28" s="158"/>
      <c r="Q28" s="2"/>
    </row>
    <row r="29" spans="1:17" ht="16.5" x14ac:dyDescent="0.3">
      <c r="A29" s="80">
        <v>5</v>
      </c>
      <c r="B29" s="163"/>
      <c r="C29" s="163" t="s">
        <v>184</v>
      </c>
      <c r="D29" s="164">
        <v>3</v>
      </c>
      <c r="E29" s="163" t="s">
        <v>187</v>
      </c>
      <c r="F29" s="153" t="s">
        <v>170</v>
      </c>
      <c r="G29" s="165" t="s">
        <v>171</v>
      </c>
      <c r="H29" s="146">
        <v>3</v>
      </c>
      <c r="I29" s="166">
        <f t="shared" si="0"/>
        <v>288</v>
      </c>
      <c r="J29" s="167">
        <f t="shared" si="1"/>
        <v>864</v>
      </c>
      <c r="K29" s="168" t="s">
        <v>172</v>
      </c>
      <c r="L29" s="146">
        <f>SUMIF(M14:M20,F29,N14:N20)</f>
        <v>3.3</v>
      </c>
      <c r="M29" s="151">
        <f t="shared" si="2"/>
        <v>2851.2</v>
      </c>
      <c r="N29" s="158"/>
      <c r="Q29" s="2"/>
    </row>
    <row r="30" spans="1:17" ht="16.5" x14ac:dyDescent="0.3">
      <c r="A30" s="80">
        <v>6</v>
      </c>
      <c r="B30" s="163"/>
      <c r="C30" s="163" t="s">
        <v>184</v>
      </c>
      <c r="D30" s="164">
        <v>3</v>
      </c>
      <c r="E30" s="163" t="s">
        <v>188</v>
      </c>
      <c r="F30" s="153" t="s">
        <v>170</v>
      </c>
      <c r="G30" s="165" t="s">
        <v>171</v>
      </c>
      <c r="H30" s="146">
        <v>3</v>
      </c>
      <c r="I30" s="166">
        <f t="shared" si="0"/>
        <v>216</v>
      </c>
      <c r="J30" s="167">
        <f t="shared" si="1"/>
        <v>648</v>
      </c>
      <c r="K30" s="168" t="s">
        <v>172</v>
      </c>
      <c r="L30" s="146">
        <f>SUMIF(M14:M20,F30,N14:N20)</f>
        <v>3.3</v>
      </c>
      <c r="M30" s="151">
        <f t="shared" si="2"/>
        <v>2138.4</v>
      </c>
      <c r="N30" s="158"/>
      <c r="Q30" s="2"/>
    </row>
    <row r="31" spans="1:17" ht="16.5" x14ac:dyDescent="0.3">
      <c r="A31" s="80">
        <v>7</v>
      </c>
      <c r="B31" s="163" t="s">
        <v>189</v>
      </c>
      <c r="C31" s="163" t="s">
        <v>173</v>
      </c>
      <c r="D31" s="164">
        <v>3</v>
      </c>
      <c r="E31" s="163" t="s">
        <v>190</v>
      </c>
      <c r="F31" s="153" t="s">
        <v>170</v>
      </c>
      <c r="G31" s="165" t="s">
        <v>171</v>
      </c>
      <c r="H31" s="146">
        <v>1.6</v>
      </c>
      <c r="I31" s="166">
        <f t="shared" si="0"/>
        <v>144</v>
      </c>
      <c r="J31" s="167">
        <f t="shared" si="1"/>
        <v>230.4</v>
      </c>
      <c r="K31" s="168" t="s">
        <v>172</v>
      </c>
      <c r="L31" s="146">
        <f>SUMIF(M14:M20,F31,N14:N20)</f>
        <v>3.3</v>
      </c>
      <c r="M31" s="151">
        <f>IF(K31="за Кг", J31*L31, L31*H31)</f>
        <v>760.31999999999994</v>
      </c>
      <c r="N31" s="158"/>
      <c r="Q31" s="2"/>
    </row>
    <row r="32" spans="1:17" ht="16.5" x14ac:dyDescent="0.3">
      <c r="A32" s="80">
        <v>8</v>
      </c>
      <c r="B32" s="163" t="s">
        <v>197</v>
      </c>
      <c r="C32" s="163" t="s">
        <v>196</v>
      </c>
      <c r="D32" s="164">
        <v>10</v>
      </c>
      <c r="E32" s="163" t="s">
        <v>203</v>
      </c>
      <c r="F32" s="153" t="s">
        <v>180</v>
      </c>
      <c r="G32" s="165" t="s">
        <v>171</v>
      </c>
      <c r="H32" s="146">
        <v>1</v>
      </c>
      <c r="I32" s="166">
        <f t="shared" si="0"/>
        <v>300</v>
      </c>
      <c r="J32" s="167">
        <f t="shared" si="1"/>
        <v>300</v>
      </c>
      <c r="K32" s="168" t="s">
        <v>172</v>
      </c>
      <c r="L32" s="146">
        <f>SUMIF(M14:M20,F32,N14:N20)</f>
        <v>0.7</v>
      </c>
      <c r="M32" s="151">
        <f t="shared" ref="M32:M35" si="3">IF(K32="за Кг", J32*L32, L32*H32)</f>
        <v>210</v>
      </c>
      <c r="N32" s="158"/>
      <c r="Q32" s="2"/>
    </row>
    <row r="33" spans="1:17" ht="16.5" x14ac:dyDescent="0.3">
      <c r="A33" s="80">
        <v>9</v>
      </c>
      <c r="B33" s="163" t="s">
        <v>197</v>
      </c>
      <c r="C33" s="163" t="s">
        <v>196</v>
      </c>
      <c r="D33" s="164">
        <v>8</v>
      </c>
      <c r="E33" s="163" t="s">
        <v>204</v>
      </c>
      <c r="F33" s="153" t="s">
        <v>180</v>
      </c>
      <c r="G33" s="165" t="s">
        <v>171</v>
      </c>
      <c r="H33" s="146">
        <v>1</v>
      </c>
      <c r="I33" s="166">
        <f t="shared" si="0"/>
        <v>192</v>
      </c>
      <c r="J33" s="167">
        <f t="shared" si="1"/>
        <v>192</v>
      </c>
      <c r="K33" s="168" t="s">
        <v>172</v>
      </c>
      <c r="L33" s="146">
        <f>SUMIF(M14:M20,F33,N14:N20)</f>
        <v>0.7</v>
      </c>
      <c r="M33" s="151">
        <f t="shared" si="3"/>
        <v>134.39999999999998</v>
      </c>
      <c r="N33" s="158"/>
      <c r="Q33" s="2"/>
    </row>
    <row r="34" spans="1:17" ht="16.5" x14ac:dyDescent="0.3">
      <c r="A34" s="80">
        <v>10</v>
      </c>
      <c r="B34" s="163"/>
      <c r="C34" s="163"/>
      <c r="D34" s="164"/>
      <c r="E34" s="163"/>
      <c r="F34" s="153"/>
      <c r="G34" s="165"/>
      <c r="H34" s="146"/>
      <c r="I34" s="166">
        <f t="shared" si="0"/>
        <v>0</v>
      </c>
      <c r="J34" s="167">
        <f t="shared" si="1"/>
        <v>0</v>
      </c>
      <c r="K34" s="168"/>
      <c r="L34" s="146">
        <f>SUMIF(M14:M20,F34,N14:N20)</f>
        <v>0</v>
      </c>
      <c r="M34" s="151">
        <f>IF(K34="за Кг", J34*L34, L34*H34)</f>
        <v>0</v>
      </c>
      <c r="N34" s="158"/>
      <c r="Q34" s="2"/>
    </row>
    <row r="35" spans="1:17" ht="16.5" x14ac:dyDescent="0.3">
      <c r="A35" s="80">
        <v>11</v>
      </c>
      <c r="B35" s="163"/>
      <c r="C35" s="163"/>
      <c r="D35" s="164"/>
      <c r="E35" s="163"/>
      <c r="F35" s="153"/>
      <c r="G35" s="165"/>
      <c r="H35" s="146"/>
      <c r="I35" s="166">
        <f t="shared" si="0"/>
        <v>0</v>
      </c>
      <c r="J35" s="167">
        <f t="shared" si="1"/>
        <v>0</v>
      </c>
      <c r="K35" s="168"/>
      <c r="L35" s="146">
        <f>SUMIF(M14:M20,F35,N14:N20)</f>
        <v>0</v>
      </c>
      <c r="M35" s="151">
        <f t="shared" si="3"/>
        <v>0</v>
      </c>
      <c r="N35" s="158"/>
      <c r="Q35" s="2"/>
    </row>
    <row r="36" spans="1:17" ht="16.5" x14ac:dyDescent="0.3">
      <c r="A36" s="80">
        <v>12</v>
      </c>
      <c r="B36" s="163"/>
      <c r="C36" s="163"/>
      <c r="D36" s="164"/>
      <c r="E36" s="163"/>
      <c r="F36" s="153"/>
      <c r="G36" s="165"/>
      <c r="H36" s="146"/>
      <c r="I36" s="166">
        <f t="shared" si="0"/>
        <v>0</v>
      </c>
      <c r="J36" s="167">
        <f t="shared" si="1"/>
        <v>0</v>
      </c>
      <c r="K36" s="168"/>
      <c r="L36" s="146">
        <f>SUMIF(M14:M20,F36,N14:N20)</f>
        <v>0</v>
      </c>
      <c r="M36" s="151">
        <f>IF(K36="за Кг", J36*L36, L36*H36)</f>
        <v>0</v>
      </c>
      <c r="N36" s="158" t="s">
        <v>74</v>
      </c>
    </row>
    <row r="37" spans="1:17" x14ac:dyDescent="0.25">
      <c r="A37" s="17"/>
      <c r="B37" s="169"/>
      <c r="C37" s="169"/>
      <c r="D37" s="169"/>
      <c r="E37" s="169"/>
      <c r="F37" s="169"/>
      <c r="G37" s="169"/>
      <c r="H37" s="169"/>
      <c r="I37" s="170" t="s">
        <v>112</v>
      </c>
      <c r="J37" s="171">
        <f>SUM(J25:J36)</f>
        <v>5420.4</v>
      </c>
      <c r="K37" s="172"/>
      <c r="L37" s="173"/>
      <c r="M37" s="174"/>
    </row>
    <row r="38" spans="1:17" ht="15.75" x14ac:dyDescent="0.3">
      <c r="I38" s="175"/>
      <c r="J38" s="176"/>
      <c r="K38" s="176"/>
      <c r="L38" s="177" t="s">
        <v>113</v>
      </c>
      <c r="M38" s="178">
        <f>SUM(M25:M37)</f>
        <v>16608.120000000003</v>
      </c>
      <c r="N38" s="179"/>
    </row>
    <row r="39" spans="1:17" x14ac:dyDescent="0.25">
      <c r="A39" s="550" t="s">
        <v>114</v>
      </c>
      <c r="B39" s="550"/>
      <c r="C39" s="550"/>
      <c r="D39" s="550"/>
      <c r="E39" s="550"/>
      <c r="F39" s="550"/>
      <c r="G39" s="550"/>
      <c r="H39" s="550"/>
      <c r="I39" s="550"/>
      <c r="J39" s="550"/>
      <c r="K39" s="550"/>
      <c r="L39" s="550"/>
      <c r="M39" s="550"/>
      <c r="N39" s="145"/>
    </row>
    <row r="40" spans="1:17" x14ac:dyDescent="0.25">
      <c r="K40" s="158"/>
      <c r="L40" s="158" t="s">
        <v>99</v>
      </c>
    </row>
    <row r="41" spans="1:17" ht="15.75" x14ac:dyDescent="0.3">
      <c r="A41" s="80"/>
      <c r="B41" s="488" t="s">
        <v>115</v>
      </c>
      <c r="C41" s="488"/>
      <c r="D41" s="488"/>
      <c r="E41" s="488"/>
      <c r="F41" s="159" t="s">
        <v>105</v>
      </c>
      <c r="G41" s="159" t="s">
        <v>106</v>
      </c>
      <c r="H41" s="159" t="s">
        <v>107</v>
      </c>
      <c r="I41" s="159" t="s">
        <v>108</v>
      </c>
      <c r="J41" s="159" t="s">
        <v>109</v>
      </c>
      <c r="K41" s="159" t="s">
        <v>110</v>
      </c>
      <c r="L41" s="162" t="s">
        <v>110</v>
      </c>
      <c r="M41" s="159" t="s">
        <v>111</v>
      </c>
    </row>
    <row r="42" spans="1:17" ht="16.5" x14ac:dyDescent="0.3">
      <c r="A42" s="80">
        <v>1</v>
      </c>
      <c r="B42" s="539" t="s">
        <v>199</v>
      </c>
      <c r="C42" s="540"/>
      <c r="D42" s="540"/>
      <c r="E42" s="541"/>
      <c r="F42" s="153" t="s">
        <v>170</v>
      </c>
      <c r="G42" s="165" t="s">
        <v>185</v>
      </c>
      <c r="H42" s="146">
        <v>3</v>
      </c>
      <c r="I42" s="146"/>
      <c r="J42" s="167">
        <f>SUM(H42*I42)</f>
        <v>0</v>
      </c>
      <c r="K42" s="165" t="s">
        <v>185</v>
      </c>
      <c r="L42" s="146">
        <v>35</v>
      </c>
      <c r="M42" s="151">
        <f>IF(K42="за Кг", J42*L42, L42*H42)</f>
        <v>105</v>
      </c>
    </row>
    <row r="43" spans="1:17" ht="16.5" x14ac:dyDescent="0.3">
      <c r="A43" s="80">
        <v>2</v>
      </c>
      <c r="B43" s="539" t="s">
        <v>201</v>
      </c>
      <c r="C43" s="540"/>
      <c r="D43" s="540"/>
      <c r="E43" s="541"/>
      <c r="F43" s="153" t="s">
        <v>170</v>
      </c>
      <c r="G43" s="165" t="s">
        <v>198</v>
      </c>
      <c r="H43" s="146">
        <v>16</v>
      </c>
      <c r="I43" s="146"/>
      <c r="J43" s="167">
        <f t="shared" ref="J43:J58" si="4">SUM(H43*I43)</f>
        <v>0</v>
      </c>
      <c r="K43" s="165" t="s">
        <v>185</v>
      </c>
      <c r="L43" s="146">
        <v>8.3000000000000007</v>
      </c>
      <c r="M43" s="151">
        <f t="shared" ref="M43:M58" si="5">IF(K43="за Кг", J43*L43, L43*H43)</f>
        <v>132.80000000000001</v>
      </c>
      <c r="P43" s="2"/>
    </row>
    <row r="44" spans="1:17" ht="16.5" x14ac:dyDescent="0.3">
      <c r="A44" s="80">
        <v>3</v>
      </c>
      <c r="B44" s="539" t="s">
        <v>200</v>
      </c>
      <c r="C44" s="540"/>
      <c r="D44" s="540"/>
      <c r="E44" s="541"/>
      <c r="F44" s="153" t="s">
        <v>170</v>
      </c>
      <c r="G44" s="165" t="s">
        <v>198</v>
      </c>
      <c r="H44" s="146">
        <v>19</v>
      </c>
      <c r="I44" s="146"/>
      <c r="J44" s="167">
        <f t="shared" si="4"/>
        <v>0</v>
      </c>
      <c r="K44" s="165" t="s">
        <v>185</v>
      </c>
      <c r="L44" s="243">
        <v>14.7</v>
      </c>
      <c r="M44" s="151">
        <f t="shared" si="5"/>
        <v>279.3</v>
      </c>
    </row>
    <row r="45" spans="1:17" ht="16.5" x14ac:dyDescent="0.3">
      <c r="A45" s="80">
        <v>4</v>
      </c>
      <c r="B45" s="539" t="s">
        <v>202</v>
      </c>
      <c r="C45" s="540"/>
      <c r="D45" s="540"/>
      <c r="E45" s="541"/>
      <c r="F45" s="153" t="s">
        <v>170</v>
      </c>
      <c r="G45" s="165" t="s">
        <v>171</v>
      </c>
      <c r="H45" s="146">
        <v>1</v>
      </c>
      <c r="I45" s="146"/>
      <c r="J45" s="167">
        <f t="shared" si="4"/>
        <v>0</v>
      </c>
      <c r="K45" s="165" t="s">
        <v>186</v>
      </c>
      <c r="L45" s="146">
        <v>50</v>
      </c>
      <c r="M45" s="151">
        <f t="shared" si="5"/>
        <v>50</v>
      </c>
    </row>
    <row r="46" spans="1:17" ht="16.5" x14ac:dyDescent="0.3">
      <c r="A46" s="80">
        <v>5</v>
      </c>
      <c r="B46" s="539" t="s">
        <v>205</v>
      </c>
      <c r="C46" s="540"/>
      <c r="D46" s="540"/>
      <c r="E46" s="541"/>
      <c r="F46" s="153" t="s">
        <v>170</v>
      </c>
      <c r="G46" s="165" t="s">
        <v>171</v>
      </c>
      <c r="H46" s="146">
        <v>1</v>
      </c>
      <c r="I46" s="146"/>
      <c r="J46" s="167">
        <f t="shared" si="4"/>
        <v>0</v>
      </c>
      <c r="K46" s="165" t="s">
        <v>186</v>
      </c>
      <c r="L46" s="146">
        <v>140</v>
      </c>
      <c r="M46" s="151">
        <f t="shared" si="5"/>
        <v>140</v>
      </c>
    </row>
    <row r="47" spans="1:17" ht="16.5" x14ac:dyDescent="0.3">
      <c r="A47" s="80">
        <v>6</v>
      </c>
      <c r="B47" s="539" t="s">
        <v>208</v>
      </c>
      <c r="C47" s="540"/>
      <c r="D47" s="540"/>
      <c r="E47" s="541"/>
      <c r="F47" s="153" t="s">
        <v>170</v>
      </c>
      <c r="G47" s="165" t="s">
        <v>171</v>
      </c>
      <c r="H47" s="146">
        <v>7</v>
      </c>
      <c r="I47" s="146"/>
      <c r="J47" s="167">
        <f t="shared" si="4"/>
        <v>0</v>
      </c>
      <c r="K47" s="165" t="s">
        <v>186</v>
      </c>
      <c r="L47" s="146">
        <v>4</v>
      </c>
      <c r="M47" s="151">
        <f t="shared" si="5"/>
        <v>28</v>
      </c>
    </row>
    <row r="48" spans="1:17" ht="16.5" x14ac:dyDescent="0.3">
      <c r="A48" s="80">
        <v>7</v>
      </c>
      <c r="B48" s="539" t="s">
        <v>209</v>
      </c>
      <c r="C48" s="540"/>
      <c r="D48" s="540"/>
      <c r="E48" s="541"/>
      <c r="F48" s="153" t="s">
        <v>170</v>
      </c>
      <c r="G48" s="165" t="s">
        <v>198</v>
      </c>
      <c r="H48" s="146">
        <v>19</v>
      </c>
      <c r="I48" s="146"/>
      <c r="J48" s="167">
        <f t="shared" si="4"/>
        <v>0</v>
      </c>
      <c r="K48" s="165" t="s">
        <v>185</v>
      </c>
      <c r="L48" s="146">
        <v>8.3000000000000007</v>
      </c>
      <c r="M48" s="151">
        <f t="shared" si="5"/>
        <v>157.70000000000002</v>
      </c>
    </row>
    <row r="49" spans="1:13" ht="16.5" x14ac:dyDescent="0.3">
      <c r="A49" s="80">
        <v>8</v>
      </c>
      <c r="B49" s="539" t="s">
        <v>210</v>
      </c>
      <c r="C49" s="540"/>
      <c r="D49" s="540"/>
      <c r="E49" s="541"/>
      <c r="F49" s="153" t="s">
        <v>170</v>
      </c>
      <c r="G49" s="165" t="s">
        <v>171</v>
      </c>
      <c r="H49" s="146">
        <v>14</v>
      </c>
      <c r="I49" s="146"/>
      <c r="J49" s="167">
        <f t="shared" si="4"/>
        <v>0</v>
      </c>
      <c r="K49" s="165" t="s">
        <v>186</v>
      </c>
      <c r="L49" s="146">
        <v>3.5</v>
      </c>
      <c r="M49" s="151">
        <f t="shared" si="5"/>
        <v>49</v>
      </c>
    </row>
    <row r="50" spans="1:13" ht="16.5" x14ac:dyDescent="0.3">
      <c r="A50" s="80">
        <v>9</v>
      </c>
      <c r="B50" s="539"/>
      <c r="C50" s="540"/>
      <c r="D50" s="540"/>
      <c r="E50" s="541"/>
      <c r="F50" s="153"/>
      <c r="G50" s="165"/>
      <c r="H50" s="146"/>
      <c r="I50" s="146"/>
      <c r="J50" s="167">
        <f t="shared" si="4"/>
        <v>0</v>
      </c>
      <c r="K50" s="165"/>
      <c r="L50" s="146"/>
      <c r="M50" s="151">
        <f t="shared" si="5"/>
        <v>0</v>
      </c>
    </row>
    <row r="51" spans="1:13" ht="16.5" x14ac:dyDescent="0.3">
      <c r="A51" s="80">
        <v>10</v>
      </c>
      <c r="B51" s="539"/>
      <c r="C51" s="540"/>
      <c r="D51" s="540"/>
      <c r="E51" s="541"/>
      <c r="F51" s="153"/>
      <c r="G51" s="165"/>
      <c r="H51" s="146"/>
      <c r="I51" s="146"/>
      <c r="J51" s="167">
        <f t="shared" si="4"/>
        <v>0</v>
      </c>
      <c r="K51" s="165"/>
      <c r="L51" s="146"/>
      <c r="M51" s="151">
        <f>IF(K51="за Кг", J51*L51, L51*H51)</f>
        <v>0</v>
      </c>
    </row>
    <row r="52" spans="1:13" ht="16.5" x14ac:dyDescent="0.3">
      <c r="A52" s="80">
        <v>11</v>
      </c>
      <c r="B52" s="539"/>
      <c r="C52" s="540"/>
      <c r="D52" s="540"/>
      <c r="E52" s="541"/>
      <c r="F52" s="153"/>
      <c r="G52" s="165"/>
      <c r="H52" s="146"/>
      <c r="I52" s="146"/>
      <c r="J52" s="167">
        <f t="shared" si="4"/>
        <v>0</v>
      </c>
      <c r="K52" s="165"/>
      <c r="L52" s="146"/>
      <c r="M52" s="151">
        <f t="shared" si="5"/>
        <v>0</v>
      </c>
    </row>
    <row r="53" spans="1:13" ht="16.5" x14ac:dyDescent="0.3">
      <c r="A53" s="80">
        <v>12</v>
      </c>
      <c r="B53" s="539"/>
      <c r="C53" s="540"/>
      <c r="D53" s="540"/>
      <c r="E53" s="541"/>
      <c r="F53" s="153"/>
      <c r="G53" s="165"/>
      <c r="H53" s="146"/>
      <c r="I53" s="146"/>
      <c r="J53" s="167">
        <f t="shared" si="4"/>
        <v>0</v>
      </c>
      <c r="K53" s="165"/>
      <c r="L53" s="146"/>
      <c r="M53" s="151">
        <f t="shared" si="5"/>
        <v>0</v>
      </c>
    </row>
    <row r="54" spans="1:13" ht="16.5" x14ac:dyDescent="0.3">
      <c r="A54" s="80">
        <v>13</v>
      </c>
      <c r="B54" s="539"/>
      <c r="C54" s="540"/>
      <c r="D54" s="540"/>
      <c r="E54" s="541"/>
      <c r="F54" s="153"/>
      <c r="G54" s="165"/>
      <c r="H54" s="146"/>
      <c r="I54" s="146"/>
      <c r="J54" s="167">
        <f t="shared" si="4"/>
        <v>0</v>
      </c>
      <c r="K54" s="165"/>
      <c r="L54" s="146"/>
      <c r="M54" s="151">
        <f t="shared" si="5"/>
        <v>0</v>
      </c>
    </row>
    <row r="55" spans="1:13" ht="16.5" x14ac:dyDescent="0.3">
      <c r="A55" s="80">
        <v>14</v>
      </c>
      <c r="B55" s="539"/>
      <c r="C55" s="540"/>
      <c r="D55" s="540"/>
      <c r="E55" s="541"/>
      <c r="F55" s="153"/>
      <c r="G55" s="165"/>
      <c r="H55" s="146"/>
      <c r="I55" s="146"/>
      <c r="J55" s="167">
        <f t="shared" si="4"/>
        <v>0</v>
      </c>
      <c r="K55" s="165"/>
      <c r="L55" s="146"/>
      <c r="M55" s="151">
        <f t="shared" si="5"/>
        <v>0</v>
      </c>
    </row>
    <row r="56" spans="1:13" ht="16.5" x14ac:dyDescent="0.3">
      <c r="A56" s="80">
        <v>15</v>
      </c>
      <c r="B56" s="539"/>
      <c r="C56" s="540"/>
      <c r="D56" s="540"/>
      <c r="E56" s="541"/>
      <c r="F56" s="153"/>
      <c r="G56" s="165"/>
      <c r="H56" s="146"/>
      <c r="I56" s="146"/>
      <c r="J56" s="167">
        <f t="shared" si="4"/>
        <v>0</v>
      </c>
      <c r="K56" s="165"/>
      <c r="L56" s="146"/>
      <c r="M56" s="151">
        <f t="shared" si="5"/>
        <v>0</v>
      </c>
    </row>
    <row r="57" spans="1:13" ht="16.5" x14ac:dyDescent="0.3">
      <c r="A57" s="80">
        <v>16</v>
      </c>
      <c r="B57" s="539"/>
      <c r="C57" s="540"/>
      <c r="D57" s="540"/>
      <c r="E57" s="541"/>
      <c r="F57" s="153"/>
      <c r="G57" s="165"/>
      <c r="H57" s="146"/>
      <c r="I57" s="146"/>
      <c r="J57" s="167">
        <f t="shared" si="4"/>
        <v>0</v>
      </c>
      <c r="K57" s="165"/>
      <c r="L57" s="146"/>
      <c r="M57" s="151">
        <f t="shared" si="5"/>
        <v>0</v>
      </c>
    </row>
    <row r="58" spans="1:13" ht="16.5" x14ac:dyDescent="0.3">
      <c r="A58" s="80">
        <v>17</v>
      </c>
      <c r="B58" s="539"/>
      <c r="C58" s="540"/>
      <c r="D58" s="540"/>
      <c r="E58" s="541"/>
      <c r="F58" s="153"/>
      <c r="G58" s="165"/>
      <c r="H58" s="146"/>
      <c r="I58" s="146"/>
      <c r="J58" s="167">
        <f t="shared" si="4"/>
        <v>0</v>
      </c>
      <c r="K58" s="165"/>
      <c r="L58" s="146"/>
      <c r="M58" s="151">
        <f t="shared" si="5"/>
        <v>0</v>
      </c>
    </row>
    <row r="59" spans="1:13" x14ac:dyDescent="0.25">
      <c r="A59" s="180"/>
      <c r="B59" s="180"/>
      <c r="C59" s="180"/>
      <c r="D59" s="180"/>
      <c r="E59" s="180"/>
      <c r="F59" s="180"/>
      <c r="G59" s="180"/>
      <c r="H59" s="180"/>
      <c r="I59" s="180"/>
      <c r="J59" s="181"/>
      <c r="K59" s="182" t="s">
        <v>74</v>
      </c>
      <c r="M59" s="183"/>
    </row>
    <row r="60" spans="1:13" x14ac:dyDescent="0.25">
      <c r="A60" s="155"/>
      <c r="B60" s="155"/>
      <c r="C60" s="155"/>
      <c r="D60" s="155"/>
      <c r="E60" s="155"/>
      <c r="F60" s="155"/>
      <c r="G60" s="155"/>
      <c r="H60" s="155"/>
      <c r="I60" s="184" t="s">
        <v>112</v>
      </c>
      <c r="J60" s="185">
        <f>SUM(J42:J58)</f>
        <v>0</v>
      </c>
      <c r="K60" s="186"/>
      <c r="M60" s="183"/>
    </row>
    <row r="61" spans="1:13" ht="15.75" x14ac:dyDescent="0.3">
      <c r="I61" s="176"/>
      <c r="J61" s="176"/>
      <c r="L61" s="187" t="s">
        <v>113</v>
      </c>
      <c r="M61" s="178">
        <f>SUM(M42:M58)</f>
        <v>941.80000000000007</v>
      </c>
    </row>
    <row r="62" spans="1:13" ht="15.75" x14ac:dyDescent="0.3">
      <c r="A62" s="551" t="s">
        <v>116</v>
      </c>
      <c r="B62" s="551"/>
      <c r="C62" s="551"/>
      <c r="D62" s="551"/>
      <c r="E62" s="551"/>
      <c r="F62" s="551"/>
      <c r="G62" s="551"/>
      <c r="H62" s="551"/>
      <c r="I62" s="551"/>
      <c r="J62" s="551"/>
      <c r="K62" s="551"/>
      <c r="L62" s="551"/>
      <c r="M62" s="551"/>
    </row>
    <row r="63" spans="1:13" ht="15.75" x14ac:dyDescent="0.3">
      <c r="I63" s="176"/>
      <c r="J63" s="176"/>
      <c r="L63" s="188"/>
      <c r="M63" s="189"/>
    </row>
    <row r="64" spans="1:13" x14ac:dyDescent="0.25">
      <c r="A64" s="80"/>
      <c r="B64" s="488" t="s">
        <v>115</v>
      </c>
      <c r="C64" s="488"/>
      <c r="D64" s="488"/>
      <c r="E64" s="488"/>
      <c r="F64" s="159" t="s">
        <v>105</v>
      </c>
      <c r="G64" s="159" t="s">
        <v>106</v>
      </c>
      <c r="H64" s="159" t="s">
        <v>117</v>
      </c>
      <c r="I64" s="159" t="s">
        <v>108</v>
      </c>
      <c r="J64" s="159" t="s">
        <v>109</v>
      </c>
      <c r="K64" s="159" t="s">
        <v>110</v>
      </c>
      <c r="L64" s="159" t="s">
        <v>111</v>
      </c>
    </row>
    <row r="65" spans="1:14" ht="16.5" x14ac:dyDescent="0.3">
      <c r="A65" s="80">
        <v>1</v>
      </c>
      <c r="B65" s="538" t="s">
        <v>207</v>
      </c>
      <c r="C65" s="538"/>
      <c r="D65" s="538"/>
      <c r="E65" s="538"/>
      <c r="F65" s="153" t="s">
        <v>177</v>
      </c>
      <c r="G65" s="165" t="s">
        <v>186</v>
      </c>
      <c r="H65" s="190">
        <v>1</v>
      </c>
      <c r="I65" s="190"/>
      <c r="J65" s="167">
        <f>SUM(H65*I65)</f>
        <v>0</v>
      </c>
      <c r="K65" s="190">
        <v>150</v>
      </c>
      <c r="L65" s="191">
        <f>SUM(H65)*K65</f>
        <v>150</v>
      </c>
      <c r="M65" s="158"/>
    </row>
    <row r="66" spans="1:14" ht="16.5" x14ac:dyDescent="0.3">
      <c r="A66" s="80">
        <v>2</v>
      </c>
      <c r="B66" s="538" t="s">
        <v>206</v>
      </c>
      <c r="C66" s="538"/>
      <c r="D66" s="538"/>
      <c r="E66" s="538"/>
      <c r="F66" s="153" t="s">
        <v>170</v>
      </c>
      <c r="G66" s="165" t="s">
        <v>186</v>
      </c>
      <c r="H66" s="190">
        <v>1</v>
      </c>
      <c r="I66" s="190"/>
      <c r="J66" s="167">
        <f>H66*I66</f>
        <v>0</v>
      </c>
      <c r="K66" s="190">
        <v>150</v>
      </c>
      <c r="L66" s="191">
        <f t="shared" ref="L66:L71" si="6">SUM(H66)*K66</f>
        <v>150</v>
      </c>
      <c r="M66" s="158"/>
    </row>
    <row r="67" spans="1:14" ht="16.5" x14ac:dyDescent="0.3">
      <c r="A67" s="80">
        <v>3</v>
      </c>
      <c r="B67" s="538"/>
      <c r="C67" s="538"/>
      <c r="D67" s="538"/>
      <c r="E67" s="538"/>
      <c r="F67" s="153"/>
      <c r="G67" s="165"/>
      <c r="H67" s="190"/>
      <c r="I67" s="190"/>
      <c r="J67" s="167">
        <f>H67*I67</f>
        <v>0</v>
      </c>
      <c r="K67" s="190"/>
      <c r="L67" s="191">
        <f t="shared" si="6"/>
        <v>0</v>
      </c>
      <c r="M67" s="158"/>
    </row>
    <row r="68" spans="1:14" ht="16.5" x14ac:dyDescent="0.3">
      <c r="A68" s="80">
        <v>4</v>
      </c>
      <c r="B68" s="538"/>
      <c r="C68" s="538"/>
      <c r="D68" s="538"/>
      <c r="E68" s="538"/>
      <c r="F68" s="153"/>
      <c r="G68" s="165"/>
      <c r="H68" s="190"/>
      <c r="I68" s="190"/>
      <c r="J68" s="167">
        <f>H68*I68</f>
        <v>0</v>
      </c>
      <c r="K68" s="190"/>
      <c r="L68" s="191">
        <f t="shared" si="6"/>
        <v>0</v>
      </c>
      <c r="M68" s="158"/>
    </row>
    <row r="69" spans="1:14" ht="16.5" x14ac:dyDescent="0.3">
      <c r="A69" s="80">
        <v>5</v>
      </c>
      <c r="B69" s="538"/>
      <c r="C69" s="538"/>
      <c r="D69" s="538"/>
      <c r="E69" s="538"/>
      <c r="F69" s="153"/>
      <c r="G69" s="165"/>
      <c r="H69" s="190"/>
      <c r="I69" s="190"/>
      <c r="J69" s="167">
        <f>H69*I69</f>
        <v>0</v>
      </c>
      <c r="K69" s="190"/>
      <c r="L69" s="191">
        <f t="shared" si="6"/>
        <v>0</v>
      </c>
      <c r="M69" s="158"/>
    </row>
    <row r="70" spans="1:14" ht="16.5" x14ac:dyDescent="0.3">
      <c r="A70" s="192">
        <v>6</v>
      </c>
      <c r="B70" s="538"/>
      <c r="C70" s="538"/>
      <c r="D70" s="538"/>
      <c r="E70" s="538"/>
      <c r="F70" s="153"/>
      <c r="G70" s="165"/>
      <c r="H70" s="190"/>
      <c r="I70" s="190"/>
      <c r="J70" s="167">
        <f>H70*I70</f>
        <v>0</v>
      </c>
      <c r="K70" s="190"/>
      <c r="L70" s="191">
        <f t="shared" si="6"/>
        <v>0</v>
      </c>
      <c r="M70" s="158"/>
    </row>
    <row r="71" spans="1:14" ht="16.5" x14ac:dyDescent="0.3">
      <c r="A71" s="80">
        <v>7</v>
      </c>
      <c r="B71" s="539"/>
      <c r="C71" s="540"/>
      <c r="D71" s="540"/>
      <c r="E71" s="541"/>
      <c r="F71" s="153"/>
      <c r="G71" s="165"/>
      <c r="H71" s="190"/>
      <c r="I71" s="190"/>
      <c r="J71" s="167">
        <f>SUM(H71*I71)</f>
        <v>0</v>
      </c>
      <c r="K71" s="190"/>
      <c r="L71" s="191">
        <f t="shared" si="6"/>
        <v>0</v>
      </c>
      <c r="M71" s="193"/>
      <c r="N71" s="17"/>
    </row>
    <row r="72" spans="1:14" ht="15.75" x14ac:dyDescent="0.3">
      <c r="I72" s="176"/>
      <c r="J72" s="176"/>
      <c r="K72" s="188"/>
      <c r="L72" s="189"/>
      <c r="M72" s="158"/>
    </row>
    <row r="73" spans="1:14" ht="15.75" x14ac:dyDescent="0.3">
      <c r="I73" s="184" t="s">
        <v>112</v>
      </c>
      <c r="J73" s="185">
        <f>SUM(J65:J71)</f>
        <v>0</v>
      </c>
      <c r="K73" s="177" t="s">
        <v>113</v>
      </c>
      <c r="L73" s="194">
        <f>SUM(L65:L72)</f>
        <v>300</v>
      </c>
      <c r="M73" s="158"/>
    </row>
    <row r="74" spans="1:14" ht="15.75" x14ac:dyDescent="0.3">
      <c r="A74" s="551" t="s">
        <v>118</v>
      </c>
      <c r="B74" s="551"/>
      <c r="C74" s="551"/>
      <c r="D74" s="551"/>
      <c r="E74" s="551"/>
      <c r="F74" s="551"/>
      <c r="G74" s="551"/>
      <c r="H74" s="551"/>
      <c r="I74" s="551"/>
      <c r="J74" s="551"/>
      <c r="K74" s="551"/>
      <c r="L74" s="551"/>
      <c r="M74" s="551"/>
    </row>
    <row r="75" spans="1:14" ht="15.75" x14ac:dyDescent="0.3">
      <c r="I75" s="176"/>
      <c r="J75" s="176"/>
      <c r="K75" s="188"/>
      <c r="L75" s="189"/>
      <c r="M75" s="158"/>
    </row>
    <row r="76" spans="1:14" x14ac:dyDescent="0.25">
      <c r="A76" s="80"/>
      <c r="B76" s="488" t="s">
        <v>115</v>
      </c>
      <c r="C76" s="488"/>
      <c r="D76" s="488"/>
      <c r="E76" s="488"/>
      <c r="F76" s="159" t="s">
        <v>105</v>
      </c>
      <c r="G76" s="159" t="s">
        <v>106</v>
      </c>
      <c r="H76" s="159" t="s">
        <v>117</v>
      </c>
      <c r="I76" s="159" t="s">
        <v>108</v>
      </c>
      <c r="J76" s="159" t="s">
        <v>109</v>
      </c>
      <c r="K76" s="159" t="s">
        <v>110</v>
      </c>
      <c r="L76" s="159" t="s">
        <v>111</v>
      </c>
    </row>
    <row r="77" spans="1:14" ht="16.5" x14ac:dyDescent="0.3">
      <c r="A77" s="80">
        <v>1</v>
      </c>
      <c r="B77" s="538"/>
      <c r="C77" s="538"/>
      <c r="D77" s="538"/>
      <c r="E77" s="538"/>
      <c r="F77" s="153"/>
      <c r="G77" s="165"/>
      <c r="H77" s="190"/>
      <c r="I77" s="190"/>
      <c r="J77" s="167">
        <f>SUM(H77*I77)</f>
        <v>0</v>
      </c>
      <c r="K77" s="190"/>
      <c r="L77" s="191">
        <f>SUM(H77)*K77</f>
        <v>0</v>
      </c>
      <c r="M77" s="158"/>
    </row>
    <row r="78" spans="1:14" ht="16.5" x14ac:dyDescent="0.3">
      <c r="A78" s="80">
        <v>2</v>
      </c>
      <c r="B78" s="539"/>
      <c r="C78" s="540"/>
      <c r="D78" s="540"/>
      <c r="E78" s="541"/>
      <c r="F78" s="153"/>
      <c r="G78" s="165"/>
      <c r="H78" s="190"/>
      <c r="I78" s="190"/>
      <c r="J78" s="167">
        <f>H78*I78</f>
        <v>0</v>
      </c>
      <c r="K78" s="190"/>
      <c r="L78" s="191">
        <f t="shared" ref="L78:L83" si="7">SUM(H78)*K78</f>
        <v>0</v>
      </c>
      <c r="M78" s="158"/>
    </row>
    <row r="79" spans="1:14" ht="16.5" x14ac:dyDescent="0.3">
      <c r="A79" s="80">
        <v>3</v>
      </c>
      <c r="B79" s="538"/>
      <c r="C79" s="538"/>
      <c r="D79" s="538"/>
      <c r="E79" s="538"/>
      <c r="F79" s="153"/>
      <c r="G79" s="165"/>
      <c r="H79" s="190"/>
      <c r="I79" s="190"/>
      <c r="J79" s="167">
        <f>H79*I79</f>
        <v>0</v>
      </c>
      <c r="K79" s="190"/>
      <c r="L79" s="191">
        <f t="shared" si="7"/>
        <v>0</v>
      </c>
      <c r="M79" s="158"/>
    </row>
    <row r="80" spans="1:14" ht="16.5" x14ac:dyDescent="0.3">
      <c r="A80" s="80">
        <v>4</v>
      </c>
      <c r="B80" s="538"/>
      <c r="C80" s="538"/>
      <c r="D80" s="538"/>
      <c r="E80" s="538"/>
      <c r="F80" s="153"/>
      <c r="G80" s="165"/>
      <c r="H80" s="190"/>
      <c r="I80" s="190"/>
      <c r="J80" s="167">
        <f>H80*I80</f>
        <v>0</v>
      </c>
      <c r="K80" s="190"/>
      <c r="L80" s="191">
        <f t="shared" si="7"/>
        <v>0</v>
      </c>
      <c r="M80" s="158"/>
    </row>
    <row r="81" spans="1:14" ht="16.5" x14ac:dyDescent="0.3">
      <c r="A81" s="80">
        <v>5</v>
      </c>
      <c r="B81" s="538"/>
      <c r="C81" s="538"/>
      <c r="D81" s="538"/>
      <c r="E81" s="538"/>
      <c r="F81" s="153"/>
      <c r="G81" s="165"/>
      <c r="H81" s="190"/>
      <c r="I81" s="190"/>
      <c r="J81" s="167">
        <f>H81*I81</f>
        <v>0</v>
      </c>
      <c r="K81" s="190"/>
      <c r="L81" s="191">
        <f t="shared" si="7"/>
        <v>0</v>
      </c>
      <c r="M81" s="158"/>
    </row>
    <row r="82" spans="1:14" ht="16.5" x14ac:dyDescent="0.3">
      <c r="A82" s="192">
        <v>6</v>
      </c>
      <c r="B82" s="538"/>
      <c r="C82" s="538"/>
      <c r="D82" s="538"/>
      <c r="E82" s="538"/>
      <c r="F82" s="153"/>
      <c r="G82" s="165"/>
      <c r="H82" s="190"/>
      <c r="I82" s="190"/>
      <c r="J82" s="167">
        <f>H82*I82</f>
        <v>0</v>
      </c>
      <c r="K82" s="190"/>
      <c r="L82" s="191">
        <f t="shared" si="7"/>
        <v>0</v>
      </c>
      <c r="M82" s="158"/>
    </row>
    <row r="83" spans="1:14" ht="16.5" x14ac:dyDescent="0.3">
      <c r="A83" s="80">
        <v>7</v>
      </c>
      <c r="B83" s="539"/>
      <c r="C83" s="540"/>
      <c r="D83" s="540"/>
      <c r="E83" s="541"/>
      <c r="F83" s="153"/>
      <c r="G83" s="165"/>
      <c r="H83" s="190"/>
      <c r="I83" s="190"/>
      <c r="J83" s="167">
        <f>SUM(H83*I83)</f>
        <v>0</v>
      </c>
      <c r="K83" s="190"/>
      <c r="L83" s="191">
        <f t="shared" si="7"/>
        <v>0</v>
      </c>
      <c r="M83" s="193"/>
      <c r="N83" s="17"/>
    </row>
    <row r="84" spans="1:14" ht="15.75" x14ac:dyDescent="0.3">
      <c r="I84" s="176"/>
      <c r="J84" s="176"/>
      <c r="K84" s="188"/>
      <c r="L84" s="189"/>
      <c r="M84" s="158"/>
    </row>
    <row r="85" spans="1:14" ht="15.75" x14ac:dyDescent="0.3">
      <c r="I85" s="184" t="s">
        <v>112</v>
      </c>
      <c r="J85" s="185">
        <f>SUM(J77:J83)</f>
        <v>0</v>
      </c>
      <c r="K85" s="177" t="s">
        <v>113</v>
      </c>
      <c r="L85" s="194">
        <f>SUM(L77:L84)</f>
        <v>0</v>
      </c>
      <c r="M85" s="158"/>
    </row>
    <row r="86" spans="1:14" x14ac:dyDescent="0.25">
      <c r="A86" s="550" t="s">
        <v>119</v>
      </c>
      <c r="B86" s="550"/>
      <c r="C86" s="550"/>
      <c r="D86" s="550"/>
      <c r="E86" s="550"/>
      <c r="F86" s="550"/>
      <c r="G86" s="550"/>
      <c r="H86" s="550"/>
      <c r="I86" s="550"/>
      <c r="J86" s="550"/>
      <c r="K86" s="550"/>
      <c r="L86" s="550"/>
      <c r="M86" s="550"/>
      <c r="N86" s="145"/>
    </row>
    <row r="87" spans="1:14" x14ac:dyDescent="0.25">
      <c r="I87" s="157"/>
      <c r="J87" s="157"/>
      <c r="K87" s="548" t="s">
        <v>98</v>
      </c>
      <c r="L87" s="158" t="s">
        <v>99</v>
      </c>
      <c r="M87" s="158" t="s">
        <v>100</v>
      </c>
    </row>
    <row r="88" spans="1:14" ht="15.75" x14ac:dyDescent="0.3">
      <c r="A88" s="80"/>
      <c r="B88" s="195" t="s">
        <v>115</v>
      </c>
      <c r="C88" s="195"/>
      <c r="D88" s="160" t="s">
        <v>103</v>
      </c>
      <c r="E88" s="160" t="s">
        <v>104</v>
      </c>
      <c r="F88" s="159" t="s">
        <v>105</v>
      </c>
      <c r="G88" s="159" t="s">
        <v>106</v>
      </c>
      <c r="H88" s="159" t="s">
        <v>107</v>
      </c>
      <c r="I88" s="159" t="s">
        <v>108</v>
      </c>
      <c r="J88" s="161" t="s">
        <v>109</v>
      </c>
      <c r="K88" s="548"/>
      <c r="L88" s="162" t="s">
        <v>110</v>
      </c>
      <c r="M88" s="159" t="s">
        <v>111</v>
      </c>
    </row>
    <row r="89" spans="1:14" ht="16.5" x14ac:dyDescent="0.3">
      <c r="A89" s="80">
        <v>1</v>
      </c>
      <c r="B89" s="545" t="s">
        <v>184</v>
      </c>
      <c r="C89" s="545"/>
      <c r="D89" s="196">
        <v>0.8</v>
      </c>
      <c r="E89" s="163" t="s">
        <v>191</v>
      </c>
      <c r="F89" s="153" t="s">
        <v>192</v>
      </c>
      <c r="G89" s="165" t="s">
        <v>171</v>
      </c>
      <c r="H89" s="146">
        <v>10</v>
      </c>
      <c r="I89" s="87">
        <f>IFERROR(VALUE(LEFT(E89,(IFERROR(SEARCH("x",E89),)+IFERROR(SEARCH("х",E89),))-1))*VALUE(RIGHT(E89,LEN(E89)-(IFERROR(SEARCH("x",E89),)+IFERROR(SEARCH("х",E89),))))*IF(F89="Алюминий",D89/1000000*2.7,D89/1000000*8),)</f>
        <v>83.04</v>
      </c>
      <c r="J89" s="167">
        <f>H89*I89</f>
        <v>830.40000000000009</v>
      </c>
      <c r="K89" s="168" t="s">
        <v>172</v>
      </c>
      <c r="L89" s="146">
        <v>3.3</v>
      </c>
      <c r="M89" s="151">
        <f>IF(K89="за Кг", J89*L89, L89*H89)</f>
        <v>2740.32</v>
      </c>
    </row>
    <row r="90" spans="1:14" ht="16.5" x14ac:dyDescent="0.3">
      <c r="A90" s="80">
        <v>2</v>
      </c>
      <c r="B90" s="545" t="s">
        <v>169</v>
      </c>
      <c r="C90" s="545"/>
      <c r="D90" s="196">
        <v>0.8</v>
      </c>
      <c r="E90" s="163" t="s">
        <v>193</v>
      </c>
      <c r="F90" s="153" t="s">
        <v>170</v>
      </c>
      <c r="G90" s="165" t="s">
        <v>171</v>
      </c>
      <c r="H90" s="146">
        <v>1.4</v>
      </c>
      <c r="I90" s="87">
        <f t="shared" ref="I90:I92" si="8">IFERROR(VALUE(LEFT(E90,(IFERROR(SEARCH("x",E90),)+IFERROR(SEARCH("х",E90),))-1))*VALUE(RIGHT(E90,LEN(E90)-(IFERROR(SEARCH("x",E90),)+IFERROR(SEARCH("х",E90),))))*IF(F90="Алюминий",D90/1000000*2.7,D90/1000000*8),)</f>
        <v>38.400000000000006</v>
      </c>
      <c r="J90" s="167">
        <f t="shared" ref="J90:J92" si="9">H90*I90</f>
        <v>53.760000000000005</v>
      </c>
      <c r="K90" s="168" t="s">
        <v>172</v>
      </c>
      <c r="L90" s="146">
        <v>3.3</v>
      </c>
      <c r="M90" s="151">
        <f t="shared" ref="M90:M92" si="10">IF(K90="за Кг", J90*L90, L90*H90)</f>
        <v>177.40800000000002</v>
      </c>
    </row>
    <row r="91" spans="1:14" ht="16.5" x14ac:dyDescent="0.3">
      <c r="A91" s="80">
        <v>3</v>
      </c>
      <c r="B91" s="545"/>
      <c r="C91" s="545"/>
      <c r="D91" s="196"/>
      <c r="E91" s="163"/>
      <c r="F91" s="153"/>
      <c r="G91" s="165"/>
      <c r="H91" s="146"/>
      <c r="I91" s="87">
        <f t="shared" si="8"/>
        <v>0</v>
      </c>
      <c r="J91" s="167">
        <f t="shared" si="9"/>
        <v>0</v>
      </c>
      <c r="K91" s="168"/>
      <c r="L91" s="146"/>
      <c r="M91" s="151">
        <f t="shared" si="10"/>
        <v>0</v>
      </c>
    </row>
    <row r="92" spans="1:14" ht="16.5" x14ac:dyDescent="0.3">
      <c r="A92" s="80">
        <v>4</v>
      </c>
      <c r="B92" s="545"/>
      <c r="C92" s="545"/>
      <c r="D92" s="196"/>
      <c r="E92" s="163"/>
      <c r="F92" s="153"/>
      <c r="G92" s="165"/>
      <c r="H92" s="146"/>
      <c r="I92" s="87">
        <f t="shared" si="8"/>
        <v>0</v>
      </c>
      <c r="J92" s="167">
        <f t="shared" si="9"/>
        <v>0</v>
      </c>
      <c r="K92" s="168"/>
      <c r="L92" s="146"/>
      <c r="M92" s="151">
        <f t="shared" si="10"/>
        <v>0</v>
      </c>
    </row>
    <row r="93" spans="1:14" ht="15.75" x14ac:dyDescent="0.3">
      <c r="A93" s="546" t="s">
        <v>120</v>
      </c>
      <c r="B93" s="547"/>
      <c r="C93" s="547"/>
      <c r="D93" s="547"/>
      <c r="E93" s="547"/>
      <c r="F93" s="547"/>
      <c r="G93" s="547"/>
      <c r="H93" s="547"/>
      <c r="I93" s="547"/>
      <c r="J93" s="547"/>
      <c r="K93" s="547"/>
      <c r="L93" s="547"/>
      <c r="M93" s="549"/>
    </row>
    <row r="94" spans="1:14" ht="15.75" x14ac:dyDescent="0.3">
      <c r="A94" s="197"/>
      <c r="B94" s="195" t="s">
        <v>115</v>
      </c>
      <c r="C94" s="195"/>
      <c r="D94" s="160" t="s">
        <v>121</v>
      </c>
      <c r="E94" s="160" t="s">
        <v>101</v>
      </c>
      <c r="F94" s="198" t="s">
        <v>117</v>
      </c>
      <c r="G94" s="159" t="s">
        <v>106</v>
      </c>
      <c r="H94" s="198" t="s">
        <v>122</v>
      </c>
      <c r="I94" s="159" t="s">
        <v>108</v>
      </c>
      <c r="J94" s="161" t="s">
        <v>109</v>
      </c>
      <c r="K94" s="162" t="s">
        <v>123</v>
      </c>
      <c r="L94" s="199" t="s">
        <v>124</v>
      </c>
      <c r="M94" s="159" t="s">
        <v>111</v>
      </c>
    </row>
    <row r="95" spans="1:14" ht="16.5" x14ac:dyDescent="0.3">
      <c r="A95" s="200">
        <v>5</v>
      </c>
      <c r="B95" s="545" t="s">
        <v>194</v>
      </c>
      <c r="C95" s="545"/>
      <c r="D95" s="201">
        <v>100</v>
      </c>
      <c r="E95" s="163"/>
      <c r="F95" s="153">
        <v>146</v>
      </c>
      <c r="G95" s="202" t="str">
        <f>IF(B95="Пенополиуретан", "м3", "м2")</f>
        <v>м2</v>
      </c>
      <c r="H95" s="146">
        <v>40</v>
      </c>
      <c r="I95" s="87">
        <f>IF(B95="Пенополиуретан", 40, IF(B95="Минеральная вата", D95*0.06, D95*0.04))</f>
        <v>6</v>
      </c>
      <c r="J95" s="167">
        <f>SUM(I95*F95)</f>
        <v>876</v>
      </c>
      <c r="K95" s="203" t="str">
        <f>IF(B95="Пенополиуретан",  "кг", "м2")</f>
        <v>м2</v>
      </c>
      <c r="L95" s="146">
        <v>8.6</v>
      </c>
      <c r="M95" s="151">
        <f>IF(K95="кг", J95*L95, F95*L95)</f>
        <v>1255.5999999999999</v>
      </c>
    </row>
    <row r="96" spans="1:14" ht="16.5" x14ac:dyDescent="0.3">
      <c r="A96" s="200">
        <v>6</v>
      </c>
      <c r="B96" s="545"/>
      <c r="C96" s="545"/>
      <c r="D96" s="201"/>
      <c r="E96" s="163"/>
      <c r="F96" s="153"/>
      <c r="G96" s="202" t="str">
        <f>IF(B96="Пенополиуретан", "м3", "м2")</f>
        <v>м2</v>
      </c>
      <c r="H96" s="146"/>
      <c r="I96" s="87">
        <f>IF(B96="Пенополиуретан", 40, IF(B96="Минеральная вата", D96*0.06, D96*0.04))</f>
        <v>0</v>
      </c>
      <c r="J96" s="167">
        <f>SUM(I96*F96)</f>
        <v>0</v>
      </c>
      <c r="K96" s="203" t="str">
        <f>IF(B96="Пенополиуретан",  "кг", "м2")</f>
        <v>м2</v>
      </c>
      <c r="L96" s="146"/>
      <c r="M96" s="151">
        <f>IF(K96="кг", J96*L96, F96*L96)</f>
        <v>0</v>
      </c>
      <c r="N96" s="154"/>
    </row>
    <row r="97" spans="1:14" ht="15.75" x14ac:dyDescent="0.3">
      <c r="A97" s="155"/>
      <c r="B97" s="546" t="s">
        <v>125</v>
      </c>
      <c r="C97" s="547"/>
      <c r="D97" s="547"/>
      <c r="E97" s="547"/>
      <c r="F97" s="547"/>
      <c r="G97" s="547"/>
      <c r="H97" s="547"/>
      <c r="I97" s="547"/>
      <c r="J97" s="547"/>
      <c r="K97" s="547"/>
      <c r="L97" s="547"/>
      <c r="M97" s="547"/>
    </row>
    <row r="98" spans="1:14" ht="15.75" x14ac:dyDescent="0.3">
      <c r="A98" s="80"/>
      <c r="B98" s="488" t="s">
        <v>115</v>
      </c>
      <c r="C98" s="488"/>
      <c r="D98" s="488"/>
      <c r="E98" s="488"/>
      <c r="F98" s="159" t="s">
        <v>105</v>
      </c>
      <c r="G98" s="159" t="s">
        <v>106</v>
      </c>
      <c r="H98" s="159" t="s">
        <v>117</v>
      </c>
      <c r="I98" s="159" t="s">
        <v>108</v>
      </c>
      <c r="J98" s="159" t="s">
        <v>109</v>
      </c>
      <c r="K98" s="162" t="s">
        <v>123</v>
      </c>
      <c r="L98" s="198" t="s">
        <v>124</v>
      </c>
      <c r="M98" s="159" t="s">
        <v>111</v>
      </c>
    </row>
    <row r="99" spans="1:14" ht="16.5" x14ac:dyDescent="0.3">
      <c r="A99" s="80">
        <v>7</v>
      </c>
      <c r="B99" s="538" t="s">
        <v>125</v>
      </c>
      <c r="C99" s="538"/>
      <c r="D99" s="538"/>
      <c r="E99" s="538"/>
      <c r="F99" s="153"/>
      <c r="G99" s="165"/>
      <c r="H99" s="190"/>
      <c r="I99" s="190"/>
      <c r="J99" s="167">
        <f>SUM(H99*I99)</f>
        <v>0</v>
      </c>
      <c r="K99" s="165"/>
      <c r="L99" s="190"/>
      <c r="M99" s="151">
        <f>IF(K99="кг", J99*L99, H99*L99)</f>
        <v>0</v>
      </c>
    </row>
    <row r="100" spans="1:14" ht="16.5" x14ac:dyDescent="0.3">
      <c r="A100" s="80">
        <v>8</v>
      </c>
      <c r="B100" s="539"/>
      <c r="C100" s="540"/>
      <c r="D100" s="540"/>
      <c r="E100" s="541"/>
      <c r="F100" s="153"/>
      <c r="G100" s="165"/>
      <c r="H100" s="190"/>
      <c r="I100" s="190"/>
      <c r="J100" s="167">
        <f>H100*I100</f>
        <v>0</v>
      </c>
      <c r="K100" s="168"/>
      <c r="L100" s="190"/>
      <c r="M100" s="151">
        <f t="shared" ref="M100:M105" si="11">IF(K100="кг", J100*L100, H100*L100)</f>
        <v>0</v>
      </c>
    </row>
    <row r="101" spans="1:14" ht="16.5" x14ac:dyDescent="0.3">
      <c r="A101" s="80">
        <v>9</v>
      </c>
      <c r="B101" s="538"/>
      <c r="C101" s="538"/>
      <c r="D101" s="538"/>
      <c r="E101" s="538"/>
      <c r="F101" s="153"/>
      <c r="G101" s="165"/>
      <c r="H101" s="190"/>
      <c r="I101" s="190"/>
      <c r="J101" s="167">
        <f>H101*I101</f>
        <v>0</v>
      </c>
      <c r="K101" s="168"/>
      <c r="L101" s="190"/>
      <c r="M101" s="151">
        <f t="shared" si="11"/>
        <v>0</v>
      </c>
    </row>
    <row r="102" spans="1:14" ht="16.5" x14ac:dyDescent="0.3">
      <c r="A102" s="80">
        <v>10</v>
      </c>
      <c r="B102" s="538"/>
      <c r="C102" s="538"/>
      <c r="D102" s="538"/>
      <c r="E102" s="538"/>
      <c r="F102" s="153"/>
      <c r="G102" s="165"/>
      <c r="H102" s="190"/>
      <c r="I102" s="190"/>
      <c r="J102" s="167">
        <f>H102*I102</f>
        <v>0</v>
      </c>
      <c r="K102" s="168"/>
      <c r="L102" s="190"/>
      <c r="M102" s="151">
        <f t="shared" si="11"/>
        <v>0</v>
      </c>
    </row>
    <row r="103" spans="1:14" ht="16.5" x14ac:dyDescent="0.3">
      <c r="A103" s="80">
        <v>11</v>
      </c>
      <c r="B103" s="538"/>
      <c r="C103" s="538"/>
      <c r="D103" s="538"/>
      <c r="E103" s="538"/>
      <c r="F103" s="153"/>
      <c r="G103" s="165"/>
      <c r="H103" s="190"/>
      <c r="I103" s="190"/>
      <c r="J103" s="167">
        <f>H103*I103</f>
        <v>0</v>
      </c>
      <c r="K103" s="168"/>
      <c r="L103" s="190"/>
      <c r="M103" s="151">
        <f t="shared" si="11"/>
        <v>0</v>
      </c>
    </row>
    <row r="104" spans="1:14" ht="16.5" x14ac:dyDescent="0.3">
      <c r="A104" s="80">
        <v>12</v>
      </c>
      <c r="B104" s="538"/>
      <c r="C104" s="538"/>
      <c r="D104" s="538"/>
      <c r="E104" s="538"/>
      <c r="F104" s="153"/>
      <c r="G104" s="165"/>
      <c r="H104" s="190"/>
      <c r="I104" s="190"/>
      <c r="J104" s="167">
        <f>H104*I104</f>
        <v>0</v>
      </c>
      <c r="K104" s="168"/>
      <c r="L104" s="190"/>
      <c r="M104" s="151">
        <f t="shared" si="11"/>
        <v>0</v>
      </c>
    </row>
    <row r="105" spans="1:14" ht="16.5" x14ac:dyDescent="0.3">
      <c r="A105" s="80">
        <v>13</v>
      </c>
      <c r="B105" s="539"/>
      <c r="C105" s="540"/>
      <c r="D105" s="540"/>
      <c r="E105" s="541"/>
      <c r="F105" s="153"/>
      <c r="G105" s="165"/>
      <c r="H105" s="190"/>
      <c r="I105" s="190"/>
      <c r="J105" s="167">
        <f>SUM(H105*I105)</f>
        <v>0</v>
      </c>
      <c r="K105" s="168"/>
      <c r="L105" s="190"/>
      <c r="M105" s="151">
        <f t="shared" si="11"/>
        <v>0</v>
      </c>
      <c r="N105" s="17"/>
    </row>
    <row r="106" spans="1:14" ht="15.75" x14ac:dyDescent="0.3">
      <c r="A106" s="155"/>
      <c r="B106" s="197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</row>
    <row r="107" spans="1:14" ht="15.75" x14ac:dyDescent="0.3">
      <c r="A107" s="155"/>
      <c r="B107" s="197"/>
      <c r="C107" s="204"/>
      <c r="D107" s="204"/>
      <c r="E107" s="204"/>
      <c r="F107" s="204"/>
      <c r="G107" s="204"/>
      <c r="H107" s="204"/>
      <c r="I107" s="184" t="s">
        <v>112</v>
      </c>
      <c r="J107" s="205">
        <f>SUM(J89:J92,J95:J96,J99:J105)</f>
        <v>1760.16</v>
      </c>
      <c r="L107" s="177" t="s">
        <v>113</v>
      </c>
      <c r="M107" s="206">
        <f>SUM(M89:M92,M95:M96,M99:M105)</f>
        <v>4173.3279999999995</v>
      </c>
    </row>
    <row r="108" spans="1:14" ht="15.75" x14ac:dyDescent="0.3">
      <c r="A108" s="155"/>
      <c r="B108" s="197"/>
      <c r="C108" s="204"/>
      <c r="D108" s="204"/>
      <c r="E108" s="204"/>
      <c r="F108" s="204"/>
      <c r="G108" s="204"/>
      <c r="H108" s="204"/>
      <c r="I108" s="204"/>
      <c r="J108" s="204"/>
      <c r="K108" s="204"/>
      <c r="L108" s="204"/>
      <c r="M108" s="204"/>
    </row>
    <row r="109" spans="1:14" ht="15.75" x14ac:dyDescent="0.3">
      <c r="A109" s="155"/>
      <c r="B109" s="197"/>
      <c r="C109" s="204"/>
      <c r="D109" s="204"/>
      <c r="E109" s="204"/>
      <c r="F109" s="204"/>
      <c r="G109" s="204"/>
      <c r="H109" s="542" t="s">
        <v>126</v>
      </c>
      <c r="I109" s="543"/>
      <c r="J109" s="543"/>
      <c r="K109" s="543"/>
      <c r="L109" s="543"/>
      <c r="M109" s="544"/>
    </row>
    <row r="110" spans="1:14" ht="15.75" x14ac:dyDescent="0.3">
      <c r="A110" s="155"/>
      <c r="B110" s="197"/>
      <c r="C110" s="204"/>
      <c r="D110" s="204"/>
      <c r="E110" s="204"/>
      <c r="F110" s="204"/>
      <c r="G110" s="204"/>
      <c r="H110" s="198"/>
      <c r="I110" s="198" t="s">
        <v>127</v>
      </c>
      <c r="J110" s="198" t="s">
        <v>128</v>
      </c>
      <c r="K110" s="198" t="s">
        <v>129</v>
      </c>
      <c r="L110" s="198" t="s">
        <v>130</v>
      </c>
      <c r="M110" s="198" t="s">
        <v>131</v>
      </c>
    </row>
    <row r="111" spans="1:14" ht="15.75" x14ac:dyDescent="0.3">
      <c r="A111" s="80"/>
      <c r="B111" s="528" t="s">
        <v>132</v>
      </c>
      <c r="C111" s="529"/>
      <c r="D111" s="529"/>
      <c r="E111" s="530"/>
      <c r="F111" s="207" t="s">
        <v>99</v>
      </c>
      <c r="G111" s="204"/>
      <c r="H111" s="160" t="s">
        <v>124</v>
      </c>
      <c r="I111" s="208"/>
      <c r="J111" s="208"/>
      <c r="K111" s="209"/>
      <c r="L111" s="208"/>
      <c r="M111" s="209"/>
    </row>
    <row r="112" spans="1:14" ht="15.75" x14ac:dyDescent="0.3">
      <c r="A112" s="80">
        <v>1</v>
      </c>
      <c r="B112" s="531" t="s">
        <v>133</v>
      </c>
      <c r="C112" s="532"/>
      <c r="D112" s="532"/>
      <c r="E112" s="533"/>
      <c r="F112" s="210">
        <v>120</v>
      </c>
      <c r="G112" s="155"/>
      <c r="H112" s="160" t="s">
        <v>113</v>
      </c>
      <c r="I112" s="211">
        <f>SUM(L116,L118)/6*7/10*I111</f>
        <v>0</v>
      </c>
      <c r="J112" s="211">
        <f>SUM(L116,L118)/6*7/10*J111</f>
        <v>0</v>
      </c>
      <c r="K112" s="212">
        <f>SUM(K111)</f>
        <v>0</v>
      </c>
      <c r="L112" s="212">
        <f t="shared" ref="L112:M112" si="12">SUM(L111)</f>
        <v>0</v>
      </c>
      <c r="M112" s="212">
        <f t="shared" si="12"/>
        <v>0</v>
      </c>
    </row>
    <row r="113" spans="1:13" ht="15.75" x14ac:dyDescent="0.3">
      <c r="A113" s="80">
        <v>2</v>
      </c>
      <c r="B113" s="534" t="s">
        <v>134</v>
      </c>
      <c r="C113" s="535"/>
      <c r="D113" s="535"/>
      <c r="E113" s="536"/>
      <c r="F113" s="150">
        <v>10</v>
      </c>
      <c r="G113" s="213"/>
      <c r="H113" s="213"/>
      <c r="I113" s="213"/>
    </row>
    <row r="114" spans="1:13" ht="15.75" x14ac:dyDescent="0.3">
      <c r="A114" s="80">
        <v>3</v>
      </c>
      <c r="B114" s="518" t="s">
        <v>135</v>
      </c>
      <c r="C114" s="518"/>
      <c r="D114" s="518"/>
      <c r="E114" s="518"/>
      <c r="F114" s="150">
        <v>15</v>
      </c>
      <c r="G114" s="214"/>
      <c r="H114" s="215" t="s">
        <v>136</v>
      </c>
      <c r="I114" s="537" t="s">
        <v>137</v>
      </c>
      <c r="J114" s="537"/>
      <c r="K114" s="216" t="s">
        <v>138</v>
      </c>
      <c r="L114" s="159" t="s">
        <v>139</v>
      </c>
      <c r="M114" s="159" t="s">
        <v>140</v>
      </c>
    </row>
    <row r="115" spans="1:13" ht="15.75" x14ac:dyDescent="0.3">
      <c r="A115" s="80">
        <v>4</v>
      </c>
      <c r="B115" s="518" t="s">
        <v>141</v>
      </c>
      <c r="C115" s="518"/>
      <c r="D115" s="518"/>
      <c r="E115" s="518"/>
      <c r="F115" s="217">
        <v>30</v>
      </c>
      <c r="G115" s="214"/>
      <c r="H115" s="218">
        <v>1</v>
      </c>
      <c r="I115" s="518" t="s">
        <v>142</v>
      </c>
      <c r="J115" s="517"/>
      <c r="K115" s="87">
        <f>SUM(L115*M115)</f>
        <v>980</v>
      </c>
      <c r="L115" s="148">
        <v>140</v>
      </c>
      <c r="M115" s="219">
        <v>7</v>
      </c>
    </row>
    <row r="116" spans="1:13" ht="15.75" x14ac:dyDescent="0.3">
      <c r="A116" s="80">
        <v>5</v>
      </c>
      <c r="B116" s="526" t="s">
        <v>143</v>
      </c>
      <c r="C116" s="527"/>
      <c r="D116" s="527"/>
      <c r="E116" s="527"/>
      <c r="F116" s="148">
        <v>30</v>
      </c>
      <c r="G116" s="9"/>
      <c r="H116" s="218">
        <v>2</v>
      </c>
      <c r="I116" s="518" t="s">
        <v>144</v>
      </c>
      <c r="J116" s="517"/>
      <c r="K116" s="87">
        <f t="shared" ref="K116:K119" si="13">SUM(L116*M116)</f>
        <v>0</v>
      </c>
      <c r="L116" s="148"/>
      <c r="M116" s="219">
        <v>7</v>
      </c>
    </row>
    <row r="117" spans="1:13" ht="15.75" x14ac:dyDescent="0.3">
      <c r="A117" s="80">
        <v>6</v>
      </c>
      <c r="B117" s="516" t="s">
        <v>145</v>
      </c>
      <c r="C117" s="516"/>
      <c r="D117" s="516"/>
      <c r="E117" s="516"/>
      <c r="F117" s="217"/>
      <c r="G117" s="9"/>
      <c r="H117" s="195">
        <v>3</v>
      </c>
      <c r="I117" s="518" t="s">
        <v>146</v>
      </c>
      <c r="J117" s="517"/>
      <c r="K117" s="87">
        <f t="shared" si="13"/>
        <v>0</v>
      </c>
      <c r="L117" s="148"/>
      <c r="M117" s="219">
        <v>7</v>
      </c>
    </row>
    <row r="118" spans="1:13" ht="15.75" x14ac:dyDescent="0.3">
      <c r="A118" s="80">
        <v>7</v>
      </c>
      <c r="B118" s="516" t="s">
        <v>147</v>
      </c>
      <c r="C118" s="516"/>
      <c r="D118" s="516"/>
      <c r="E118" s="516"/>
      <c r="F118" s="148"/>
      <c r="G118" s="9"/>
      <c r="H118" s="195">
        <v>4</v>
      </c>
      <c r="I118" s="518" t="s">
        <v>148</v>
      </c>
      <c r="J118" s="517"/>
      <c r="K118" s="87">
        <f t="shared" si="13"/>
        <v>0</v>
      </c>
      <c r="L118" s="148"/>
      <c r="M118" s="219">
        <v>7</v>
      </c>
    </row>
    <row r="119" spans="1:13" x14ac:dyDescent="0.25">
      <c r="A119" s="80">
        <v>8</v>
      </c>
      <c r="B119" s="516" t="s">
        <v>149</v>
      </c>
      <c r="C119" s="516"/>
      <c r="D119" s="516"/>
      <c r="E119" s="516"/>
      <c r="F119" s="217">
        <v>50</v>
      </c>
      <c r="G119" s="9"/>
      <c r="H119" s="195">
        <v>5</v>
      </c>
      <c r="I119" s="517" t="s">
        <v>150</v>
      </c>
      <c r="J119" s="517"/>
      <c r="K119" s="87">
        <f t="shared" si="13"/>
        <v>28</v>
      </c>
      <c r="L119" s="148">
        <v>4</v>
      </c>
      <c r="M119" s="219">
        <v>7</v>
      </c>
    </row>
    <row r="120" spans="1:13" x14ac:dyDescent="0.25">
      <c r="A120" s="80">
        <v>9</v>
      </c>
      <c r="B120" s="516" t="s">
        <v>151</v>
      </c>
      <c r="C120" s="516"/>
      <c r="D120" s="516"/>
      <c r="E120" s="516"/>
      <c r="F120" s="148"/>
      <c r="G120" s="9"/>
    </row>
    <row r="121" spans="1:13" x14ac:dyDescent="0.25">
      <c r="A121" s="80">
        <v>10</v>
      </c>
      <c r="B121" s="516" t="s">
        <v>152</v>
      </c>
      <c r="C121" s="516"/>
      <c r="D121" s="516"/>
      <c r="E121" s="516"/>
      <c r="F121" s="148">
        <v>100</v>
      </c>
    </row>
    <row r="122" spans="1:13" ht="15.75" x14ac:dyDescent="0.3">
      <c r="E122" s="220" t="s">
        <v>153</v>
      </c>
      <c r="F122" s="221">
        <f>SUM(F112:F121)</f>
        <v>355</v>
      </c>
      <c r="H122" s="222">
        <v>1</v>
      </c>
      <c r="I122" s="518" t="s">
        <v>154</v>
      </c>
      <c r="J122" s="517"/>
      <c r="K122" s="146"/>
      <c r="L122" s="524" t="s">
        <v>155</v>
      </c>
      <c r="M122" s="525"/>
    </row>
    <row r="123" spans="1:13" ht="18" thickBot="1" x14ac:dyDescent="0.35">
      <c r="A123" s="223" t="s">
        <v>156</v>
      </c>
      <c r="B123" s="157"/>
      <c r="C123" s="157"/>
      <c r="D123" s="157"/>
      <c r="E123" s="157"/>
      <c r="F123" s="157"/>
      <c r="G123" s="157"/>
      <c r="H123" s="157"/>
      <c r="I123" s="157"/>
      <c r="J123" s="157"/>
      <c r="K123" s="157"/>
    </row>
    <row r="124" spans="1:13" ht="15.75" thickBot="1" x14ac:dyDescent="0.3">
      <c r="I124" s="520" t="s">
        <v>99</v>
      </c>
      <c r="J124" s="521"/>
    </row>
    <row r="125" spans="1:13" ht="16.5" x14ac:dyDescent="0.3">
      <c r="A125" s="80"/>
      <c r="B125" s="488" t="s">
        <v>115</v>
      </c>
      <c r="C125" s="488"/>
      <c r="D125" s="488"/>
      <c r="E125" s="488"/>
      <c r="F125" s="488"/>
      <c r="G125" s="488"/>
      <c r="H125" s="488"/>
      <c r="I125" s="522" t="s">
        <v>157</v>
      </c>
      <c r="J125" s="522"/>
      <c r="L125" s="523" t="s">
        <v>158</v>
      </c>
      <c r="M125" s="523"/>
    </row>
    <row r="126" spans="1:13" ht="15.75" x14ac:dyDescent="0.3">
      <c r="A126" s="192">
        <v>1</v>
      </c>
      <c r="B126" s="518" t="s">
        <v>159</v>
      </c>
      <c r="C126" s="517"/>
      <c r="D126" s="517"/>
      <c r="E126" s="517"/>
      <c r="F126" s="517"/>
      <c r="G126" s="517"/>
      <c r="H126" s="517"/>
      <c r="I126" s="505">
        <f>SUM(M38*1.01)</f>
        <v>16774.201200000003</v>
      </c>
      <c r="J126" s="505"/>
      <c r="L126" s="224">
        <v>0</v>
      </c>
      <c r="M126" s="225">
        <f>SUM($I$126:$J$130,$I$132:$J$134)*(1+L126)+$I$131+$I$135</f>
        <v>23561.747200000005</v>
      </c>
    </row>
    <row r="127" spans="1:13" ht="15.75" x14ac:dyDescent="0.3">
      <c r="A127" s="192">
        <v>2</v>
      </c>
      <c r="B127" s="518" t="s">
        <v>160</v>
      </c>
      <c r="C127" s="517"/>
      <c r="D127" s="517"/>
      <c r="E127" s="517"/>
      <c r="F127" s="517"/>
      <c r="G127" s="517"/>
      <c r="H127" s="517"/>
      <c r="I127" s="505">
        <f>SUM(M61*1.01)</f>
        <v>951.21800000000007</v>
      </c>
      <c r="J127" s="505"/>
      <c r="L127" s="224">
        <v>0.1</v>
      </c>
      <c r="M127" s="225">
        <f t="shared" ref="M127:M132" si="14">SUM($I$126:$J$130,$I$132:$J$134)*(1+L127)+$I$131+$I$135</f>
        <v>25887.921920000008</v>
      </c>
    </row>
    <row r="128" spans="1:13" ht="15.75" x14ac:dyDescent="0.3">
      <c r="A128" s="192">
        <v>3</v>
      </c>
      <c r="B128" s="518" t="s">
        <v>161</v>
      </c>
      <c r="C128" s="517"/>
      <c r="D128" s="517"/>
      <c r="E128" s="517"/>
      <c r="F128" s="517"/>
      <c r="G128" s="517"/>
      <c r="H128" s="517"/>
      <c r="I128" s="505">
        <f>SUM(F122)</f>
        <v>355</v>
      </c>
      <c r="J128" s="505"/>
      <c r="L128" s="224">
        <v>0.15</v>
      </c>
      <c r="M128" s="225">
        <f t="shared" si="14"/>
        <v>27051.009280000006</v>
      </c>
    </row>
    <row r="129" spans="1:13" ht="15.75" x14ac:dyDescent="0.3">
      <c r="A129" s="192">
        <v>4</v>
      </c>
      <c r="B129" s="517" t="s">
        <v>162</v>
      </c>
      <c r="C129" s="517"/>
      <c r="D129" s="517"/>
      <c r="E129" s="517"/>
      <c r="F129" s="517"/>
      <c r="G129" s="517"/>
      <c r="H129" s="517"/>
      <c r="I129" s="505">
        <f>SUM(K115+K119)</f>
        <v>1008</v>
      </c>
      <c r="J129" s="505"/>
      <c r="L129" s="226">
        <v>0.2</v>
      </c>
      <c r="M129" s="225">
        <f t="shared" si="14"/>
        <v>28214.096640000007</v>
      </c>
    </row>
    <row r="130" spans="1:13" ht="15.75" x14ac:dyDescent="0.3">
      <c r="A130" s="192">
        <v>5</v>
      </c>
      <c r="B130" s="517" t="s">
        <v>163</v>
      </c>
      <c r="C130" s="517"/>
      <c r="D130" s="517"/>
      <c r="E130" s="517"/>
      <c r="F130" s="517"/>
      <c r="G130" s="517"/>
      <c r="H130" s="517"/>
      <c r="I130" s="505">
        <f>SUM(K116,K118,I112:M112)</f>
        <v>0</v>
      </c>
      <c r="J130" s="505"/>
      <c r="L130" s="226">
        <v>0.25</v>
      </c>
      <c r="M130" s="225">
        <f t="shared" si="14"/>
        <v>29377.184000000008</v>
      </c>
    </row>
    <row r="131" spans="1:13" ht="15.75" x14ac:dyDescent="0.3">
      <c r="A131" s="192">
        <v>6</v>
      </c>
      <c r="B131" s="518" t="s">
        <v>164</v>
      </c>
      <c r="C131" s="518"/>
      <c r="D131" s="518"/>
      <c r="E131" s="518"/>
      <c r="F131" s="518"/>
      <c r="G131" s="518"/>
      <c r="H131" s="518"/>
      <c r="I131" s="505">
        <f>SUM(K122)</f>
        <v>0</v>
      </c>
      <c r="J131" s="505"/>
      <c r="K131" s="157"/>
      <c r="L131" s="227">
        <v>0.3</v>
      </c>
      <c r="M131" s="225">
        <f t="shared" si="14"/>
        <v>30540.271360000006</v>
      </c>
    </row>
    <row r="132" spans="1:13" ht="15.75" x14ac:dyDescent="0.3">
      <c r="A132" s="192">
        <v>7</v>
      </c>
      <c r="B132" s="519" t="s">
        <v>118</v>
      </c>
      <c r="C132" s="519"/>
      <c r="D132" s="519"/>
      <c r="E132" s="519"/>
      <c r="F132" s="519"/>
      <c r="G132" s="519"/>
      <c r="H132" s="519"/>
      <c r="I132" s="505">
        <f>SUM(L85)</f>
        <v>0</v>
      </c>
      <c r="J132" s="505"/>
      <c r="L132" s="224">
        <v>0.35</v>
      </c>
      <c r="M132" s="225">
        <f t="shared" si="14"/>
        <v>31703.358720000007</v>
      </c>
    </row>
    <row r="133" spans="1:13" ht="15.75" x14ac:dyDescent="0.3">
      <c r="A133" s="192">
        <v>8</v>
      </c>
      <c r="B133" s="515" t="s">
        <v>165</v>
      </c>
      <c r="C133" s="515"/>
      <c r="D133" s="515"/>
      <c r="E133" s="515"/>
      <c r="F133" s="515"/>
      <c r="G133" s="515"/>
      <c r="H133" s="515"/>
      <c r="I133" s="505">
        <f>SUM(M107)</f>
        <v>4173.3279999999995</v>
      </c>
      <c r="J133" s="505"/>
    </row>
    <row r="134" spans="1:13" ht="15.75" x14ac:dyDescent="0.3">
      <c r="A134" s="192">
        <v>9</v>
      </c>
      <c r="B134" s="515" t="s">
        <v>166</v>
      </c>
      <c r="C134" s="515"/>
      <c r="D134" s="515"/>
      <c r="E134" s="515"/>
      <c r="F134" s="515"/>
      <c r="G134" s="515"/>
      <c r="H134" s="515"/>
      <c r="I134" s="505">
        <f>SUM(K117)</f>
        <v>0</v>
      </c>
      <c r="J134" s="505"/>
    </row>
    <row r="135" spans="1:13" ht="15.75" x14ac:dyDescent="0.3">
      <c r="A135" s="192"/>
      <c r="B135" s="516" t="s">
        <v>167</v>
      </c>
      <c r="C135" s="516"/>
      <c r="D135" s="516"/>
      <c r="E135" s="516"/>
      <c r="F135" s="516"/>
      <c r="G135" s="516"/>
      <c r="H135" s="516"/>
      <c r="I135" s="505">
        <f>SUM(L73)</f>
        <v>300</v>
      </c>
      <c r="J135" s="505"/>
    </row>
    <row r="136" spans="1:13" ht="15.75" x14ac:dyDescent="0.3">
      <c r="A136" s="192"/>
      <c r="B136" s="488"/>
      <c r="C136" s="488"/>
      <c r="D136" s="488"/>
      <c r="E136" s="488"/>
      <c r="F136" s="488"/>
      <c r="G136" s="488"/>
      <c r="H136" s="488"/>
      <c r="I136" s="500"/>
      <c r="J136" s="501"/>
    </row>
    <row r="137" spans="1:13" ht="15.75" x14ac:dyDescent="0.3">
      <c r="E137" s="502" t="s">
        <v>168</v>
      </c>
      <c r="F137" s="503"/>
      <c r="G137" s="503"/>
      <c r="H137" s="504"/>
      <c r="I137" s="505">
        <f>SUM(I126:J136)</f>
        <v>23561.747200000005</v>
      </c>
      <c r="J137" s="505"/>
      <c r="L137" s="463"/>
      <c r="M137" s="463"/>
    </row>
    <row r="139" spans="1:13" ht="15.75" x14ac:dyDescent="0.3">
      <c r="B139" s="506" t="s">
        <v>80</v>
      </c>
      <c r="C139" s="506"/>
      <c r="D139" s="507">
        <f>D7</f>
        <v>0</v>
      </c>
      <c r="E139" s="508"/>
      <c r="F139" s="509"/>
      <c r="G139" s="510" t="s">
        <v>81</v>
      </c>
      <c r="H139" s="511"/>
      <c r="I139" s="512"/>
      <c r="J139" s="513" t="str">
        <f>J7</f>
        <v xml:space="preserve">Лед вода </v>
      </c>
      <c r="K139" s="514"/>
      <c r="L139" s="514"/>
      <c r="M139" s="514"/>
    </row>
    <row r="140" spans="1:13" ht="15.75" x14ac:dyDescent="0.3">
      <c r="B140" s="228"/>
      <c r="C140" s="228"/>
      <c r="D140" s="228"/>
      <c r="E140" s="228"/>
      <c r="F140" s="228"/>
      <c r="G140" s="497" t="s">
        <v>82</v>
      </c>
      <c r="H140" s="497"/>
      <c r="I140" s="497"/>
      <c r="J140" s="498">
        <f>J8</f>
        <v>0</v>
      </c>
      <c r="K140" s="499"/>
      <c r="L140" s="499"/>
      <c r="M140" s="499"/>
    </row>
  </sheetData>
  <mergeCells count="135">
    <mergeCell ref="B4:C4"/>
    <mergeCell ref="D4:M4"/>
    <mergeCell ref="B5:C5"/>
    <mergeCell ref="D5:M5"/>
    <mergeCell ref="B7:C7"/>
    <mergeCell ref="D7:F7"/>
    <mergeCell ref="G7:I7"/>
    <mergeCell ref="J7:M7"/>
    <mergeCell ref="B14:E14"/>
    <mergeCell ref="H14:I14"/>
    <mergeCell ref="B15:E15"/>
    <mergeCell ref="B16:E16"/>
    <mergeCell ref="B17:E17"/>
    <mergeCell ref="B18:E18"/>
    <mergeCell ref="G8:I8"/>
    <mergeCell ref="J8:M8"/>
    <mergeCell ref="B9:D9"/>
    <mergeCell ref="E9:M9"/>
    <mergeCell ref="A11:M11"/>
    <mergeCell ref="B13:E13"/>
    <mergeCell ref="H13:I13"/>
    <mergeCell ref="B42:E42"/>
    <mergeCell ref="B43:E43"/>
    <mergeCell ref="B44:E44"/>
    <mergeCell ref="B45:E45"/>
    <mergeCell ref="B46:E46"/>
    <mergeCell ref="B47:E47"/>
    <mergeCell ref="B19:E19"/>
    <mergeCell ref="B20:E20"/>
    <mergeCell ref="A22:M22"/>
    <mergeCell ref="K23:K24"/>
    <mergeCell ref="A39:M39"/>
    <mergeCell ref="B41:E41"/>
    <mergeCell ref="B54:E54"/>
    <mergeCell ref="B55:E55"/>
    <mergeCell ref="B56:E56"/>
    <mergeCell ref="B57:E57"/>
    <mergeCell ref="B58:E58"/>
    <mergeCell ref="A62:M62"/>
    <mergeCell ref="B48:E48"/>
    <mergeCell ref="B49:E49"/>
    <mergeCell ref="B50:E50"/>
    <mergeCell ref="B51:E51"/>
    <mergeCell ref="B52:E52"/>
    <mergeCell ref="B53:E53"/>
    <mergeCell ref="B70:E70"/>
    <mergeCell ref="B71:E71"/>
    <mergeCell ref="A74:M74"/>
    <mergeCell ref="B76:E76"/>
    <mergeCell ref="B77:E77"/>
    <mergeCell ref="B78:E78"/>
    <mergeCell ref="B64:E64"/>
    <mergeCell ref="B65:E65"/>
    <mergeCell ref="B66:E66"/>
    <mergeCell ref="B67:E67"/>
    <mergeCell ref="B68:E68"/>
    <mergeCell ref="B69:E69"/>
    <mergeCell ref="K87:K88"/>
    <mergeCell ref="B89:C89"/>
    <mergeCell ref="B90:C90"/>
    <mergeCell ref="B91:C91"/>
    <mergeCell ref="B92:C92"/>
    <mergeCell ref="A93:M93"/>
    <mergeCell ref="B79:E79"/>
    <mergeCell ref="B80:E80"/>
    <mergeCell ref="B81:E81"/>
    <mergeCell ref="B82:E82"/>
    <mergeCell ref="B83:E83"/>
    <mergeCell ref="A86:M86"/>
    <mergeCell ref="B101:E101"/>
    <mergeCell ref="B102:E102"/>
    <mergeCell ref="B103:E103"/>
    <mergeCell ref="B104:E104"/>
    <mergeCell ref="B105:E105"/>
    <mergeCell ref="H109:M109"/>
    <mergeCell ref="B95:C95"/>
    <mergeCell ref="B96:C96"/>
    <mergeCell ref="B97:M97"/>
    <mergeCell ref="B98:E98"/>
    <mergeCell ref="B99:E99"/>
    <mergeCell ref="B100:E100"/>
    <mergeCell ref="B116:E116"/>
    <mergeCell ref="I116:J116"/>
    <mergeCell ref="B117:E117"/>
    <mergeCell ref="I117:J117"/>
    <mergeCell ref="B118:E118"/>
    <mergeCell ref="I118:J118"/>
    <mergeCell ref="B111:E111"/>
    <mergeCell ref="B112:E112"/>
    <mergeCell ref="B113:E113"/>
    <mergeCell ref="B114:E114"/>
    <mergeCell ref="I114:J114"/>
    <mergeCell ref="B115:E115"/>
    <mergeCell ref="I115:J115"/>
    <mergeCell ref="L125:M125"/>
    <mergeCell ref="B126:H126"/>
    <mergeCell ref="I126:J126"/>
    <mergeCell ref="B119:E119"/>
    <mergeCell ref="I119:J119"/>
    <mergeCell ref="B120:E120"/>
    <mergeCell ref="B121:E121"/>
    <mergeCell ref="I122:J122"/>
    <mergeCell ref="L122:M122"/>
    <mergeCell ref="B127:H127"/>
    <mergeCell ref="I127:J127"/>
    <mergeCell ref="B128:H128"/>
    <mergeCell ref="I128:J128"/>
    <mergeCell ref="B129:H129"/>
    <mergeCell ref="I129:J129"/>
    <mergeCell ref="I124:J124"/>
    <mergeCell ref="B125:H125"/>
    <mergeCell ref="I125:J125"/>
    <mergeCell ref="B133:H133"/>
    <mergeCell ref="I133:J133"/>
    <mergeCell ref="B134:H134"/>
    <mergeCell ref="I134:J134"/>
    <mergeCell ref="B135:H135"/>
    <mergeCell ref="I135:J135"/>
    <mergeCell ref="B130:H130"/>
    <mergeCell ref="I130:J130"/>
    <mergeCell ref="B131:H131"/>
    <mergeCell ref="I131:J131"/>
    <mergeCell ref="B132:H132"/>
    <mergeCell ref="I132:J132"/>
    <mergeCell ref="G140:I140"/>
    <mergeCell ref="J140:M140"/>
    <mergeCell ref="B136:H136"/>
    <mergeCell ref="I136:J136"/>
    <mergeCell ref="E137:H137"/>
    <mergeCell ref="I137:J137"/>
    <mergeCell ref="L137:M137"/>
    <mergeCell ref="B139:C139"/>
    <mergeCell ref="D139:F139"/>
    <mergeCell ref="G139:I139"/>
    <mergeCell ref="J139:M139"/>
  </mergeCells>
  <conditionalFormatting sqref="H109:M112">
    <cfRule type="expression" dxfId="1" priority="2">
      <formula>AND($K$116=0,$K$118=0)</formula>
    </cfRule>
  </conditionalFormatting>
  <conditionalFormatting sqref="H109">
    <cfRule type="expression" dxfId="0" priority="1">
      <formula>AND($K$116=0,$K$118=0)</formula>
    </cfRule>
  </conditionalFormatting>
  <dataValidations count="11">
    <dataValidation type="list" allowBlank="1" showInputMessage="1" showErrorMessage="1" sqref="C25:C36">
      <formula1>"Дно, цилиндр, крышка, рубашка, Доп. Листы, Другое"</formula1>
    </dataValidation>
    <dataValidation type="list" allowBlank="1" showInputMessage="1" showErrorMessage="1" sqref="G99:G105 K99">
      <formula1>"кг, шт"</formula1>
    </dataValidation>
    <dataValidation type="list" allowBlank="1" showInputMessage="1" showErrorMessage="1" sqref="B95:C96">
      <formula1>"Минеральная вата, Пенополиуретан, Армофлекс"</formula1>
    </dataValidation>
    <dataValidation type="list" allowBlank="1" showInputMessage="1" showErrorMessage="1" sqref="F89">
      <formula1>"AISI 304 2В, AISI 304 Зерк, AISI 304 Шлиф, AISI 430 Павлин, Профнастил, Алюминий, Оцинковка"</formula1>
    </dataValidation>
    <dataValidation type="list" allowBlank="1" showInputMessage="1" showErrorMessage="1" sqref="B89:C89">
      <formula1>"Дно, цилиндр, крышка, Доп. Листы"</formula1>
    </dataValidation>
    <dataValidation type="list" allowBlank="1" showInputMessage="1" showErrorMessage="1" sqref="K42:K58 G77:G83 G42 G65:G71">
      <formula1>"за Кг, за м2, за Шт, за м\п, за комплект, за м3,"</formula1>
    </dataValidation>
    <dataValidation type="list" allowBlank="1" showInputMessage="1" showErrorMessage="1" sqref="G43:G58">
      <formula1>"м2, Шт, м\п, комплект, м3,"</formula1>
    </dataValidation>
    <dataValidation type="list" allowBlank="1" showInputMessage="1" showErrorMessage="1" sqref="B90:C92">
      <formula1>"Дно, цилиндр, крышка, рубашка, Доп. Листы"</formula1>
    </dataValidation>
    <dataValidation type="list" allowBlank="1" showInputMessage="1" showErrorMessage="1" sqref="K89:K92 K25:K36">
      <formula1>"за Шт, за Кг"</formula1>
    </dataValidation>
    <dataValidation type="list" allowBlank="1" showInputMessage="1" showErrorMessage="1" sqref="G25:G36 G89:G92">
      <formula1>"м2, Шт"</formula1>
    </dataValidation>
    <dataValidation type="list" allowBlank="1" showInputMessage="1" showErrorMessage="1" sqref="F77:F83 F99:F105 F90:F92 F25:F36 F42:F58 F65:F71">
      <formula1>"AISI 304, AISI 321, AISI 316 L, AISI 316 Ti, AISI 430, S235, S235A"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L20"/>
  <sheetViews>
    <sheetView workbookViewId="0">
      <selection activeCell="K24" sqref="K24"/>
    </sheetView>
  </sheetViews>
  <sheetFormatPr defaultRowHeight="15" x14ac:dyDescent="0.25"/>
  <cols>
    <col min="12" max="12" width="18.7109375" customWidth="1"/>
  </cols>
  <sheetData>
    <row r="11" spans="2:12" x14ac:dyDescent="0.25">
      <c r="B11" t="s">
        <v>238</v>
      </c>
    </row>
    <row r="12" spans="2:12" x14ac:dyDescent="0.25">
      <c r="C12">
        <f>(F20*9.8/0.601815)*H13/1000</f>
        <v>3.2568148018909469</v>
      </c>
      <c r="D12" t="s">
        <v>239</v>
      </c>
      <c r="H12" s="338" t="s">
        <v>240</v>
      </c>
      <c r="L12" s="338" t="s">
        <v>241</v>
      </c>
    </row>
    <row r="13" spans="2:12" x14ac:dyDescent="0.25">
      <c r="H13" s="232">
        <v>1</v>
      </c>
      <c r="L13" s="232">
        <v>800</v>
      </c>
    </row>
    <row r="14" spans="2:12" x14ac:dyDescent="0.25">
      <c r="B14" t="s">
        <v>242</v>
      </c>
    </row>
    <row r="15" spans="2:12" x14ac:dyDescent="0.25">
      <c r="C15">
        <f>H13/(L13*0.001*3.14159)*60</f>
        <v>23.873261628665738</v>
      </c>
      <c r="D15" t="s">
        <v>243</v>
      </c>
      <c r="I15" s="338" t="s">
        <v>244</v>
      </c>
    </row>
    <row r="16" spans="2:12" x14ac:dyDescent="0.25">
      <c r="I16" s="232">
        <v>30</v>
      </c>
      <c r="L16" t="s">
        <v>245</v>
      </c>
    </row>
    <row r="19" spans="6:6" x14ac:dyDescent="0.25">
      <c r="F19" s="338" t="s">
        <v>246</v>
      </c>
    </row>
    <row r="20" spans="6:6" x14ac:dyDescent="0.25">
      <c r="F20" s="232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торосверическое донышко</vt:lpstr>
      <vt:lpstr>Вариант1</vt:lpstr>
      <vt:lpstr>Лист2</vt:lpstr>
      <vt:lpstr>Лист3</vt:lpstr>
      <vt:lpstr>Вариант1!Область_печати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Andrey Chichur</cp:lastModifiedBy>
  <cp:lastPrinted>2012-07-02T05:54:23Z</cp:lastPrinted>
  <dcterms:created xsi:type="dcterms:W3CDTF">2010-04-09T07:46:56Z</dcterms:created>
  <dcterms:modified xsi:type="dcterms:W3CDTF">2016-01-14T12:37:59Z</dcterms:modified>
</cp:coreProperties>
</file>