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eroxl\UniServerZ\vhosts\jamkridasulsel\desktop-utils\print\_reports\"/>
    </mc:Choice>
  </mc:AlternateContent>
  <workbookProtection lockStructure="1"/>
  <bookViews>
    <workbookView xWindow="0" yWindow="0" windowWidth="20490" windowHeight="7935" tabRatio="936" activeTab="11"/>
  </bookViews>
  <sheets>
    <sheet name="Data Umum" sheetId="1" r:id="rId1"/>
    <sheet name="Cover" sheetId="2" r:id="rId2"/>
    <sheet name="Validasi" sheetId="3" r:id="rId3"/>
    <sheet name="LIPJ" sheetId="4" r:id="rId4"/>
    <sheet name="LPKPJ" sheetId="5" r:id="rId5"/>
    <sheet name="RIDPJ" sheetId="6" r:id="rId6"/>
    <sheet name="RISBPJ" sheetId="7" r:id="rId7"/>
    <sheet name="RISBPJ2" sheetId="8" r:id="rId8"/>
    <sheet name="RIPPJ" sheetId="9" r:id="rId9"/>
    <sheet name="RIPCOPJ" sheetId="10" r:id="rId10"/>
    <sheet name="RIPCOPJ2" sheetId="11" r:id="rId11"/>
    <sheet name="LLRPJ" sheetId="12" r:id="rId12"/>
    <sheet name="LAKPJ" sheetId="13" r:id="rId13"/>
    <sheet name="LGRPJ" sheetId="14" r:id="rId14"/>
    <sheet name="LPJKPJ" sheetId="15" r:id="rId15"/>
    <sheet name="LKPJ" sheetId="16" r:id="rId16"/>
    <sheet name="LBNPGPJ" sheetId="17" r:id="rId17"/>
    <sheet name="LKPKPJ" sheetId="18" r:id="rId18"/>
    <sheet name="LPAPJ" sheetId="19" r:id="rId19"/>
    <sheet name="LAKALPJ" sheetId="20" r:id="rId20"/>
    <sheet name="LAKALPJ1" sheetId="21" r:id="rId21"/>
  </sheets>
  <definedNames>
    <definedName name="_xlnm.Print_Area" localSheetId="14">LPJKPJ!$A$2:$P$37</definedName>
    <definedName name="_xlnm.Print_Area" localSheetId="4">LPKPJ!$A$1:$F$75</definedName>
    <definedName name="_xlnm.Print_Area" localSheetId="5">RIDPJ!$A$1:$K$73</definedName>
    <definedName name="_xlnm.Print_Area" localSheetId="10">RIPCOPJ2!$A$3:$J$28</definedName>
    <definedName name="_xlnm.Print_Area" localSheetId="2">Validasi!$A$1:$J$27</definedName>
  </definedNames>
  <calcPr calcId="152511"/>
</workbook>
</file>

<file path=xl/calcChain.xml><?xml version="1.0" encoding="utf-8"?>
<calcChain xmlns="http://schemas.openxmlformats.org/spreadsheetml/2006/main">
  <c r="F17" i="21" l="1"/>
  <c r="E17" i="21"/>
  <c r="F16" i="21"/>
  <c r="E16" i="21"/>
  <c r="G14" i="21"/>
  <c r="F14" i="21"/>
  <c r="E14" i="21"/>
  <c r="C7" i="21"/>
  <c r="I20" i="20"/>
  <c r="H20" i="20"/>
  <c r="F20" i="20"/>
  <c r="E20" i="20"/>
  <c r="L19" i="20"/>
  <c r="K19" i="20"/>
  <c r="J19" i="20"/>
  <c r="G19" i="20"/>
  <c r="L18" i="20"/>
  <c r="K18" i="20"/>
  <c r="J18" i="20"/>
  <c r="G18" i="20"/>
  <c r="L17" i="20"/>
  <c r="K17" i="20"/>
  <c r="J17" i="20"/>
  <c r="G17" i="20"/>
  <c r="L16" i="20"/>
  <c r="K16" i="20"/>
  <c r="J16" i="20"/>
  <c r="J20" i="20" s="1"/>
  <c r="G16" i="20"/>
  <c r="M15" i="20"/>
  <c r="L15" i="20"/>
  <c r="K15" i="20"/>
  <c r="J15" i="20"/>
  <c r="I15" i="20"/>
  <c r="H15" i="20"/>
  <c r="G15" i="20"/>
  <c r="F15" i="20"/>
  <c r="E15" i="20"/>
  <c r="K14" i="20"/>
  <c r="H14" i="20"/>
  <c r="E14" i="20"/>
  <c r="C7" i="20"/>
  <c r="F20" i="19"/>
  <c r="F26" i="4" s="1"/>
  <c r="E20" i="19"/>
  <c r="E19" i="19"/>
  <c r="E18" i="19"/>
  <c r="F17" i="19"/>
  <c r="E16" i="19"/>
  <c r="F14" i="19"/>
  <c r="E14" i="19"/>
  <c r="C7" i="19"/>
  <c r="O43" i="18"/>
  <c r="M43" i="18"/>
  <c r="L43" i="18"/>
  <c r="K43" i="18"/>
  <c r="J43" i="18"/>
  <c r="I43" i="18"/>
  <c r="H43" i="18"/>
  <c r="G43" i="18"/>
  <c r="F43" i="18"/>
  <c r="E43" i="18"/>
  <c r="O42" i="18"/>
  <c r="M42" i="18"/>
  <c r="L42" i="18"/>
  <c r="K42" i="18"/>
  <c r="J42" i="18"/>
  <c r="I42" i="18"/>
  <c r="H42" i="18"/>
  <c r="G42" i="18"/>
  <c r="F42" i="18"/>
  <c r="E42" i="18"/>
  <c r="O41" i="18"/>
  <c r="M41" i="18"/>
  <c r="L41" i="18"/>
  <c r="K41" i="18"/>
  <c r="J41" i="18"/>
  <c r="I41" i="18"/>
  <c r="H41" i="18"/>
  <c r="G41" i="18"/>
  <c r="F41" i="18"/>
  <c r="E41" i="18"/>
  <c r="O40" i="18"/>
  <c r="M40" i="18"/>
  <c r="L40" i="18"/>
  <c r="K40" i="18"/>
  <c r="J40" i="18"/>
  <c r="I40" i="18"/>
  <c r="H40" i="18"/>
  <c r="G40" i="18"/>
  <c r="F40" i="18"/>
  <c r="E40" i="18"/>
  <c r="O39" i="18"/>
  <c r="M39" i="18"/>
  <c r="L39" i="18"/>
  <c r="K39" i="18"/>
  <c r="J39" i="18"/>
  <c r="I39" i="18"/>
  <c r="H39" i="18"/>
  <c r="G39" i="18"/>
  <c r="F39" i="18"/>
  <c r="E39" i="18"/>
  <c r="O38" i="18"/>
  <c r="M38" i="18"/>
  <c r="L38" i="18"/>
  <c r="K38" i="18"/>
  <c r="J38" i="18"/>
  <c r="I38" i="18"/>
  <c r="H38" i="18"/>
  <c r="G38" i="18"/>
  <c r="F38" i="18"/>
  <c r="E38" i="18"/>
  <c r="P37" i="18"/>
  <c r="N37" i="18"/>
  <c r="P36" i="18"/>
  <c r="O36" i="18"/>
  <c r="N36" i="18"/>
  <c r="M36" i="18"/>
  <c r="K36" i="18"/>
  <c r="I36" i="18"/>
  <c r="G36" i="18"/>
  <c r="E36" i="18"/>
  <c r="P35" i="18"/>
  <c r="O35" i="18"/>
  <c r="N35" i="18"/>
  <c r="M35" i="18"/>
  <c r="K35" i="18"/>
  <c r="I35" i="18"/>
  <c r="G35" i="18"/>
  <c r="E35" i="18"/>
  <c r="P34" i="18"/>
  <c r="O34" i="18"/>
  <c r="N34" i="18"/>
  <c r="M34" i="18"/>
  <c r="K34" i="18"/>
  <c r="I34" i="18"/>
  <c r="G34" i="18"/>
  <c r="E34" i="18"/>
  <c r="P33" i="18"/>
  <c r="O33" i="18"/>
  <c r="N33" i="18"/>
  <c r="M33" i="18"/>
  <c r="K33" i="18"/>
  <c r="I33" i="18"/>
  <c r="G33" i="18"/>
  <c r="E33" i="18"/>
  <c r="P32" i="18"/>
  <c r="O32" i="18"/>
  <c r="N32" i="18"/>
  <c r="M32" i="18"/>
  <c r="K32" i="18"/>
  <c r="I32" i="18"/>
  <c r="G32" i="18"/>
  <c r="E32" i="18"/>
  <c r="P31" i="18"/>
  <c r="O31" i="18"/>
  <c r="N31" i="18"/>
  <c r="M31" i="18"/>
  <c r="K31" i="18"/>
  <c r="I31" i="18"/>
  <c r="G31" i="18"/>
  <c r="E31" i="18"/>
  <c r="P30" i="18"/>
  <c r="N30" i="18"/>
  <c r="L30" i="18"/>
  <c r="J30" i="18"/>
  <c r="H30" i="18"/>
  <c r="F30" i="18"/>
  <c r="P29" i="18"/>
  <c r="O29" i="18"/>
  <c r="N29" i="18"/>
  <c r="M29" i="18"/>
  <c r="K29" i="18"/>
  <c r="I29" i="18"/>
  <c r="G29" i="18"/>
  <c r="E29" i="18"/>
  <c r="P28" i="18"/>
  <c r="O28" i="18"/>
  <c r="N28" i="18"/>
  <c r="M28" i="18"/>
  <c r="K28" i="18"/>
  <c r="I28" i="18"/>
  <c r="G28" i="18"/>
  <c r="E28" i="18"/>
  <c r="P27" i="18"/>
  <c r="O27" i="18"/>
  <c r="N27" i="18"/>
  <c r="M27" i="18"/>
  <c r="K27" i="18"/>
  <c r="I27" i="18"/>
  <c r="G27" i="18"/>
  <c r="E27" i="18"/>
  <c r="P26" i="18"/>
  <c r="O26" i="18"/>
  <c r="N26" i="18"/>
  <c r="M26" i="18"/>
  <c r="K26" i="18"/>
  <c r="I26" i="18"/>
  <c r="G26" i="18"/>
  <c r="E26" i="18"/>
  <c r="P25" i="18"/>
  <c r="O25" i="18"/>
  <c r="N25" i="18"/>
  <c r="M25" i="18"/>
  <c r="K25" i="18"/>
  <c r="I25" i="18"/>
  <c r="G25" i="18"/>
  <c r="E25" i="18"/>
  <c r="P24" i="18"/>
  <c r="O24" i="18"/>
  <c r="N24" i="18"/>
  <c r="M24" i="18"/>
  <c r="K24" i="18"/>
  <c r="I24" i="18"/>
  <c r="G24" i="18"/>
  <c r="E24" i="18"/>
  <c r="P23" i="18"/>
  <c r="N23" i="18"/>
  <c r="L23" i="18"/>
  <c r="J23" i="18"/>
  <c r="H23" i="18"/>
  <c r="F23" i="18"/>
  <c r="P22" i="18"/>
  <c r="O22" i="18"/>
  <c r="N22" i="18"/>
  <c r="M22" i="18"/>
  <c r="K22" i="18"/>
  <c r="I22" i="18"/>
  <c r="G22" i="18"/>
  <c r="E22" i="18"/>
  <c r="P21" i="18"/>
  <c r="O21" i="18"/>
  <c r="N21" i="18"/>
  <c r="M21" i="18"/>
  <c r="K21" i="18"/>
  <c r="I21" i="18"/>
  <c r="G21" i="18"/>
  <c r="E21" i="18"/>
  <c r="P20" i="18"/>
  <c r="O20" i="18"/>
  <c r="N20" i="18"/>
  <c r="M20" i="18"/>
  <c r="K20" i="18"/>
  <c r="I20" i="18"/>
  <c r="G20" i="18"/>
  <c r="E20" i="18"/>
  <c r="P19" i="18"/>
  <c r="O19" i="18"/>
  <c r="N19" i="18"/>
  <c r="M19" i="18"/>
  <c r="K19" i="18"/>
  <c r="I19" i="18"/>
  <c r="G19" i="18"/>
  <c r="E19" i="18"/>
  <c r="P18" i="18"/>
  <c r="O18" i="18"/>
  <c r="N18" i="18"/>
  <c r="M18" i="18"/>
  <c r="K18" i="18"/>
  <c r="I18" i="18"/>
  <c r="G18" i="18"/>
  <c r="E18" i="18"/>
  <c r="P17" i="18"/>
  <c r="O17" i="18"/>
  <c r="N17" i="18"/>
  <c r="M17" i="18"/>
  <c r="K17" i="18"/>
  <c r="I17" i="18"/>
  <c r="G17" i="18"/>
  <c r="E17" i="18"/>
  <c r="P16" i="18"/>
  <c r="N16" i="18"/>
  <c r="L16" i="18"/>
  <c r="J16" i="18"/>
  <c r="H16" i="18"/>
  <c r="F16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M14" i="18"/>
  <c r="I14" i="18"/>
  <c r="E14" i="18"/>
  <c r="C7" i="18"/>
  <c r="H14" i="17"/>
  <c r="G14" i="17"/>
  <c r="F14" i="17"/>
  <c r="E14" i="17"/>
  <c r="C7" i="17"/>
  <c r="I23" i="16"/>
  <c r="G23" i="16"/>
  <c r="E23" i="16"/>
  <c r="I22" i="16"/>
  <c r="H22" i="16"/>
  <c r="G22" i="16"/>
  <c r="F22" i="16"/>
  <c r="E22" i="16"/>
  <c r="I21" i="16"/>
  <c r="H21" i="16"/>
  <c r="G21" i="16"/>
  <c r="F21" i="16"/>
  <c r="E21" i="16"/>
  <c r="J20" i="16"/>
  <c r="I20" i="16"/>
  <c r="G20" i="16"/>
  <c r="E20" i="16"/>
  <c r="J19" i="16"/>
  <c r="I19" i="16"/>
  <c r="G19" i="16"/>
  <c r="E19" i="16"/>
  <c r="J18" i="16"/>
  <c r="I18" i="16"/>
  <c r="G18" i="16"/>
  <c r="E18" i="16"/>
  <c r="J17" i="16"/>
  <c r="I17" i="16"/>
  <c r="G17" i="16"/>
  <c r="E17" i="16"/>
  <c r="J16" i="16"/>
  <c r="I16" i="16"/>
  <c r="G16" i="16"/>
  <c r="E16" i="16"/>
  <c r="J14" i="16"/>
  <c r="I14" i="16"/>
  <c r="H14" i="16"/>
  <c r="G14" i="16"/>
  <c r="F14" i="16"/>
  <c r="E14" i="16"/>
  <c r="C7" i="16"/>
  <c r="O35" i="15"/>
  <c r="M35" i="15"/>
  <c r="L35" i="15"/>
  <c r="K35" i="15"/>
  <c r="J35" i="15"/>
  <c r="I35" i="15"/>
  <c r="H35" i="15"/>
  <c r="G35" i="15"/>
  <c r="F35" i="15"/>
  <c r="E35" i="15"/>
  <c r="O34" i="15"/>
  <c r="M34" i="15"/>
  <c r="L34" i="15"/>
  <c r="K34" i="15"/>
  <c r="J34" i="15"/>
  <c r="I34" i="15"/>
  <c r="H34" i="15"/>
  <c r="G34" i="15"/>
  <c r="F34" i="15"/>
  <c r="E34" i="15"/>
  <c r="O33" i="15"/>
  <c r="M33" i="15"/>
  <c r="L33" i="15"/>
  <c r="K33" i="15"/>
  <c r="J33" i="15"/>
  <c r="I33" i="15"/>
  <c r="H33" i="15"/>
  <c r="G33" i="15"/>
  <c r="F33" i="15"/>
  <c r="E33" i="15"/>
  <c r="O32" i="15"/>
  <c r="M32" i="15"/>
  <c r="L32" i="15"/>
  <c r="K32" i="15"/>
  <c r="J32" i="15"/>
  <c r="I32" i="15"/>
  <c r="H32" i="15"/>
  <c r="G32" i="15"/>
  <c r="F32" i="15"/>
  <c r="E32" i="15"/>
  <c r="P31" i="15"/>
  <c r="N31" i="15"/>
  <c r="P30" i="15"/>
  <c r="O30" i="15"/>
  <c r="N30" i="15"/>
  <c r="M30" i="15"/>
  <c r="K30" i="15"/>
  <c r="I30" i="15"/>
  <c r="G30" i="15"/>
  <c r="E30" i="15"/>
  <c r="P29" i="15"/>
  <c r="O29" i="15"/>
  <c r="N29" i="15"/>
  <c r="M29" i="15"/>
  <c r="K29" i="15"/>
  <c r="I29" i="15"/>
  <c r="G29" i="15"/>
  <c r="E29" i="15"/>
  <c r="P28" i="15"/>
  <c r="O28" i="15"/>
  <c r="N28" i="15"/>
  <c r="M28" i="15"/>
  <c r="K28" i="15"/>
  <c r="I28" i="15"/>
  <c r="G28" i="15"/>
  <c r="E28" i="15"/>
  <c r="P27" i="15"/>
  <c r="O27" i="15"/>
  <c r="N27" i="15"/>
  <c r="M27" i="15"/>
  <c r="K27" i="15"/>
  <c r="I27" i="15"/>
  <c r="G27" i="15"/>
  <c r="E27" i="15"/>
  <c r="P26" i="15"/>
  <c r="N26" i="15"/>
  <c r="L26" i="15"/>
  <c r="J26" i="15"/>
  <c r="H26" i="15"/>
  <c r="F26" i="15"/>
  <c r="P25" i="15"/>
  <c r="O25" i="15"/>
  <c r="N25" i="15"/>
  <c r="M25" i="15"/>
  <c r="K25" i="15"/>
  <c r="I25" i="15"/>
  <c r="G25" i="15"/>
  <c r="E25" i="15"/>
  <c r="P24" i="15"/>
  <c r="O24" i="15"/>
  <c r="N24" i="15"/>
  <c r="M24" i="15"/>
  <c r="K24" i="15"/>
  <c r="I24" i="15"/>
  <c r="G24" i="15"/>
  <c r="E24" i="15"/>
  <c r="P23" i="15"/>
  <c r="O23" i="15"/>
  <c r="N23" i="15"/>
  <c r="M23" i="15"/>
  <c r="K23" i="15"/>
  <c r="I23" i="15"/>
  <c r="G23" i="15"/>
  <c r="E23" i="15"/>
  <c r="P22" i="15"/>
  <c r="O22" i="15"/>
  <c r="N22" i="15"/>
  <c r="M22" i="15"/>
  <c r="K22" i="15"/>
  <c r="I22" i="15"/>
  <c r="G22" i="15"/>
  <c r="E22" i="15"/>
  <c r="P21" i="15"/>
  <c r="N21" i="15"/>
  <c r="L21" i="15"/>
  <c r="J21" i="15"/>
  <c r="H21" i="15"/>
  <c r="F21" i="15"/>
  <c r="P20" i="15"/>
  <c r="O20" i="15"/>
  <c r="N20" i="15"/>
  <c r="M20" i="15"/>
  <c r="K20" i="15"/>
  <c r="I20" i="15"/>
  <c r="G20" i="15"/>
  <c r="E20" i="15"/>
  <c r="P19" i="15"/>
  <c r="O19" i="15"/>
  <c r="N19" i="15"/>
  <c r="M19" i="15"/>
  <c r="K19" i="15"/>
  <c r="I19" i="15"/>
  <c r="G19" i="15"/>
  <c r="E19" i="15"/>
  <c r="P18" i="15"/>
  <c r="O18" i="15"/>
  <c r="N18" i="15"/>
  <c r="M18" i="15"/>
  <c r="K18" i="15"/>
  <c r="I18" i="15"/>
  <c r="G18" i="15"/>
  <c r="E18" i="15"/>
  <c r="P17" i="15"/>
  <c r="O17" i="15"/>
  <c r="N17" i="15"/>
  <c r="M17" i="15"/>
  <c r="K17" i="15"/>
  <c r="I17" i="15"/>
  <c r="G17" i="15"/>
  <c r="E17" i="15"/>
  <c r="P16" i="15"/>
  <c r="N16" i="15"/>
  <c r="L16" i="15"/>
  <c r="J16" i="15"/>
  <c r="H16" i="15"/>
  <c r="F16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M14" i="15"/>
  <c r="I14" i="15"/>
  <c r="E14" i="15"/>
  <c r="C7" i="15"/>
  <c r="I18" i="14"/>
  <c r="G18" i="14"/>
  <c r="E18" i="14"/>
  <c r="I17" i="14"/>
  <c r="G17" i="14"/>
  <c r="E17" i="14"/>
  <c r="J16" i="14"/>
  <c r="I16" i="14"/>
  <c r="G16" i="14"/>
  <c r="E16" i="14"/>
  <c r="J14" i="14"/>
  <c r="I14" i="14"/>
  <c r="H14" i="14"/>
  <c r="G14" i="14"/>
  <c r="F14" i="14"/>
  <c r="E14" i="14"/>
  <c r="C7" i="14"/>
  <c r="E41" i="13"/>
  <c r="E40" i="13"/>
  <c r="E39" i="13"/>
  <c r="E38" i="13"/>
  <c r="E37" i="13"/>
  <c r="E36" i="13"/>
  <c r="E35" i="13"/>
  <c r="E34" i="13"/>
  <c r="E33" i="13"/>
  <c r="F32" i="13"/>
  <c r="F38" i="13" s="1"/>
  <c r="E31" i="13"/>
  <c r="E30" i="13"/>
  <c r="E29" i="13"/>
  <c r="E28" i="13"/>
  <c r="E27" i="13"/>
  <c r="E26" i="13"/>
  <c r="F25" i="13"/>
  <c r="F31" i="13" s="1"/>
  <c r="E24" i="13"/>
  <c r="E23" i="13"/>
  <c r="E22" i="13"/>
  <c r="E21" i="13"/>
  <c r="E20" i="13"/>
  <c r="E19" i="13"/>
  <c r="E18" i="13"/>
  <c r="E17" i="13"/>
  <c r="F16" i="13"/>
  <c r="F24" i="13" s="1"/>
  <c r="F14" i="13"/>
  <c r="E14" i="13"/>
  <c r="C7" i="13"/>
  <c r="E60" i="12"/>
  <c r="E59" i="12"/>
  <c r="E58" i="12"/>
  <c r="E57" i="12"/>
  <c r="E56" i="12"/>
  <c r="F55" i="12"/>
  <c r="F53" i="12" s="1"/>
  <c r="E54" i="12"/>
  <c r="E52" i="12"/>
  <c r="E51" i="12"/>
  <c r="E50" i="12"/>
  <c r="E49" i="12"/>
  <c r="F48" i="12"/>
  <c r="F51" i="12" s="1"/>
  <c r="E47" i="12"/>
  <c r="E46" i="12"/>
  <c r="E45" i="12"/>
  <c r="E44" i="12"/>
  <c r="E43" i="12"/>
  <c r="E42" i="12"/>
  <c r="E41" i="12"/>
  <c r="E40" i="12"/>
  <c r="E39" i="12"/>
  <c r="E38" i="12"/>
  <c r="F37" i="12"/>
  <c r="F46" i="12" s="1"/>
  <c r="E36" i="12"/>
  <c r="E35" i="12"/>
  <c r="E34" i="12"/>
  <c r="E33" i="12"/>
  <c r="E32" i="12"/>
  <c r="E31" i="12"/>
  <c r="E30" i="12"/>
  <c r="F29" i="12"/>
  <c r="F36" i="12" s="1"/>
  <c r="E28" i="12"/>
  <c r="E27" i="12"/>
  <c r="E26" i="12"/>
  <c r="E25" i="12"/>
  <c r="E24" i="12"/>
  <c r="E23" i="12"/>
  <c r="F22" i="12"/>
  <c r="F27" i="12" s="1"/>
  <c r="E21" i="12"/>
  <c r="E20" i="12"/>
  <c r="E19" i="12"/>
  <c r="E18" i="12"/>
  <c r="E17" i="12"/>
  <c r="F16" i="12"/>
  <c r="F21" i="12" s="1"/>
  <c r="F14" i="12"/>
  <c r="E14" i="12"/>
  <c r="C7" i="12"/>
  <c r="I26" i="11"/>
  <c r="H26" i="11"/>
  <c r="G26" i="11"/>
  <c r="F26" i="11"/>
  <c r="E26" i="11"/>
  <c r="I15" i="11"/>
  <c r="H15" i="11"/>
  <c r="G15" i="11"/>
  <c r="F15" i="11"/>
  <c r="E15" i="11"/>
  <c r="H14" i="11"/>
  <c r="E14" i="11"/>
  <c r="C11" i="11"/>
  <c r="C7" i="11"/>
  <c r="I26" i="10"/>
  <c r="H26" i="10"/>
  <c r="G26" i="10"/>
  <c r="F26" i="10"/>
  <c r="E26" i="10"/>
  <c r="I15" i="10"/>
  <c r="H15" i="10"/>
  <c r="G15" i="10"/>
  <c r="F15" i="10"/>
  <c r="E15" i="10"/>
  <c r="H14" i="10"/>
  <c r="E14" i="10"/>
  <c r="C7" i="10"/>
  <c r="K26" i="9"/>
  <c r="J26" i="9"/>
  <c r="I26" i="9"/>
  <c r="H26" i="9"/>
  <c r="G26" i="9"/>
  <c r="F26" i="9"/>
  <c r="E26" i="9"/>
  <c r="K15" i="9"/>
  <c r="J15" i="9"/>
  <c r="I15" i="9"/>
  <c r="H15" i="9"/>
  <c r="G15" i="9"/>
  <c r="F15" i="9"/>
  <c r="E15" i="9"/>
  <c r="J14" i="9"/>
  <c r="E14" i="9"/>
  <c r="C7" i="9"/>
  <c r="L26" i="8"/>
  <c r="K26" i="8"/>
  <c r="J26" i="8"/>
  <c r="I26" i="8"/>
  <c r="H26" i="8"/>
  <c r="G26" i="8"/>
  <c r="F26" i="8"/>
  <c r="E26" i="8"/>
  <c r="L15" i="8"/>
  <c r="K15" i="8"/>
  <c r="J15" i="8"/>
  <c r="I15" i="8"/>
  <c r="H15" i="8"/>
  <c r="G15" i="8"/>
  <c r="F15" i="8"/>
  <c r="E15" i="8"/>
  <c r="K14" i="8"/>
  <c r="I14" i="8"/>
  <c r="G14" i="8"/>
  <c r="E14" i="8"/>
  <c r="C7" i="8"/>
  <c r="L26" i="7"/>
  <c r="K26" i="7"/>
  <c r="J26" i="7"/>
  <c r="I26" i="7"/>
  <c r="H26" i="7"/>
  <c r="G26" i="7"/>
  <c r="F26" i="7"/>
  <c r="E26" i="7"/>
  <c r="L15" i="7"/>
  <c r="K15" i="7"/>
  <c r="J15" i="7"/>
  <c r="I15" i="7"/>
  <c r="H15" i="7"/>
  <c r="G15" i="7"/>
  <c r="F15" i="7"/>
  <c r="E15" i="7"/>
  <c r="K14" i="7"/>
  <c r="I14" i="7"/>
  <c r="G14" i="7"/>
  <c r="E14" i="7"/>
  <c r="C7" i="7"/>
  <c r="J71" i="6"/>
  <c r="I71" i="6"/>
  <c r="H71" i="6"/>
  <c r="G71" i="6"/>
  <c r="F71" i="6"/>
  <c r="E71" i="6"/>
  <c r="J15" i="6"/>
  <c r="I15" i="6"/>
  <c r="H15" i="6"/>
  <c r="G15" i="6"/>
  <c r="F15" i="6"/>
  <c r="E15" i="6"/>
  <c r="I14" i="6"/>
  <c r="H14" i="6"/>
  <c r="F14" i="6"/>
  <c r="E14" i="6"/>
  <c r="C7" i="6"/>
  <c r="E73" i="5"/>
  <c r="E72" i="5"/>
  <c r="E71" i="5"/>
  <c r="E70" i="5"/>
  <c r="E69" i="5"/>
  <c r="E68" i="5"/>
  <c r="E67" i="5"/>
  <c r="E66" i="5"/>
  <c r="E65" i="5"/>
  <c r="F64" i="5"/>
  <c r="E64" i="5"/>
  <c r="E63" i="5"/>
  <c r="E62" i="5"/>
  <c r="E61" i="5"/>
  <c r="F60" i="5"/>
  <c r="E60" i="5"/>
  <c r="E58" i="5"/>
  <c r="E57" i="5"/>
  <c r="E56" i="5"/>
  <c r="E55" i="5"/>
  <c r="E54" i="5"/>
  <c r="E53" i="5"/>
  <c r="E52" i="5"/>
  <c r="F51" i="5"/>
  <c r="F57" i="5" s="1"/>
  <c r="E50" i="5"/>
  <c r="E49" i="5"/>
  <c r="E48" i="5"/>
  <c r="E47" i="5"/>
  <c r="E46" i="5"/>
  <c r="E45" i="5"/>
  <c r="E44" i="5"/>
  <c r="E43" i="5"/>
  <c r="E42" i="5"/>
  <c r="E41" i="5"/>
  <c r="E40" i="5"/>
  <c r="F39" i="5"/>
  <c r="E37" i="5"/>
  <c r="E36" i="5"/>
  <c r="E35" i="5"/>
  <c r="E34" i="5"/>
  <c r="E33" i="5"/>
  <c r="E32" i="5"/>
  <c r="E31" i="5"/>
  <c r="E30" i="5"/>
  <c r="E29" i="5"/>
  <c r="E28" i="5"/>
  <c r="F27" i="5"/>
  <c r="F36" i="5" s="1"/>
  <c r="E26" i="5"/>
  <c r="E25" i="5"/>
  <c r="E24" i="5"/>
  <c r="E23" i="5"/>
  <c r="E22" i="5"/>
  <c r="E21" i="5"/>
  <c r="E20" i="5"/>
  <c r="E19" i="5"/>
  <c r="E18" i="5"/>
  <c r="F17" i="5"/>
  <c r="F26" i="5" s="1"/>
  <c r="F14" i="5"/>
  <c r="E14" i="5"/>
  <c r="C7" i="5"/>
  <c r="E26" i="4"/>
  <c r="E25" i="4"/>
  <c r="E24" i="4"/>
  <c r="E23" i="4"/>
  <c r="E22" i="4"/>
  <c r="F21" i="4"/>
  <c r="E21" i="4"/>
  <c r="E20" i="4"/>
  <c r="F19" i="4"/>
  <c r="E19" i="4"/>
  <c r="E18" i="4"/>
  <c r="E17" i="4"/>
  <c r="E16" i="4"/>
  <c r="F14" i="4"/>
  <c r="E14" i="4"/>
  <c r="C7" i="4"/>
  <c r="C33" i="2"/>
  <c r="C32" i="2"/>
  <c r="C31" i="2"/>
  <c r="C30" i="2"/>
  <c r="C22" i="2"/>
  <c r="D13" i="1"/>
  <c r="G3" i="1"/>
  <c r="G4" i="1" s="1"/>
  <c r="D12" i="1" s="1"/>
  <c r="F28" i="12" l="1"/>
  <c r="F47" i="12" s="1"/>
  <c r="F52" i="12" s="1"/>
  <c r="F58" i="12" s="1"/>
  <c r="F60" i="12" s="1"/>
  <c r="E17" i="19"/>
  <c r="J21" i="16"/>
  <c r="J22" i="16"/>
  <c r="H23" i="16"/>
  <c r="F58" i="5"/>
  <c r="F38" i="5" s="1"/>
  <c r="M19" i="20"/>
  <c r="G16" i="21"/>
  <c r="F18" i="4"/>
  <c r="N32" i="15"/>
  <c r="N33" i="15"/>
  <c r="F23" i="4" s="1"/>
  <c r="N34" i="15"/>
  <c r="F24" i="4" s="1"/>
  <c r="N35" i="15"/>
  <c r="F59" i="5"/>
  <c r="F72" i="5" s="1"/>
  <c r="F17" i="4" s="1"/>
  <c r="N38" i="18"/>
  <c r="N39" i="18"/>
  <c r="N40" i="18"/>
  <c r="N41" i="18"/>
  <c r="F25" i="4" s="1"/>
  <c r="N42" i="18"/>
  <c r="N43" i="18"/>
  <c r="P40" i="18"/>
  <c r="P42" i="18"/>
  <c r="P43" i="18"/>
  <c r="J37" i="18"/>
  <c r="L20" i="20"/>
  <c r="F31" i="15"/>
  <c r="J31" i="15"/>
  <c r="F39" i="13"/>
  <c r="F41" i="13" s="1"/>
  <c r="G17" i="21"/>
  <c r="F37" i="18"/>
  <c r="P41" i="18"/>
  <c r="P39" i="18"/>
  <c r="H37" i="18"/>
  <c r="P38" i="18"/>
  <c r="P35" i="15"/>
  <c r="P34" i="15"/>
  <c r="P32" i="15"/>
  <c r="H31" i="15"/>
  <c r="F37" i="5"/>
  <c r="G10" i="3" s="1"/>
  <c r="M17" i="20"/>
  <c r="M16" i="20"/>
  <c r="K20" i="20"/>
  <c r="G20" i="20"/>
  <c r="M20" i="20" s="1"/>
  <c r="L37" i="18"/>
  <c r="F23" i="16"/>
  <c r="L31" i="15"/>
  <c r="P33" i="15"/>
  <c r="C11" i="20"/>
  <c r="C11" i="18"/>
  <c r="C11" i="16"/>
  <c r="C11" i="13"/>
  <c r="C11" i="9"/>
  <c r="C11" i="7"/>
  <c r="C11" i="4"/>
  <c r="C11" i="21"/>
  <c r="C11" i="17"/>
  <c r="C11" i="12"/>
  <c r="C11" i="10"/>
  <c r="C11" i="8"/>
  <c r="C11" i="6"/>
  <c r="C11" i="5"/>
  <c r="C11" i="19"/>
  <c r="C11" i="15"/>
  <c r="C11" i="14"/>
  <c r="F50" i="5"/>
  <c r="M18" i="20"/>
  <c r="F16" i="5"/>
  <c r="J23" i="16" l="1"/>
  <c r="H17" i="14"/>
  <c r="H18" i="14" s="1"/>
  <c r="F22" i="4" s="1"/>
  <c r="J17" i="14"/>
  <c r="J18" i="14" s="1"/>
  <c r="F17" i="14"/>
  <c r="F18" i="14" s="1"/>
  <c r="F20" i="4" s="1"/>
  <c r="F73" i="5"/>
  <c r="G11" i="3" s="1"/>
  <c r="G7" i="3" s="1"/>
  <c r="F16" i="4"/>
</calcChain>
</file>

<file path=xl/sharedStrings.xml><?xml version="1.0" encoding="utf-8"?>
<sst xmlns="http://schemas.openxmlformats.org/spreadsheetml/2006/main" count="523" uniqueCount="377">
  <si>
    <t>B</t>
  </si>
  <si>
    <t>LBPJ</t>
  </si>
  <si>
    <t>Data Umum</t>
  </si>
  <si>
    <t>Januari</t>
  </si>
  <si>
    <t>PEPJK</t>
  </si>
  <si>
    <t>Februari</t>
  </si>
  <si>
    <t>1</t>
  </si>
  <si>
    <t>Tanggal Pelaporan</t>
  </si>
  <si>
    <t>Maret</t>
  </si>
  <si>
    <t>N</t>
  </si>
  <si>
    <t>Kode Perusahaan</t>
  </si>
  <si>
    <t>April</t>
  </si>
  <si>
    <t xml:space="preserve">Nama Perusahaan </t>
  </si>
  <si>
    <t>Mei</t>
  </si>
  <si>
    <t xml:space="preserve">Alamat Perusahaan </t>
  </si>
  <si>
    <t>Juni</t>
  </si>
  <si>
    <t>Juli</t>
  </si>
  <si>
    <t>Agustus</t>
  </si>
  <si>
    <t>Periode Pelaporan</t>
  </si>
  <si>
    <t>September</t>
  </si>
  <si>
    <t>Bulan Pelaporan</t>
  </si>
  <si>
    <t>Oktober</t>
  </si>
  <si>
    <t>Tahun Fiskal</t>
  </si>
  <si>
    <t>November</t>
  </si>
  <si>
    <t>Jenis Periode Pelaporan</t>
  </si>
  <si>
    <t>Laporan Bulanan</t>
  </si>
  <si>
    <t>Desember</t>
  </si>
  <si>
    <t>Nama Direksi</t>
  </si>
  <si>
    <t>Jabatan Direksi</t>
  </si>
  <si>
    <t>K e p a d a</t>
  </si>
  <si>
    <t>Yth.Direktorat Perasuransian</t>
  </si>
  <si>
    <t>Otoritas Jasa Keuangan</t>
  </si>
  <si>
    <t>Gedung Sumitro Djojohadikusumo, Lantai 14</t>
  </si>
  <si>
    <t>Jl. Lapangan Banteng Timur 1 - 4</t>
  </si>
  <si>
    <t>Jakarta - 10710</t>
  </si>
  <si>
    <t>LAPORAN BULANAN PERUSAHAAN PENJAMINAN KREDIT</t>
  </si>
  <si>
    <t>Status</t>
  </si>
  <si>
    <t>Status Validitas Laporan Secara Keseluruhan</t>
  </si>
  <si>
    <t>No</t>
  </si>
  <si>
    <t>Sheet</t>
  </si>
  <si>
    <t>Keterangan</t>
  </si>
  <si>
    <t>Formula</t>
  </si>
  <si>
    <t>LPKPJ</t>
  </si>
  <si>
    <t>jumlah aset = jumlah aset lancar + jumlah aset tidak lancar</t>
  </si>
  <si>
    <t>LPKPJ!F37=LPKPJ!F26+LPKPJ!F36</t>
  </si>
  <si>
    <t>Jumlah aset = jumlah Ekuitas + Jumlah Liabilitas</t>
  </si>
  <si>
    <t>LPKPJ!F73=LPKPJ!F37</t>
  </si>
  <si>
    <t>LIPJ</t>
  </si>
  <si>
    <t>I. Ikhtisar  Laporan Bulanan</t>
  </si>
  <si>
    <t>Uraian</t>
  </si>
  <si>
    <t>Aset</t>
  </si>
  <si>
    <t>Ekuitas</t>
  </si>
  <si>
    <t>Laba/(rugi) bersih</t>
  </si>
  <si>
    <t xml:space="preserve">Nilai penjaminan usaha produktif </t>
  </si>
  <si>
    <t>Gearing ratio penjaminan usaha produktif</t>
  </si>
  <si>
    <t xml:space="preserve">Nilai penjaminan usaha non produktif </t>
  </si>
  <si>
    <t>Gearing ratio penjaminan usaha non produktif</t>
  </si>
  <si>
    <t>Imbal Jasa Penjaminan</t>
  </si>
  <si>
    <t>Jumlah terjamin</t>
  </si>
  <si>
    <t>Klaim dibayar</t>
  </si>
  <si>
    <t>Piutang subrogasi</t>
  </si>
  <si>
    <t>II. Laporan Posisi Keuangan</t>
  </si>
  <si>
    <t>A. ASET</t>
  </si>
  <si>
    <t>I. Aset Lancar</t>
  </si>
  <si>
    <t>Kas dan giro bank</t>
  </si>
  <si>
    <t>Investasi lancar (Formulir 1)</t>
  </si>
  <si>
    <t>Piutang  IJP</t>
  </si>
  <si>
    <t>Piutang co-guarantee/reasuransi/penjaminan ulang (Formulir 2)</t>
  </si>
  <si>
    <t>Pendapatan yang masih harus diterima</t>
  </si>
  <si>
    <t>Beban dibayar dimuka</t>
  </si>
  <si>
    <t xml:space="preserve">Piutang dalam rangka restrukturisasi penjaminan </t>
  </si>
  <si>
    <t>Aset lancar lain-lain</t>
  </si>
  <si>
    <t xml:space="preserve">Jumlah Aset Lancar </t>
  </si>
  <si>
    <t>II. Aset Tidak Lancar</t>
  </si>
  <si>
    <t>Investasi tidak lancar (Formulir 1)</t>
  </si>
  <si>
    <t>Aset tetap - netto</t>
  </si>
  <si>
    <t>Aset tidak berwujud - netto</t>
  </si>
  <si>
    <t>Piutang dalam rangka restrukturisasi penjaminan</t>
  </si>
  <si>
    <t>Aset pajak tangguhan</t>
  </si>
  <si>
    <t>Aset tidak lancar lain-lain</t>
  </si>
  <si>
    <t xml:space="preserve">Jumlah Aset Tidak Lancar </t>
  </si>
  <si>
    <t xml:space="preserve">III. Jumlah Aset </t>
  </si>
  <si>
    <t>B. LIABILITAS</t>
  </si>
  <si>
    <t>I. Liabilitas Lancar</t>
  </si>
  <si>
    <t>Utang klaim</t>
  </si>
  <si>
    <t>IJP yang ditangguhkan</t>
  </si>
  <si>
    <t>Utang pajak</t>
  </si>
  <si>
    <t>Utang premi reasuransi</t>
  </si>
  <si>
    <t>Utang komisi</t>
  </si>
  <si>
    <t>Utang IJP co-guarantee/penjaminan ulang</t>
  </si>
  <si>
    <t>Beban yang masih harus dibayar</t>
  </si>
  <si>
    <t>Cadangan klaim</t>
  </si>
  <si>
    <t>Liabilitas pajak tangguhan</t>
  </si>
  <si>
    <t>Liabilitas lancar lain-lain</t>
  </si>
  <si>
    <t xml:space="preserve">Jumlah Liabilitas Lancar </t>
  </si>
  <si>
    <t>II. Liabilitas Tidak Lancar</t>
  </si>
  <si>
    <t>Utang imbalan pasca kerja</t>
  </si>
  <si>
    <t xml:space="preserve">Obligasi wajib konversi </t>
  </si>
  <si>
    <t>Liabilitas tidak lancar lain-lain</t>
  </si>
  <si>
    <t>Jumlah Liabilitas Tidak Lancar</t>
  </si>
  <si>
    <t>III. Jumlah Liabilitas</t>
  </si>
  <si>
    <t>C. EKUITAS</t>
  </si>
  <si>
    <t>Modal</t>
  </si>
  <si>
    <t>a. modal disetor</t>
  </si>
  <si>
    <t>b. agio</t>
  </si>
  <si>
    <t>c. disagio -/--</t>
  </si>
  <si>
    <t>Cadangan</t>
  </si>
  <si>
    <t>a. cadangan umum</t>
  </si>
  <si>
    <t>b. cadangan tujuan</t>
  </si>
  <si>
    <t>c. cadangan lainnya</t>
  </si>
  <si>
    <t>Hibah</t>
  </si>
  <si>
    <t>Saldo laba/(rugi)</t>
  </si>
  <si>
    <t>Laba/(rugi) tahun berjalan</t>
  </si>
  <si>
    <t>Pendapatan komprehensif lainnya</t>
  </si>
  <si>
    <t xml:space="preserve">Jumlah Ekuitas </t>
  </si>
  <si>
    <t xml:space="preserve">Jumlah Liabilitas dan Ekuitas </t>
  </si>
  <si>
    <t>RIDPJ</t>
  </si>
  <si>
    <t>Daftar Rincian Investasi-A. Deposito</t>
  </si>
  <si>
    <t>Formulir 1</t>
  </si>
  <si>
    <t>Nomor Baris</t>
  </si>
  <si>
    <t>2</t>
  </si>
  <si>
    <t>3</t>
  </si>
  <si>
    <t>4</t>
  </si>
  <si>
    <t>5</t>
  </si>
  <si>
    <t>6</t>
  </si>
  <si>
    <t>7</t>
  </si>
  <si>
    <t>8</t>
  </si>
  <si>
    <t>9</t>
  </si>
  <si>
    <t>+ Baris</t>
  </si>
  <si>
    <t>10</t>
  </si>
  <si>
    <t>&lt;EOR&gt;</t>
  </si>
  <si>
    <t>Total</t>
  </si>
  <si>
    <t>RISBPJ</t>
  </si>
  <si>
    <t>Daftar Rincian Investasi-B. Surat Berharga - 1. Kategori Lancar</t>
  </si>
  <si>
    <t>RISBPJ2</t>
  </si>
  <si>
    <t>Daftar Rincian Investasi</t>
  </si>
  <si>
    <t>B. Surat Berharga - 2. Kategori Tidak Lancar</t>
  </si>
  <si>
    <t>RIPPJ</t>
  </si>
  <si>
    <t>Daftar Rincian Investasi-C. Penyertaan Langsung</t>
  </si>
  <si>
    <t>RIPCOPJ</t>
  </si>
  <si>
    <t>Daftar Rincian Co-Guarantee Perusahaan Penjaminan-A. Kategori Lancar</t>
  </si>
  <si>
    <t>Formulir 2</t>
  </si>
  <si>
    <t>RIPCOPJ2</t>
  </si>
  <si>
    <t>Daftar Rincian Co-Guarantee Perusahaan Penjaminan</t>
  </si>
  <si>
    <t>B. Kategori Tidak Lancar</t>
  </si>
  <si>
    <t>LLRPJ</t>
  </si>
  <si>
    <t>III. Laporan Laba Rugi Komprehensif</t>
  </si>
  <si>
    <t>I. Pendapatan imbal jasa penjaminan</t>
  </si>
  <si>
    <t>1.Imbal jasa penjaminan bruto</t>
  </si>
  <si>
    <t>2.IJP co-guarantee/IJPU/premi reasuransi</t>
  </si>
  <si>
    <t>3.Pendapatan/beban komisi penjaminan -bersih</t>
  </si>
  <si>
    <t xml:space="preserve">4.Pendapatan penjaminan lainnya </t>
  </si>
  <si>
    <t>Pendapatan imbal jasa penjaminan bersih</t>
  </si>
  <si>
    <t>II. Beban klaim</t>
  </si>
  <si>
    <t>1.Beban klaim bruto</t>
  </si>
  <si>
    <t>2.Klaim co-guarantee/penjaminan ulang/reasuransi</t>
  </si>
  <si>
    <t>3.Penurunan/kenaikan cadangan klaim</t>
  </si>
  <si>
    <t>4.Beban klaim lainnya</t>
  </si>
  <si>
    <t>Jumlah beban klaim</t>
  </si>
  <si>
    <t>III. Pendapatan penjaminan bersih</t>
  </si>
  <si>
    <t>IV. Pendapatan operasional lainnya</t>
  </si>
  <si>
    <t>1.Pendapatan bunga</t>
  </si>
  <si>
    <t>2.Pendapatan investasi selain bunga</t>
  </si>
  <si>
    <t>3.Peningkatan nilai wajar aset keuangan</t>
  </si>
  <si>
    <t>4.Penurunan nilai wajar liabilitas keuangan</t>
  </si>
  <si>
    <t>5.Keuntungan penjualan aset keuangan</t>
  </si>
  <si>
    <t>6.Pendapatan operasional lain-lain</t>
  </si>
  <si>
    <t>Jumlah pendapatan operasional lainnya</t>
  </si>
  <si>
    <t>V. Beban operasional lainnya</t>
  </si>
  <si>
    <t>1.Beban gaji dan pegawai</t>
  </si>
  <si>
    <t>2.Beban depresiasi dan amortisasi</t>
  </si>
  <si>
    <t>3.Beban umum dan administrasi lainnya</t>
  </si>
  <si>
    <t>4.Penurunan nilai wajar aset keuangan</t>
  </si>
  <si>
    <t>5.Kenaikan nilai wajar liabilitas keuangan</t>
  </si>
  <si>
    <t>6.Kerugian penjualan aset keuangan</t>
  </si>
  <si>
    <t>7.Beban penurunan nilai aset keuangan</t>
  </si>
  <si>
    <t>8.Beban operasional lain-lain</t>
  </si>
  <si>
    <t>Jumlah beban operasional lainnya</t>
  </si>
  <si>
    <t>VI. Laba/(rugi) operasional</t>
  </si>
  <si>
    <t>VII. Pendapatan dan beban non operasional</t>
  </si>
  <si>
    <t>1.Pendapatan non operasional</t>
  </si>
  <si>
    <t>2.Beban non operasional</t>
  </si>
  <si>
    <t>Jumlah pendapatan/(beban) non operasional bersih</t>
  </si>
  <si>
    <t>VIII.Laba/(rugi) sebelum pajak penghasilan</t>
  </si>
  <si>
    <t>IX. Pajak penghasilan</t>
  </si>
  <si>
    <t>1.Taksiran pajak penghasilan</t>
  </si>
  <si>
    <t>2.Pajak tangguhan</t>
  </si>
  <si>
    <t>a. Beban pajak tangguhan</t>
  </si>
  <si>
    <t>b. Pendapatan pajak tangguhan</t>
  </si>
  <si>
    <t>X. Laba/(rugi) bersih</t>
  </si>
  <si>
    <t>XI. Pendapatan komprehensif lainnya</t>
  </si>
  <si>
    <t>XII. Laba/(rugi) komprehensif</t>
  </si>
  <si>
    <t>LAKPJ</t>
  </si>
  <si>
    <t>IV. Laporan Arus Kas</t>
  </si>
  <si>
    <t>ARUS KAS DARI AKTIVITAS OPERASI</t>
  </si>
  <si>
    <t>1.Penerimaan imbal jasa penjaminan (IJP)</t>
  </si>
  <si>
    <t>2.Penerimaan klaim dari mitra co-guarantee/ perusahan penjaminan ulang/perusahaan asuransi</t>
  </si>
  <si>
    <t>3.Penerimaan dari aktivitas operasi lainnya</t>
  </si>
  <si>
    <t>4.Pembayaran IJP co-guarantee/IJPU/premi reasuransi</t>
  </si>
  <si>
    <t>5.Pembayaran klaim kepada terjamin</t>
  </si>
  <si>
    <t>6.Pembayaran biaya-biaya</t>
  </si>
  <si>
    <t>7.Pembayaran untuk aktivitas operasi lainnya</t>
  </si>
  <si>
    <t>8.Kas bersih dari/(untuk) aktivitas operasi</t>
  </si>
  <si>
    <t>ARUS KAS DARI AKTIVITAS INVESTASI</t>
  </si>
  <si>
    <t>1.Penerimaan hasil investasi</t>
  </si>
  <si>
    <t>2.Penerimaan dari aktivitas investasi lainnya</t>
  </si>
  <si>
    <t>3.Penempatan investasi yang diperkenankan</t>
  </si>
  <si>
    <t>4.Perolehan aset tetap</t>
  </si>
  <si>
    <t>5.Pembayaran untuk aktivitas investasi lainnya</t>
  </si>
  <si>
    <t xml:space="preserve">6.Kas bersih dari/(untuk) aktivitas investasi </t>
  </si>
  <si>
    <t>ARUS KAS DARI AKTIVITAS PENDANAAN</t>
  </si>
  <si>
    <t>1.Penerimaan dari setoran modal</t>
  </si>
  <si>
    <t>2.Penerimaan dari penerbitan obligasi wajib konversi</t>
  </si>
  <si>
    <t>3.Penerimaan dari aktivitas pendanaan lainnya</t>
  </si>
  <si>
    <t>4.Pembayaran deviden</t>
  </si>
  <si>
    <t>5.Pembayaran untuk aktivitas pendanaan lainnya</t>
  </si>
  <si>
    <t>6.Kas bersih dari/(untuk) aktivitas pendanaan</t>
  </si>
  <si>
    <t>KENAIKAN/(PENURUNAN) SALDO KAS DAN SETARA KAS</t>
  </si>
  <si>
    <t>SALDO AWAL KAS DAN SETARA KAS</t>
  </si>
  <si>
    <t>SALDO AKHIR KAS DAN SETARA KAS</t>
  </si>
  <si>
    <t>LGRPJ</t>
  </si>
  <si>
    <t>V. Laporan Gearing Ratio</t>
  </si>
  <si>
    <t>Nilai penjaminan yang ditanggung sendiri</t>
  </si>
  <si>
    <t>Modal Sendiri Bersih</t>
  </si>
  <si>
    <t>Gearing Ratio (1:2)</t>
  </si>
  <si>
    <t>LPJKPJ</t>
  </si>
  <si>
    <t>VI. Laporan Penjaminan Kredit</t>
  </si>
  <si>
    <t>Penerima Jaminan</t>
  </si>
  <si>
    <t>I. Bank</t>
  </si>
  <si>
    <t>1. Nilai Penjaminan</t>
  </si>
  <si>
    <t>2. Nilai imbal jasa penjaminan</t>
  </si>
  <si>
    <t>3. Jumlah Terjamin (nasabah)</t>
  </si>
  <si>
    <t xml:space="preserve">4. Jumlah sertifikat penjaminan </t>
  </si>
  <si>
    <t>II. Lembaga Keuangan Bukan Bank</t>
  </si>
  <si>
    <t>1. Nilai penjaminan</t>
  </si>
  <si>
    <t>III. Di Luar Lembaga Keuangan</t>
  </si>
  <si>
    <t>IV. Jumlah (I+II+III)</t>
  </si>
  <si>
    <t>LKPJ</t>
  </si>
  <si>
    <t>VII. Laporan Kualitas Penjaminan Kredit</t>
  </si>
  <si>
    <t>Kolektibilitas</t>
  </si>
  <si>
    <t>1. Lancar</t>
  </si>
  <si>
    <t>2. Dalam Perhatian Khusus</t>
  </si>
  <si>
    <t>3. Kurang Lancar</t>
  </si>
  <si>
    <t>4. Diragukan</t>
  </si>
  <si>
    <t>5. Macet</t>
  </si>
  <si>
    <t>6. Jumlah (1+2+3+4+5)</t>
  </si>
  <si>
    <t>7. Non Performing Guarantee/ NPG (3+4+5)</t>
  </si>
  <si>
    <t>8. Rasio NPG (7 : 6)</t>
  </si>
  <si>
    <t>LBNPGPJ</t>
  </si>
  <si>
    <t>VIII. LAPORAN 10 BESAR NON PERFORMING GUARANTEE</t>
  </si>
  <si>
    <t xml:space="preserve">No.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</si>
  <si>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</si>
  <si>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</si>
  <si>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</si>
  <si>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</si>
  <si>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</si>
  <si>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</si>
  <si>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</si>
  <si>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</si>
  <si>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</si>
  <si>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</si>
  <si>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</si>
  <si>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</si>
  <si>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</si>
  <si>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</si>
  <si>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</si>
  <si>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</si>
  <si>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</si>
  <si>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</si>
  <si>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</si>
  <si>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</si>
  <si>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</si>
  <si>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</si>
  <si>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</si>
  <si>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</si>
  <si>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</si>
  <si>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</si>
  <si>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</si>
  <si>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</si>
  <si>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</si>
  <si>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</si>
  <si>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</si>
  <si>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</si>
  <si>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</si>
  <si>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</si>
  <si>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</si>
  <si>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</si>
  <si>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</si>
  <si>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</si>
  <si>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</si>
  <si>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</si>
  <si>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</si>
  <si>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</si>
  <si>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</si>
  <si>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</si>
  <si>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</si>
  <si>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</si>
  <si>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</si>
  <si>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</si>
  <si>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</si>
  <si>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</si>
  <si>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</si>
  <si>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</si>
  <si>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</si>
  <si>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</si>
  <si>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</si>
  <si>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</si>
  <si>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</si>
  <si>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</si>
  <si>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</si>
  <si>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</si>
  <si>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</si>
  <si>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</si>
  <si>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</si>
  <si>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</si>
  <si>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</si>
  <si>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</si>
  <si>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</si>
  <si>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</si>
  <si>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</si>
  <si>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</si>
  <si>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</si>
  <si>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</si>
  <si>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</si>
  <si>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</si>
  <si>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</si>
  <si>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</si>
  <si>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</si>
  <si>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</si>
  <si>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</si>
  <si>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</si>
  <si>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</si>
  <si>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</si>
  <si>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</si>
  <si>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</si>
  <si>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</si>
  <si>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</si>
  <si>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</si>
  <si>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</si>
  <si>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</si>
  <si>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</si>
  <si>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LKPKPJ</t>
  </si>
  <si>
    <t>IX. Laporan Klaim Penjaminan Kredit</t>
  </si>
  <si>
    <t>Bank</t>
  </si>
  <si>
    <t>1. Pengajuan klaim</t>
  </si>
  <si>
    <t>2. Klaim diproses</t>
  </si>
  <si>
    <t>3. Klaim disetujui</t>
  </si>
  <si>
    <t>4. Klaim dibayar</t>
  </si>
  <si>
    <t>5. Klaim ditolak</t>
  </si>
  <si>
    <t>6. Klaim disetujui namun belum dibayar</t>
  </si>
  <si>
    <t>Lembaga Keuangan Bukan Bank</t>
  </si>
  <si>
    <t>Di Luar Lembaga Keuangan</t>
  </si>
  <si>
    <t>Jumlah (I+II+III)</t>
  </si>
  <si>
    <t>LPAPJ</t>
  </si>
  <si>
    <t>X. Laporan Piutang Subrogasi</t>
  </si>
  <si>
    <t>Saldo awal</t>
  </si>
  <si>
    <t>Ditambah/(dikurangi):</t>
  </si>
  <si>
    <t>a.   Pembayaran klaim</t>
  </si>
  <si>
    <t>b.   Angsuran subrogasi</t>
  </si>
  <si>
    <t>Saldo akhir</t>
  </si>
  <si>
    <t>LAKALPJ</t>
  </si>
  <si>
    <t>XI. Laporan Analisis Kesesuaian Aset dan Liabilitas</t>
  </si>
  <si>
    <t>Umur</t>
  </si>
  <si>
    <t xml:space="preserve">= 1 tahun </t>
  </si>
  <si>
    <t>1 tahun &lt; umur = 5 tahun</t>
  </si>
  <si>
    <t>5 tahun &lt; umur  = 10 tahun</t>
  </si>
  <si>
    <t>&gt; 10 tahun</t>
  </si>
  <si>
    <t>LAKALPJ1</t>
  </si>
  <si>
    <t>XI. Laporan Analisis Kesesuaian Aset dan Liabilitas 2</t>
  </si>
  <si>
    <t>Rasio Aset Lancar Terhadap Aset Tidak lancar</t>
  </si>
  <si>
    <t>Rasio Liabilitas Lancar Terhadap Liabilitas Tidak lancar</t>
  </si>
  <si>
    <t>DIREKTUR UTAMA</t>
  </si>
  <si>
    <t xml:space="preserve"> </t>
  </si>
  <si>
    <t>PT. JAMKRIDA SULSEL</t>
  </si>
  <si>
    <t>Ruko Latimojong Square Jl. Niko Blok H No. 21</t>
  </si>
  <si>
    <t>Makassar</t>
  </si>
  <si>
    <t>MULYAN PULUBUHU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</si>
</sst>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yy"/>
    <numFmt numFmtId="165" formatCode="0_);\(0\)"/>
    <numFmt numFmtId="166" formatCode="_(* #,##0.00_);_(* \(#,##0.00\);_(* &quot; - &quot;??_);_(@_)"/>
    <numFmt numFmtId="167" formatCode="_(* #,##0_);_(* \(#,##0\);_(* &quot; - &quot;??_);_(@_)"/>
  </numFmts>
  <fonts count="13" x14ac:knownFonts="1">
    <font>
      <sz val="11"/>
      <name val="Calibri"/>
    </font>
    <font>
      <b/>
      <sz val="11"/>
      <name val="Calibri"/>
      <family val="2"/>
    </font>
    <font>
      <b/>
      <sz val="16"/>
      <name val="Calibri"/>
      <family val="2"/>
    </font>
    <font>
      <sz val="11"/>
      <color rgb="FFFFFFFF"/>
      <name val="Calibri"/>
      <family val="2"/>
    </font>
    <font>
      <sz val="12"/>
      <name val="Calibri"/>
      <family val="2"/>
    </font>
    <font>
      <b/>
      <sz val="13"/>
      <name val="Calibri"/>
      <family val="2"/>
    </font>
    <font>
      <b/>
      <sz val="20"/>
      <name val="Calibri"/>
      <family val="2"/>
    </font>
    <font>
      <sz val="14"/>
      <name val="Calibri"/>
      <family val="2"/>
    </font>
    <font>
      <sz val="10"/>
      <name val="Calibri"/>
      <family val="2"/>
    </font>
    <font>
      <sz val="1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rgb="FFFFFF00"/>
      </patternFill>
    </fill>
    <fill>
      <patternFill patternType="lightGrid">
        <fgColor rgb="FFFFFFFF"/>
        <bgColor rgb="FFD3D3D3"/>
      </patternFill>
    </fill>
  </fills>
  <borders count="11">
    <border>
      <left/>
      <right/>
      <top/>
      <bottom/>
      <diagonal/>
    </border>
    <border>
      <left style="hair">
        <color rgb="FFD3D3D3"/>
      </left>
      <right style="hair">
        <color rgb="FFD3D3D3"/>
      </right>
      <top style="hair">
        <color rgb="FFD3D3D3"/>
      </top>
      <bottom style="hair">
        <color rgb="FFD3D3D3"/>
      </bottom>
      <diagonal/>
    </border>
    <border>
      <left style="hair">
        <color rgb="FFD3D3D3"/>
      </left>
      <right style="hair">
        <color rgb="FFD3D3D3"/>
      </right>
      <top/>
      <bottom style="hair">
        <color rgb="FFD3D3D3"/>
      </bottom>
      <diagonal/>
    </border>
    <border>
      <left/>
      <right/>
      <top/>
      <bottom style="hair">
        <color rgb="FF80808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2" fillId="3" borderId="0" xfId="0" applyFont="1" applyFill="1" applyAlignment="1">
      <alignment vertical="top"/>
    </xf>
    <xf numFmtId="0" fontId="1" fillId="4" borderId="1" xfId="0" applyFont="1" applyFill="1" applyBorder="1" applyAlignment="1">
      <alignment vertical="top"/>
    </xf>
    <xf numFmtId="0" fontId="0" fillId="3" borderId="0" xfId="0" applyFill="1" applyAlignment="1" applyProtection="1">
      <alignment vertical="top"/>
      <protection locked="0"/>
    </xf>
    <xf numFmtId="164" fontId="0" fillId="3" borderId="0" xfId="0" applyNumberFormat="1" applyFill="1" applyAlignment="1" applyProtection="1">
      <alignment vertical="top"/>
      <protection locked="0"/>
    </xf>
    <xf numFmtId="165" fontId="1" fillId="4" borderId="1" xfId="0" applyNumberFormat="1" applyFont="1" applyFill="1" applyBorder="1" applyAlignment="1">
      <alignment vertical="top"/>
    </xf>
    <xf numFmtId="0" fontId="0" fillId="5" borderId="0" xfId="0" applyFill="1" applyAlignment="1" applyProtection="1">
      <alignment vertical="top"/>
      <protection hidden="1"/>
    </xf>
    <xf numFmtId="0" fontId="3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8" fillId="6" borderId="0" xfId="0" applyFont="1" applyFill="1" applyAlignment="1">
      <alignment horizontal="left" vertical="top"/>
    </xf>
    <xf numFmtId="166" fontId="8" fillId="6" borderId="0" xfId="0" applyNumberFormat="1" applyFont="1" applyFill="1" applyAlignment="1">
      <alignment horizontal="right" vertical="top"/>
    </xf>
    <xf numFmtId="10" fontId="8" fillId="6" borderId="0" xfId="0" applyNumberFormat="1" applyFont="1" applyFill="1" applyAlignment="1">
      <alignment horizontal="right" vertical="top"/>
    </xf>
    <xf numFmtId="166" fontId="9" fillId="3" borderId="1" xfId="0" applyNumberFormat="1" applyFont="1" applyFill="1" applyBorder="1" applyAlignment="1">
      <alignment horizontal="right" vertical="top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8" fillId="6" borderId="0" xfId="0" applyFont="1" applyFill="1" applyAlignment="1">
      <alignment horizontal="right" vertical="top"/>
    </xf>
    <xf numFmtId="167" fontId="8" fillId="6" borderId="0" xfId="0" applyNumberFormat="1" applyFont="1" applyFill="1" applyAlignment="1">
      <alignment horizontal="right" vertical="top"/>
    </xf>
    <xf numFmtId="0" fontId="0" fillId="2" borderId="0" xfId="0" applyFill="1" applyAlignment="1" applyProtection="1">
      <alignment vertical="top"/>
      <protection locked="0"/>
    </xf>
    <xf numFmtId="0" fontId="0" fillId="4" borderId="6" xfId="0" applyFill="1" applyBorder="1" applyAlignment="1" applyProtection="1">
      <alignment horizontal="left" vertical="top" wrapText="1"/>
      <protection locked="0"/>
    </xf>
    <xf numFmtId="0" fontId="0" fillId="4" borderId="7" xfId="0" applyFill="1" applyBorder="1" applyAlignment="1" applyProtection="1">
      <alignment vertical="top" wrapText="1"/>
      <protection locked="0"/>
    </xf>
    <xf numFmtId="0" fontId="10" fillId="5" borderId="0" xfId="0" applyFont="1" applyFill="1" applyAlignment="1" applyProtection="1">
      <alignment vertical="top"/>
      <protection locked="0"/>
    </xf>
    <xf numFmtId="0" fontId="11" fillId="2" borderId="0" xfId="0" applyFont="1" applyFill="1" applyAlignment="1">
      <alignment vertical="top"/>
    </xf>
    <xf numFmtId="0" fontId="9" fillId="3" borderId="1" xfId="0" applyFont="1" applyFill="1" applyBorder="1" applyAlignment="1">
      <alignment horizontal="left" vertical="top"/>
    </xf>
    <xf numFmtId="0" fontId="0" fillId="4" borderId="7" xfId="0" applyFill="1" applyBorder="1" applyAlignment="1" applyProtection="1">
      <alignment vertical="top" wrapText="1"/>
      <protection locked="0"/>
    </xf>
    <xf numFmtId="0" fontId="0" fillId="4" borderId="7" xfId="0" applyFill="1" applyBorder="1" applyAlignment="1" applyProtection="1">
      <alignment vertical="top" wrapText="1"/>
      <protection locked="0"/>
    </xf>
    <xf numFmtId="0" fontId="0" fillId="4" borderId="6" xfId="0" applyFill="1" applyBorder="1" applyAlignment="1" applyProtection="1">
      <alignment horizontal="left"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4" fontId="0" fillId="3" borderId="1" xfId="0" applyNumberFormat="1" applyFill="1" applyBorder="1" applyAlignment="1" applyProtection="1">
      <alignment vertical="top" wrapText="1"/>
      <protection locked="0"/>
    </xf>
    <xf numFmtId="10" fontId="0" fillId="3" borderId="1" xfId="0" applyNumberFormat="1" applyFill="1" applyBorder="1" applyAlignment="1" applyProtection="1">
      <alignment vertical="top" wrapText="1"/>
      <protection locked="0"/>
    </xf>
    <xf numFmtId="0" fontId="12" fillId="3" borderId="1" xfId="0" applyFon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0" fillId="4" borderId="6" xfId="0" applyFill="1" applyBorder="1" applyAlignment="1" applyProtection="1">
      <alignment horizontal="left" vertical="top" wrapText="1"/>
      <protection locked="0"/>
    </xf>
    <xf numFmtId="0" fontId="0" fillId="4" borderId="7" xfId="0" applyFill="1" applyBorder="1" applyAlignment="1" applyProtection="1">
      <alignment vertical="top" wrapText="1"/>
      <protection locked="0"/>
    </xf>
    <xf numFmtId="10" fontId="0" fillId="3" borderId="1" xfId="0" applyNumberFormat="1" applyFill="1" applyBorder="1" applyAlignment="1" applyProtection="1">
      <alignment vertical="top" wrapText="1"/>
      <protection locked="0"/>
    </xf>
    <xf numFmtId="164" fontId="0" fillId="3" borderId="1" xfId="0" applyNumberFormat="1" applyFill="1" applyBorder="1" applyAlignment="1" applyProtection="1">
      <alignment vertical="top" wrapText="1"/>
      <protection locked="0"/>
    </xf>
    <xf numFmtId="164" fontId="0" fillId="3" borderId="1" xfId="0" applyNumberFormat="1" applyFill="1" applyBorder="1" applyAlignment="1" applyProtection="1">
      <alignment vertical="top" wrapText="1"/>
      <protection locked="0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4" fillId="3" borderId="3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right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7" xfId="0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9" xfId="0" applyFill="1" applyBorder="1" applyAlignment="1">
      <alignment horizontal="center" vertical="top" wrapText="1"/>
    </xf>
    <xf numFmtId="0" fontId="0" fillId="4" borderId="8" xfId="0" applyFill="1" applyBorder="1" applyAlignment="1">
      <alignment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 indent="1"/>
    </xf>
    <xf numFmtId="0" fontId="0" fillId="4" borderId="7" xfId="0" applyFill="1" applyBorder="1" applyAlignment="1">
      <alignment vertical="top" wrapText="1" indent="1"/>
    </xf>
    <xf numFmtId="0" fontId="0" fillId="4" borderId="6" xfId="0" applyFill="1" applyBorder="1" applyAlignment="1">
      <alignment horizontal="left" vertical="top" wrapText="1" indent="2"/>
    </xf>
    <xf numFmtId="0" fontId="0" fillId="4" borderId="7" xfId="0" applyFill="1" applyBorder="1" applyAlignment="1">
      <alignment vertical="top" wrapText="1" indent="2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0" fillId="4" borderId="6" xfId="0" applyFill="1" applyBorder="1" applyAlignment="1" applyProtection="1">
      <alignment horizontal="left" vertical="top" wrapText="1"/>
      <protection locked="0"/>
    </xf>
    <xf numFmtId="0" fontId="0" fillId="4" borderId="7" xfId="0" applyFill="1" applyBorder="1" applyAlignment="1" applyProtection="1">
      <alignment horizontal="left" vertical="top" wrapText="1"/>
      <protection locked="0"/>
    </xf>
    <xf numFmtId="0" fontId="0" fillId="4" borderId="7" xfId="0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4" fontId="0" fillId="3" borderId="1" xfId="0" applyNumberFormat="1" applyFill="1" applyBorder="1" applyAlignment="1" applyProtection="1">
      <alignment vertical="top" wrapText="1"/>
      <protection locked="0"/>
    </xf>
    <xf numFmtId="10" fontId="0" fillId="3" borderId="1" xfId="0" applyNumberFormat="1" applyFill="1" applyBorder="1" applyAlignment="1" applyProtection="1">
      <alignment vertical="top" wrapText="1"/>
      <protection locked="0"/>
    </xf>
    <xf numFmtId="0" fontId="0" fillId="4" borderId="10" xfId="0" applyFill="1" applyBorder="1" applyAlignment="1">
      <alignment vertical="top" wrapText="1"/>
    </xf>
    <xf numFmtId="166" fontId="0" fillId="3" borderId="1" xfId="0" applyNumberFormat="1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6"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showGridLines="0" view="pageBreakPreview" zoomScaleSheetLayoutView="100" workbookViewId="0">
      <selection activeCell="D16" sqref="D16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25" style="1" customWidth="1"/>
    <col min="4" max="4" width="42" style="1" customWidth="1"/>
    <col min="5" max="5" width="1" style="1" customWidth="1"/>
    <col min="6" max="6" width="9.140625" style="1" customWidth="1"/>
    <col min="7" max="9" width="9.140625" style="1" hidden="1" customWidth="1"/>
    <col min="10" max="10" width="9.140625" style="1" customWidth="1"/>
    <col min="11" max="16384" width="9.140625" style="1"/>
  </cols>
  <sheetData>
    <row r="2" spans="2:9" ht="4.9000000000000004" customHeight="1" x14ac:dyDescent="0.25">
      <c r="B2" s="9" t="s">
        <v>0</v>
      </c>
      <c r="C2" s="2"/>
      <c r="D2" s="2"/>
      <c r="E2" s="2"/>
    </row>
    <row r="3" spans="2:9" ht="21" x14ac:dyDescent="0.25">
      <c r="B3" s="9" t="s">
        <v>1</v>
      </c>
      <c r="C3" s="3" t="s">
        <v>2</v>
      </c>
      <c r="D3" s="2"/>
      <c r="E3" s="2"/>
      <c r="G3" s="8">
        <f>MONTH(D11)</f>
        <v>8</v>
      </c>
      <c r="H3" s="8">
        <v>1</v>
      </c>
      <c r="I3" s="8" t="s">
        <v>3</v>
      </c>
    </row>
    <row r="4" spans="2:9" x14ac:dyDescent="0.25">
      <c r="B4" s="9" t="s">
        <v>4</v>
      </c>
      <c r="C4" s="2"/>
      <c r="D4" s="2"/>
      <c r="E4" s="2"/>
      <c r="G4" s="8" t="str">
        <f>VLOOKUP(G3,$H$3:$I$14,2,FALSE)</f>
        <v>Agustus</v>
      </c>
      <c r="H4" s="8">
        <v>2</v>
      </c>
      <c r="I4" s="8" t="s">
        <v>5</v>
      </c>
    </row>
    <row r="5" spans="2:9" x14ac:dyDescent="0.25">
      <c r="B5" s="9" t="s">
        <v>6</v>
      </c>
      <c r="C5" s="4" t="s">
        <v>7</v>
      </c>
      <c r="D5" s="6">
        <v>42623</v>
      </c>
      <c r="E5" s="2"/>
      <c r="H5" s="8">
        <v>3</v>
      </c>
      <c r="I5" s="8" t="s">
        <v>8</v>
      </c>
    </row>
    <row r="6" spans="2:9" x14ac:dyDescent="0.25">
      <c r="B6" s="9" t="s">
        <v>9</v>
      </c>
      <c r="C6" s="4" t="s">
        <v>10</v>
      </c>
      <c r="D6" s="5" t="s">
        <v>4</v>
      </c>
      <c r="E6" s="2"/>
      <c r="H6" s="8">
        <v>4</v>
      </c>
      <c r="I6" s="8" t="s">
        <v>11</v>
      </c>
    </row>
    <row r="7" spans="2:9" x14ac:dyDescent="0.25">
      <c r="B7" s="2"/>
      <c r="C7" s="4" t="s">
        <v>12</v>
      </c>
      <c r="D7" s="5" t="s">
        <v>373</v>
      </c>
      <c r="E7" s="2"/>
      <c r="H7" s="8">
        <v>5</v>
      </c>
      <c r="I7" s="8" t="s">
        <v>13</v>
      </c>
    </row>
    <row r="8" spans="2:9" x14ac:dyDescent="0.25">
      <c r="B8" s="2"/>
      <c r="C8" s="41" t="s">
        <v>14</v>
      </c>
      <c r="D8" s="5" t="s">
        <v>374</v>
      </c>
      <c r="E8" s="2"/>
      <c r="H8" s="8">
        <v>6</v>
      </c>
      <c r="I8" s="8" t="s">
        <v>15</v>
      </c>
    </row>
    <row r="9" spans="2:9" x14ac:dyDescent="0.25">
      <c r="B9" s="2"/>
      <c r="C9" s="42" t="s">
        <v>14</v>
      </c>
      <c r="D9" s="5" t="s">
        <v>375</v>
      </c>
      <c r="E9" s="2"/>
      <c r="H9" s="8">
        <v>7</v>
      </c>
      <c r="I9" s="8" t="s">
        <v>16</v>
      </c>
    </row>
    <row r="10" spans="2:9" x14ac:dyDescent="0.25">
      <c r="B10" s="2"/>
      <c r="C10" s="42" t="s">
        <v>14</v>
      </c>
      <c r="D10" s="5"/>
      <c r="E10" s="2"/>
      <c r="H10" s="8">
        <v>8</v>
      </c>
      <c r="I10" s="8" t="s">
        <v>17</v>
      </c>
    </row>
    <row r="11" spans="2:9" x14ac:dyDescent="0.25">
      <c r="B11" s="2"/>
      <c r="C11" s="4" t="s">
        <v>18</v>
      </c>
      <c r="D11" s="6">
        <v>42613</v>
      </c>
      <c r="E11" s="2"/>
      <c r="H11" s="8">
        <v>9</v>
      </c>
      <c r="I11" s="8" t="s">
        <v>19</v>
      </c>
    </row>
    <row r="12" spans="2:9" x14ac:dyDescent="0.25">
      <c r="B12" s="2"/>
      <c r="C12" s="4" t="s">
        <v>20</v>
      </c>
      <c r="D12" s="4" t="str">
        <f>IF(ISERR(G4), "", G4)</f>
        <v>Agustus</v>
      </c>
      <c r="E12" s="2"/>
      <c r="H12" s="8">
        <v>10</v>
      </c>
      <c r="I12" s="8" t="s">
        <v>21</v>
      </c>
    </row>
    <row r="13" spans="2:9" x14ac:dyDescent="0.25">
      <c r="B13" s="2"/>
      <c r="C13" s="4" t="s">
        <v>22</v>
      </c>
      <c r="D13" s="7">
        <f>IF(ISBLANK(D11), "", IFERROR(YEAR(D11), ""))</f>
        <v>2016</v>
      </c>
      <c r="E13" s="2"/>
      <c r="H13" s="8">
        <v>11</v>
      </c>
      <c r="I13" s="8" t="s">
        <v>23</v>
      </c>
    </row>
    <row r="14" spans="2:9" x14ac:dyDescent="0.25">
      <c r="B14" s="2"/>
      <c r="C14" s="4" t="s">
        <v>24</v>
      </c>
      <c r="D14" s="4" t="s">
        <v>25</v>
      </c>
      <c r="E14" s="2"/>
      <c r="H14" s="8">
        <v>12</v>
      </c>
      <c r="I14" s="8" t="s">
        <v>26</v>
      </c>
    </row>
    <row r="15" spans="2:9" x14ac:dyDescent="0.25">
      <c r="B15" s="2"/>
      <c r="C15" s="4" t="s">
        <v>27</v>
      </c>
      <c r="D15" s="5" t="s">
        <v>376</v>
      </c>
      <c r="E15" s="2"/>
    </row>
    <row r="16" spans="2:9" x14ac:dyDescent="0.25">
      <c r="B16" s="2"/>
      <c r="C16" s="4" t="s">
        <v>28</v>
      </c>
      <c r="D16" s="5" t="s">
        <v>371</v>
      </c>
      <c r="E16" s="2"/>
    </row>
    <row r="17" spans="2:5" ht="4.9000000000000004" customHeight="1" x14ac:dyDescent="0.25">
      <c r="B17" s="2"/>
      <c r="C17" s="2"/>
      <c r="D17" s="2"/>
      <c r="E17" s="2"/>
    </row>
  </sheetData>
  <sheetProtection password="BBAF" sheet="1" formatColumns="0" selectLockedCells="1"/>
  <mergeCells count="1">
    <mergeCell ref="C8:C10"/>
  </mergeCells>
  <dataValidations count="2">
    <dataValidation type="date" showErrorMessage="1" errorTitle="Kesalahan Jenis Data" error="Data yang dimasukkan harus berupa tanggal!" sqref="D5">
      <formula1>0</formula1>
      <formula2>2958465.99999999</formula2>
    </dataValidation>
    <dataValidation type="date" showErrorMessage="1" errorTitle="Kesalahan Jenis Data" error="Data yang dimasukkan harus berupa tanggal!" sqref="D11">
      <formula1>0</formula1>
      <formula2>2958465.99999999</formula2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showGridLines="0" view="pageBreakPreview" zoomScale="55" zoomScaleSheetLayoutView="55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F17" sqref="F17"/>
    </sheetView>
  </sheetViews>
  <sheetFormatPr defaultColWidth="9.140625" defaultRowHeight="15" x14ac:dyDescent="0.25"/>
  <cols>
    <col min="1" max="1" width="9.140625" style="1" customWidth="1"/>
    <col min="2" max="3" width="1" style="1" customWidth="1"/>
    <col min="4" max="9" width="30" style="1" customWidth="1"/>
    <col min="10" max="10" width="1" style="1" customWidth="1"/>
    <col min="11" max="11" width="9.140625" style="1" customWidth="1"/>
    <col min="12" max="16384" width="9.140625" style="1"/>
  </cols>
  <sheetData>
    <row r="2" spans="2:10" ht="4.9000000000000004" customHeight="1" x14ac:dyDescent="0.25">
      <c r="B2" s="9" t="s">
        <v>139</v>
      </c>
      <c r="C2" s="2"/>
      <c r="D2" s="2"/>
      <c r="E2" s="2"/>
      <c r="F2" s="2"/>
      <c r="G2" s="2"/>
      <c r="H2" s="2"/>
      <c r="I2" s="2"/>
      <c r="J2" s="2"/>
    </row>
    <row r="3" spans="2:10" x14ac:dyDescent="0.25">
      <c r="B3" s="9" t="s">
        <v>6</v>
      </c>
      <c r="C3" s="2"/>
      <c r="D3" s="2"/>
      <c r="E3" s="2"/>
      <c r="F3" s="2"/>
      <c r="G3" s="2"/>
      <c r="H3" s="2"/>
      <c r="I3" s="2"/>
      <c r="J3" s="2"/>
    </row>
    <row r="4" spans="2:10" x14ac:dyDescent="0.25">
      <c r="B4" s="2"/>
      <c r="C4" s="2"/>
      <c r="D4" s="2"/>
      <c r="E4" s="2"/>
      <c r="F4" s="2"/>
      <c r="G4" s="2"/>
      <c r="H4" s="2"/>
      <c r="I4" s="2"/>
      <c r="J4" s="2"/>
    </row>
    <row r="5" spans="2:10" x14ac:dyDescent="0.25">
      <c r="B5" s="2"/>
      <c r="C5" s="2"/>
      <c r="D5" s="2"/>
      <c r="E5" s="2"/>
      <c r="F5" s="2"/>
      <c r="G5" s="2"/>
      <c r="H5" s="2"/>
      <c r="I5" s="2"/>
      <c r="J5" s="2"/>
    </row>
    <row r="6" spans="2:10" x14ac:dyDescent="0.25">
      <c r="B6" s="2"/>
      <c r="C6" s="2"/>
      <c r="D6" s="2"/>
      <c r="E6" s="2"/>
      <c r="F6" s="2"/>
      <c r="G6" s="2"/>
      <c r="H6" s="2"/>
      <c r="I6" s="2"/>
      <c r="J6" s="2"/>
    </row>
    <row r="7" spans="2:10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46"/>
      <c r="J7" s="2"/>
    </row>
    <row r="8" spans="2:10" x14ac:dyDescent="0.25">
      <c r="B8" s="2"/>
      <c r="C8" s="2"/>
      <c r="D8" s="2"/>
      <c r="E8" s="2"/>
      <c r="F8" s="2"/>
      <c r="G8" s="2"/>
      <c r="H8" s="2"/>
      <c r="I8" s="2"/>
      <c r="J8" s="2"/>
    </row>
    <row r="9" spans="2:10" x14ac:dyDescent="0.25">
      <c r="B9" s="2"/>
      <c r="C9" s="47" t="s">
        <v>140</v>
      </c>
      <c r="D9" s="47"/>
      <c r="E9" s="47"/>
      <c r="F9" s="47"/>
      <c r="G9" s="47"/>
      <c r="H9" s="47"/>
      <c r="I9" s="47"/>
      <c r="J9" s="2"/>
    </row>
    <row r="10" spans="2:10" x14ac:dyDescent="0.25">
      <c r="B10" s="2"/>
      <c r="C10" s="47" t="s">
        <v>141</v>
      </c>
      <c r="D10" s="47"/>
      <c r="E10" s="47"/>
      <c r="F10" s="47"/>
      <c r="G10" s="47"/>
      <c r="H10" s="47"/>
      <c r="I10" s="47"/>
      <c r="J10" s="2"/>
    </row>
    <row r="11" spans="2:10" x14ac:dyDescent="0.25">
      <c r="B11" s="2"/>
      <c r="C11" s="48" t="str">
        <f>CONCATENATE("Bulan ", 'Data Umum'!D12, " Tahun ", TEXT('Data Umum'!D11, "YYYY"))</f>
        <v>Bulan Agustus Tahun 2016</v>
      </c>
      <c r="D11" s="48"/>
      <c r="E11" s="48"/>
      <c r="F11" s="48"/>
      <c r="G11" s="48"/>
      <c r="H11" s="48"/>
      <c r="I11" s="48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x14ac:dyDescent="0.25">
      <c r="B13" s="2"/>
      <c r="C13" s="49"/>
      <c r="D13" s="49"/>
      <c r="E13" s="49"/>
      <c r="F13" s="49"/>
      <c r="G13" s="49"/>
      <c r="H13" s="49"/>
      <c r="I13" s="49"/>
      <c r="J13" s="2"/>
    </row>
    <row r="14" spans="2:10" x14ac:dyDescent="0.25">
      <c r="B14" s="2"/>
      <c r="C14" s="50" t="s">
        <v>119</v>
      </c>
      <c r="D14" s="51"/>
      <c r="E14" s="50" t="str">
        <f>""</f>
        <v/>
      </c>
      <c r="F14" s="68"/>
      <c r="G14" s="51"/>
      <c r="H14" s="50" t="str">
        <f>"Jumlah"</f>
        <v>Jumlah</v>
      </c>
      <c r="I14" s="51"/>
      <c r="J14" s="2"/>
    </row>
    <row r="15" spans="2:10" x14ac:dyDescent="0.25">
      <c r="B15" s="2"/>
      <c r="C15" s="52"/>
      <c r="D15" s="53"/>
      <c r="E15" s="54" t="str">
        <f>"Nama Perusahaan"</f>
        <v>Nama Perusahaan</v>
      </c>
      <c r="F15" s="54" t="str">
        <f>"Tanggal Mulai Kerjasama"</f>
        <v>Tanggal Mulai Kerjasama</v>
      </c>
      <c r="G15" s="54" t="str">
        <f>"Skim"</f>
        <v>Skim</v>
      </c>
      <c r="H15" s="54" t="str">
        <f>"Bulan Lalu"</f>
        <v>Bulan Lalu</v>
      </c>
      <c r="I15" s="54" t="str">
        <f>"Bulan Laporan"</f>
        <v>Bulan Laporan</v>
      </c>
      <c r="J15" s="2"/>
    </row>
    <row r="16" spans="2:10" x14ac:dyDescent="0.25">
      <c r="B16" s="2"/>
      <c r="C16" s="56" t="s">
        <v>6</v>
      </c>
      <c r="D16" s="51"/>
      <c r="E16" s="65"/>
      <c r="F16" s="66"/>
      <c r="G16" s="65"/>
      <c r="H16" s="61">
        <v>0</v>
      </c>
      <c r="I16" s="61">
        <v>0</v>
      </c>
      <c r="J16" s="2"/>
    </row>
    <row r="17" spans="1:10" x14ac:dyDescent="0.25">
      <c r="B17" s="2"/>
      <c r="C17" s="56" t="s">
        <v>120</v>
      </c>
      <c r="D17" s="51"/>
      <c r="E17" s="65"/>
      <c r="F17" s="66"/>
      <c r="G17" s="65"/>
      <c r="H17" s="61">
        <v>0</v>
      </c>
      <c r="I17" s="61">
        <v>0</v>
      </c>
      <c r="J17" s="2"/>
    </row>
    <row r="18" spans="1:10" x14ac:dyDescent="0.25">
      <c r="B18" s="2"/>
      <c r="C18" s="56" t="s">
        <v>121</v>
      </c>
      <c r="D18" s="51"/>
      <c r="E18" s="65"/>
      <c r="F18" s="66"/>
      <c r="G18" s="65"/>
      <c r="H18" s="61">
        <v>0</v>
      </c>
      <c r="I18" s="61">
        <v>0</v>
      </c>
      <c r="J18" s="2"/>
    </row>
    <row r="19" spans="1:10" x14ac:dyDescent="0.25">
      <c r="B19" s="2"/>
      <c r="C19" s="56" t="s">
        <v>122</v>
      </c>
      <c r="D19" s="51"/>
      <c r="E19" s="65"/>
      <c r="F19" s="66"/>
      <c r="G19" s="65"/>
      <c r="H19" s="61">
        <v>0</v>
      </c>
      <c r="I19" s="61">
        <v>0</v>
      </c>
      <c r="J19" s="2"/>
    </row>
    <row r="20" spans="1:10" x14ac:dyDescent="0.25">
      <c r="B20" s="2"/>
      <c r="C20" s="56" t="s">
        <v>123</v>
      </c>
      <c r="D20" s="51"/>
      <c r="E20" s="65"/>
      <c r="F20" s="66"/>
      <c r="G20" s="65"/>
      <c r="H20" s="61">
        <v>0</v>
      </c>
      <c r="I20" s="61">
        <v>0</v>
      </c>
      <c r="J20" s="2"/>
    </row>
    <row r="21" spans="1:10" x14ac:dyDescent="0.25">
      <c r="B21" s="2"/>
      <c r="C21" s="56" t="s">
        <v>124</v>
      </c>
      <c r="D21" s="51"/>
      <c r="E21" s="65"/>
      <c r="F21" s="66"/>
      <c r="G21" s="65"/>
      <c r="H21" s="61">
        <v>0</v>
      </c>
      <c r="I21" s="61">
        <v>0</v>
      </c>
      <c r="J21" s="2"/>
    </row>
    <row r="22" spans="1:10" x14ac:dyDescent="0.25">
      <c r="B22" s="2"/>
      <c r="C22" s="56" t="s">
        <v>125</v>
      </c>
      <c r="D22" s="51"/>
      <c r="E22" s="65"/>
      <c r="F22" s="66"/>
      <c r="G22" s="65"/>
      <c r="H22" s="61">
        <v>0</v>
      </c>
      <c r="I22" s="61">
        <v>0</v>
      </c>
      <c r="J22" s="2"/>
    </row>
    <row r="23" spans="1:10" x14ac:dyDescent="0.25">
      <c r="B23" s="2"/>
      <c r="C23" s="56" t="s">
        <v>126</v>
      </c>
      <c r="D23" s="51"/>
      <c r="E23" s="65"/>
      <c r="F23" s="66"/>
      <c r="G23" s="65"/>
      <c r="H23" s="61">
        <v>0</v>
      </c>
      <c r="I23" s="61">
        <v>0</v>
      </c>
      <c r="J23" s="2"/>
    </row>
    <row r="24" spans="1:10" s="20" customFormat="1" x14ac:dyDescent="0.25">
      <c r="B24" s="5"/>
      <c r="C24" s="62" t="s">
        <v>127</v>
      </c>
      <c r="D24" s="64"/>
      <c r="E24" s="65"/>
      <c r="F24" s="66"/>
      <c r="G24" s="65"/>
      <c r="H24" s="61">
        <v>0</v>
      </c>
      <c r="I24" s="61">
        <v>0</v>
      </c>
      <c r="J24" s="5"/>
    </row>
    <row r="25" spans="1:10" s="20" customFormat="1" x14ac:dyDescent="0.25">
      <c r="A25" s="23" t="s">
        <v>128</v>
      </c>
      <c r="B25" s="5"/>
      <c r="C25" s="62" t="s">
        <v>129</v>
      </c>
      <c r="D25" s="64"/>
      <c r="E25" s="65"/>
      <c r="F25" s="66"/>
      <c r="G25" s="65"/>
      <c r="H25" s="61">
        <v>0</v>
      </c>
      <c r="I25" s="61">
        <v>0</v>
      </c>
      <c r="J25" s="5"/>
    </row>
    <row r="26" spans="1:10" x14ac:dyDescent="0.25">
      <c r="A26" s="24" t="s">
        <v>130</v>
      </c>
      <c r="B26" s="2"/>
      <c r="C26" s="56" t="s">
        <v>131</v>
      </c>
      <c r="D26" s="51"/>
      <c r="E26" s="13" t="str">
        <f>""</f>
        <v/>
      </c>
      <c r="F26" s="18" t="str">
        <f>""</f>
        <v/>
      </c>
      <c r="G26" s="13" t="str">
        <f>""</f>
        <v/>
      </c>
      <c r="H26" s="19">
        <f>SUM(H16:H25)</f>
        <v>0</v>
      </c>
      <c r="I26" s="19">
        <f>SUM(I16:I25)</f>
        <v>0</v>
      </c>
      <c r="J26" s="2"/>
    </row>
    <row r="27" spans="1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1:10" ht="4.9000000000000004" customHeight="1" x14ac:dyDescent="0.25">
      <c r="B28" s="2"/>
      <c r="C28" s="2"/>
      <c r="D28" s="2"/>
      <c r="E28" s="2"/>
      <c r="F28" s="2"/>
      <c r="G28" s="2"/>
      <c r="H28" s="2"/>
      <c r="I28" s="2"/>
      <c r="J28" s="2"/>
    </row>
  </sheetData>
  <sheetProtection password="BBAF" sheet="1" formatColumns="0" insertRows="0" deleteRows="0" selectLockedCells="1"/>
  <mergeCells count="74">
    <mergeCell ref="I25"/>
    <mergeCell ref="C26:D26"/>
    <mergeCell ref="C25:D25"/>
    <mergeCell ref="E25"/>
    <mergeCell ref="F25"/>
    <mergeCell ref="G25"/>
    <mergeCell ref="H25"/>
    <mergeCell ref="I23"/>
    <mergeCell ref="C24:D24"/>
    <mergeCell ref="E24"/>
    <mergeCell ref="F24"/>
    <mergeCell ref="G24"/>
    <mergeCell ref="H24"/>
    <mergeCell ref="I24"/>
    <mergeCell ref="C23:D23"/>
    <mergeCell ref="E23"/>
    <mergeCell ref="F23"/>
    <mergeCell ref="G23"/>
    <mergeCell ref="H23"/>
    <mergeCell ref="I21"/>
    <mergeCell ref="C22:D22"/>
    <mergeCell ref="E22"/>
    <mergeCell ref="F22"/>
    <mergeCell ref="G22"/>
    <mergeCell ref="H22"/>
    <mergeCell ref="I22"/>
    <mergeCell ref="C21:D21"/>
    <mergeCell ref="E21"/>
    <mergeCell ref="F21"/>
    <mergeCell ref="G21"/>
    <mergeCell ref="H21"/>
    <mergeCell ref="I19"/>
    <mergeCell ref="C20:D20"/>
    <mergeCell ref="E20"/>
    <mergeCell ref="F20"/>
    <mergeCell ref="G20"/>
    <mergeCell ref="H20"/>
    <mergeCell ref="I20"/>
    <mergeCell ref="C19:D19"/>
    <mergeCell ref="E19"/>
    <mergeCell ref="F19"/>
    <mergeCell ref="G19"/>
    <mergeCell ref="H19"/>
    <mergeCell ref="I17"/>
    <mergeCell ref="C18:D18"/>
    <mergeCell ref="E18"/>
    <mergeCell ref="F18"/>
    <mergeCell ref="G18"/>
    <mergeCell ref="H18"/>
    <mergeCell ref="I18"/>
    <mergeCell ref="C17:D17"/>
    <mergeCell ref="E17"/>
    <mergeCell ref="F17"/>
    <mergeCell ref="G17"/>
    <mergeCell ref="H17"/>
    <mergeCell ref="H15"/>
    <mergeCell ref="H14:I14"/>
    <mergeCell ref="I15"/>
    <mergeCell ref="C16:D16"/>
    <mergeCell ref="E16"/>
    <mergeCell ref="F16"/>
    <mergeCell ref="G16"/>
    <mergeCell ref="H16"/>
    <mergeCell ref="I16"/>
    <mergeCell ref="C14:D15"/>
    <mergeCell ref="E15"/>
    <mergeCell ref="F15"/>
    <mergeCell ref="G15"/>
    <mergeCell ref="E14:G14"/>
    <mergeCell ref="C7:I7"/>
    <mergeCell ref="C9:I9"/>
    <mergeCell ref="C10:I10"/>
    <mergeCell ref="C11:I11"/>
    <mergeCell ref="C13:I13"/>
  </mergeCells>
  <dataValidations count="30">
    <dataValidation type="date" showErrorMessage="1" errorTitle="Kesalahan Jenis Data" error="Data yang dimasukkan harus berupa tanggal!" sqref="F16">
      <formula1>0</formula1>
      <formula2>2958465.99999999</formula2>
    </dataValidation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ate" showErrorMessage="1" errorTitle="Kesalahan Jenis Data" error="Data yang dimasukkan harus berupa tanggal!" sqref="F17">
      <formula1>0</formula1>
      <formula2>2958465.99999999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ate" showErrorMessage="1" errorTitle="Kesalahan Jenis Data" error="Data yang dimasukkan harus berupa tanggal!" sqref="F18">
      <formula1>0</formula1>
      <formula2>2958465.99999999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ate" showErrorMessage="1" errorTitle="Kesalahan Jenis Data" error="Data yang dimasukkan harus berupa tanggal!" sqref="F19">
      <formula1>0</formula1>
      <formula2>2958465.99999999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ate" showErrorMessage="1" errorTitle="Kesalahan Jenis Data" error="Data yang dimasukkan harus berupa tanggal!" sqref="F20">
      <formula1>0</formula1>
      <formula2>2958465.99999999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ate" showErrorMessage="1" errorTitle="Kesalahan Jenis Data" error="Data yang dimasukkan harus berupa tanggal!" sqref="F21">
      <formula1>0</formula1>
      <formula2>2958465.99999999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ate" showErrorMessage="1" errorTitle="Kesalahan Jenis Data" error="Data yang dimasukkan harus berupa tanggal!" sqref="F22">
      <formula1>0</formula1>
      <formula2>2958465.99999999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ate" showErrorMessage="1" errorTitle="Kesalahan Jenis Data" error="Data yang dimasukkan harus berupa tanggal!" sqref="F23">
      <formula1>0</formula1>
      <formula2>2958465.99999999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ate" showErrorMessage="1" errorTitle="Kesalahan Jenis Data" error="Data yang dimasukkan harus berupa tanggal!" sqref="F24">
      <formula1>0</formula1>
      <formula2>2958465.99999999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ate" showErrorMessage="1" errorTitle="Kesalahan Jenis Data" error="Data yang dimasukkan harus berupa tanggal!" sqref="F25">
      <formula1>0</formula1>
      <formula2>2958465.99999999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</dataValidations>
  <pageMargins left="0.7" right="0.7" top="0.75" bottom="0.75" header="0.3" footer="0.3"/>
  <pageSetup paperSize="9" scale="68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showGridLines="0" view="pageBreakPreview" zoomScale="85" zoomScaleSheetLayoutView="85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F16" sqref="F16"/>
    </sheetView>
  </sheetViews>
  <sheetFormatPr defaultColWidth="9.140625" defaultRowHeight="15" x14ac:dyDescent="0.25"/>
  <cols>
    <col min="1" max="1" width="9.140625" style="1" customWidth="1"/>
    <col min="2" max="2" width="5.140625" style="1" customWidth="1"/>
    <col min="3" max="3" width="5.42578125" style="1" customWidth="1"/>
    <col min="4" max="4" width="69.28515625" style="1" customWidth="1"/>
    <col min="5" max="9" width="30" style="1" customWidth="1"/>
    <col min="10" max="10" width="1" style="1" customWidth="1"/>
    <col min="11" max="11" width="9.140625" style="1" customWidth="1"/>
    <col min="12" max="16384" width="9.140625" style="1"/>
  </cols>
  <sheetData>
    <row r="2" spans="2:10" ht="4.9000000000000004" customHeight="1" x14ac:dyDescent="0.25">
      <c r="B2" s="9" t="s">
        <v>142</v>
      </c>
      <c r="C2" s="2"/>
      <c r="D2" s="2"/>
      <c r="E2" s="2"/>
      <c r="F2" s="2"/>
      <c r="G2" s="2"/>
      <c r="H2" s="2"/>
      <c r="I2" s="2"/>
      <c r="J2" s="2"/>
    </row>
    <row r="3" spans="2:10" x14ac:dyDescent="0.25">
      <c r="B3" s="9" t="s">
        <v>6</v>
      </c>
      <c r="C3" s="2"/>
      <c r="D3" s="2"/>
      <c r="E3" s="2"/>
      <c r="F3" s="2"/>
      <c r="G3" s="2"/>
      <c r="H3" s="2"/>
      <c r="I3" s="2"/>
      <c r="J3" s="2"/>
    </row>
    <row r="4" spans="2:10" x14ac:dyDescent="0.25">
      <c r="B4" s="2"/>
      <c r="C4" s="2"/>
      <c r="D4" s="2"/>
      <c r="E4" s="2"/>
      <c r="F4" s="2"/>
      <c r="G4" s="2"/>
      <c r="H4" s="2"/>
      <c r="I4" s="2"/>
      <c r="J4" s="2"/>
    </row>
    <row r="5" spans="2:10" x14ac:dyDescent="0.25">
      <c r="B5" s="2"/>
      <c r="C5" s="2"/>
      <c r="D5" s="2"/>
      <c r="E5" s="2"/>
      <c r="F5" s="2"/>
      <c r="G5" s="2"/>
      <c r="H5" s="2"/>
      <c r="I5" s="2"/>
      <c r="J5" s="2"/>
    </row>
    <row r="6" spans="2:10" x14ac:dyDescent="0.25">
      <c r="B6" s="2"/>
      <c r="C6" s="2"/>
      <c r="D6" s="2"/>
      <c r="E6" s="2"/>
      <c r="F6" s="2"/>
      <c r="G6" s="2"/>
      <c r="H6" s="2"/>
      <c r="I6" s="2"/>
      <c r="J6" s="2"/>
    </row>
    <row r="7" spans="2:10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46"/>
      <c r="J7" s="2"/>
    </row>
    <row r="8" spans="2:10" x14ac:dyDescent="0.25">
      <c r="B8" s="2"/>
      <c r="C8" s="2"/>
      <c r="D8" s="2"/>
      <c r="E8" s="2"/>
      <c r="F8" s="2"/>
      <c r="G8" s="2"/>
      <c r="H8" s="2"/>
      <c r="I8" s="2"/>
      <c r="J8" s="2"/>
    </row>
    <row r="9" spans="2:10" x14ac:dyDescent="0.25">
      <c r="B9" s="2"/>
      <c r="C9" s="47" t="s">
        <v>143</v>
      </c>
      <c r="D9" s="47"/>
      <c r="E9" s="47"/>
      <c r="F9" s="47"/>
      <c r="G9" s="47"/>
      <c r="H9" s="47"/>
      <c r="I9" s="47"/>
      <c r="J9" s="2"/>
    </row>
    <row r="10" spans="2:10" x14ac:dyDescent="0.25">
      <c r="B10" s="2"/>
      <c r="C10" s="47" t="s">
        <v>144</v>
      </c>
      <c r="D10" s="47"/>
      <c r="E10" s="47"/>
      <c r="F10" s="47"/>
      <c r="G10" s="47"/>
      <c r="H10" s="47"/>
      <c r="I10" s="47"/>
      <c r="J10" s="2"/>
    </row>
    <row r="11" spans="2:10" x14ac:dyDescent="0.25">
      <c r="B11" s="2"/>
      <c r="C11" s="48" t="str">
        <f>""</f>
        <v/>
      </c>
      <c r="D11" s="48"/>
      <c r="E11" s="48"/>
      <c r="F11" s="48"/>
      <c r="G11" s="48"/>
      <c r="H11" s="48"/>
      <c r="I11" s="48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x14ac:dyDescent="0.25">
      <c r="B13" s="2"/>
      <c r="C13" s="49"/>
      <c r="D13" s="49"/>
      <c r="E13" s="49"/>
      <c r="F13" s="49"/>
      <c r="G13" s="49"/>
      <c r="H13" s="49"/>
      <c r="I13" s="49"/>
      <c r="J13" s="2"/>
    </row>
    <row r="14" spans="2:10" x14ac:dyDescent="0.25">
      <c r="B14" s="2"/>
      <c r="C14" s="50" t="s">
        <v>119</v>
      </c>
      <c r="D14" s="51"/>
      <c r="E14" s="50" t="str">
        <f>""</f>
        <v/>
      </c>
      <c r="F14" s="68"/>
      <c r="G14" s="51"/>
      <c r="H14" s="50" t="str">
        <f>"Jumlah"</f>
        <v>Jumlah</v>
      </c>
      <c r="I14" s="51"/>
      <c r="J14" s="2"/>
    </row>
    <row r="15" spans="2:10" x14ac:dyDescent="0.25">
      <c r="B15" s="2"/>
      <c r="C15" s="52"/>
      <c r="D15" s="53"/>
      <c r="E15" s="54" t="str">
        <f>"Nama Perusahaan"</f>
        <v>Nama Perusahaan</v>
      </c>
      <c r="F15" s="54" t="str">
        <f>"Tanggal Mulai Kerjasama"</f>
        <v>Tanggal Mulai Kerjasama</v>
      </c>
      <c r="G15" s="54" t="str">
        <f>"Skim"</f>
        <v>Skim</v>
      </c>
      <c r="H15" s="54" t="str">
        <f>"Bulan Lalu"</f>
        <v>Bulan Lalu</v>
      </c>
      <c r="I15" s="54" t="str">
        <f>"Bulan Laporan"</f>
        <v>Bulan Laporan</v>
      </c>
      <c r="J15" s="2"/>
    </row>
    <row r="16" spans="2:10" x14ac:dyDescent="0.25">
      <c r="B16" s="2"/>
      <c r="C16" s="56" t="s">
        <v>6</v>
      </c>
      <c r="D16" s="51"/>
      <c r="E16" s="65"/>
      <c r="F16" s="66"/>
      <c r="G16" s="65"/>
      <c r="H16" s="61">
        <v>0</v>
      </c>
      <c r="I16" s="61">
        <v>0</v>
      </c>
      <c r="J16" s="2"/>
    </row>
    <row r="17" spans="1:10" x14ac:dyDescent="0.25">
      <c r="B17" s="2"/>
      <c r="C17" s="56" t="s">
        <v>120</v>
      </c>
      <c r="D17" s="51"/>
      <c r="E17" s="65"/>
      <c r="F17" s="66"/>
      <c r="G17" s="65"/>
      <c r="H17" s="61">
        <v>0</v>
      </c>
      <c r="I17" s="61">
        <v>0</v>
      </c>
      <c r="J17" s="2"/>
    </row>
    <row r="18" spans="1:10" x14ac:dyDescent="0.25">
      <c r="B18" s="2"/>
      <c r="C18" s="56" t="s">
        <v>121</v>
      </c>
      <c r="D18" s="51"/>
      <c r="E18" s="65"/>
      <c r="F18" s="66"/>
      <c r="G18" s="65"/>
      <c r="H18" s="61">
        <v>0</v>
      </c>
      <c r="I18" s="61">
        <v>0</v>
      </c>
      <c r="J18" s="2"/>
    </row>
    <row r="19" spans="1:10" x14ac:dyDescent="0.25">
      <c r="B19" s="2"/>
      <c r="C19" s="56" t="s">
        <v>122</v>
      </c>
      <c r="D19" s="51"/>
      <c r="E19" s="65"/>
      <c r="F19" s="66"/>
      <c r="G19" s="65"/>
      <c r="H19" s="61">
        <v>0</v>
      </c>
      <c r="I19" s="61">
        <v>0</v>
      </c>
      <c r="J19" s="2"/>
    </row>
    <row r="20" spans="1:10" x14ac:dyDescent="0.25">
      <c r="B20" s="2"/>
      <c r="C20" s="56" t="s">
        <v>123</v>
      </c>
      <c r="D20" s="51"/>
      <c r="E20" s="65"/>
      <c r="F20" s="66"/>
      <c r="G20" s="65"/>
      <c r="H20" s="61">
        <v>0</v>
      </c>
      <c r="I20" s="61">
        <v>0</v>
      </c>
      <c r="J20" s="2"/>
    </row>
    <row r="21" spans="1:10" x14ac:dyDescent="0.25">
      <c r="B21" s="2"/>
      <c r="C21" s="56" t="s">
        <v>124</v>
      </c>
      <c r="D21" s="51"/>
      <c r="E21" s="65"/>
      <c r="F21" s="66"/>
      <c r="G21" s="65"/>
      <c r="H21" s="61">
        <v>0</v>
      </c>
      <c r="I21" s="61">
        <v>0</v>
      </c>
      <c r="J21" s="2"/>
    </row>
    <row r="22" spans="1:10" x14ac:dyDescent="0.25">
      <c r="B22" s="2"/>
      <c r="C22" s="56" t="s">
        <v>125</v>
      </c>
      <c r="D22" s="51"/>
      <c r="E22" s="65"/>
      <c r="F22" s="66"/>
      <c r="G22" s="65"/>
      <c r="H22" s="61">
        <v>0</v>
      </c>
      <c r="I22" s="61">
        <v>0</v>
      </c>
      <c r="J22" s="2"/>
    </row>
    <row r="23" spans="1:10" x14ac:dyDescent="0.25">
      <c r="B23" s="2"/>
      <c r="C23" s="56" t="s">
        <v>126</v>
      </c>
      <c r="D23" s="51"/>
      <c r="E23" s="65"/>
      <c r="F23" s="66"/>
      <c r="G23" s="65"/>
      <c r="H23" s="61">
        <v>0</v>
      </c>
      <c r="I23" s="61">
        <v>0</v>
      </c>
      <c r="J23" s="2"/>
    </row>
    <row r="24" spans="1:10" s="20" customFormat="1" x14ac:dyDescent="0.25">
      <c r="B24" s="5"/>
      <c r="C24" s="62" t="s">
        <v>127</v>
      </c>
      <c r="D24" s="64"/>
      <c r="E24" s="65"/>
      <c r="F24" s="66"/>
      <c r="G24" s="65"/>
      <c r="H24" s="61">
        <v>0</v>
      </c>
      <c r="I24" s="61">
        <v>0</v>
      </c>
      <c r="J24" s="5"/>
    </row>
    <row r="25" spans="1:10" s="20" customFormat="1" x14ac:dyDescent="0.25">
      <c r="A25" s="23" t="s">
        <v>128</v>
      </c>
      <c r="B25" s="5"/>
      <c r="C25" s="62" t="s">
        <v>129</v>
      </c>
      <c r="D25" s="64"/>
      <c r="E25" s="65"/>
      <c r="F25" s="66"/>
      <c r="G25" s="65"/>
      <c r="H25" s="61">
        <v>0</v>
      </c>
      <c r="I25" s="61">
        <v>0</v>
      </c>
      <c r="J25" s="5"/>
    </row>
    <row r="26" spans="1:10" x14ac:dyDescent="0.25">
      <c r="A26" s="24" t="s">
        <v>130</v>
      </c>
      <c r="B26" s="2"/>
      <c r="C26" s="56" t="s">
        <v>131</v>
      </c>
      <c r="D26" s="51"/>
      <c r="E26" s="13" t="str">
        <f>""</f>
        <v/>
      </c>
      <c r="F26" s="18" t="str">
        <f>""</f>
        <v/>
      </c>
      <c r="G26" s="13" t="str">
        <f>""</f>
        <v/>
      </c>
      <c r="H26" s="19">
        <f>SUM(H16:H25)</f>
        <v>0</v>
      </c>
      <c r="I26" s="19">
        <f>SUM(I16:I25)</f>
        <v>0</v>
      </c>
      <c r="J26" s="2"/>
    </row>
    <row r="27" spans="1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1:10" ht="4.9000000000000004" customHeight="1" x14ac:dyDescent="0.25">
      <c r="B28" s="2"/>
      <c r="C28" s="2"/>
      <c r="D28" s="2"/>
      <c r="E28" s="2"/>
      <c r="F28" s="2"/>
      <c r="G28" s="2"/>
      <c r="H28" s="2"/>
      <c r="I28" s="2"/>
      <c r="J28" s="2"/>
    </row>
  </sheetData>
  <sheetProtection password="BBAF" sheet="1" formatColumns="0" insertRows="0" deleteRows="0" selectLockedCells="1"/>
  <mergeCells count="74">
    <mergeCell ref="I25"/>
    <mergeCell ref="C26:D26"/>
    <mergeCell ref="C25:D25"/>
    <mergeCell ref="E25"/>
    <mergeCell ref="F25"/>
    <mergeCell ref="G25"/>
    <mergeCell ref="H25"/>
    <mergeCell ref="I23"/>
    <mergeCell ref="C24:D24"/>
    <mergeCell ref="E24"/>
    <mergeCell ref="F24"/>
    <mergeCell ref="G24"/>
    <mergeCell ref="H24"/>
    <mergeCell ref="I24"/>
    <mergeCell ref="C23:D23"/>
    <mergeCell ref="E23"/>
    <mergeCell ref="F23"/>
    <mergeCell ref="G23"/>
    <mergeCell ref="H23"/>
    <mergeCell ref="I21"/>
    <mergeCell ref="C22:D22"/>
    <mergeCell ref="E22"/>
    <mergeCell ref="F22"/>
    <mergeCell ref="G22"/>
    <mergeCell ref="H22"/>
    <mergeCell ref="I22"/>
    <mergeCell ref="C21:D21"/>
    <mergeCell ref="E21"/>
    <mergeCell ref="F21"/>
    <mergeCell ref="G21"/>
    <mergeCell ref="H21"/>
    <mergeCell ref="I19"/>
    <mergeCell ref="C20:D20"/>
    <mergeCell ref="E20"/>
    <mergeCell ref="F20"/>
    <mergeCell ref="G20"/>
    <mergeCell ref="H20"/>
    <mergeCell ref="I20"/>
    <mergeCell ref="C19:D19"/>
    <mergeCell ref="E19"/>
    <mergeCell ref="F19"/>
    <mergeCell ref="G19"/>
    <mergeCell ref="H19"/>
    <mergeCell ref="I17"/>
    <mergeCell ref="C18:D18"/>
    <mergeCell ref="E18"/>
    <mergeCell ref="F18"/>
    <mergeCell ref="G18"/>
    <mergeCell ref="H18"/>
    <mergeCell ref="I18"/>
    <mergeCell ref="C17:D17"/>
    <mergeCell ref="E17"/>
    <mergeCell ref="F17"/>
    <mergeCell ref="G17"/>
    <mergeCell ref="H17"/>
    <mergeCell ref="H15"/>
    <mergeCell ref="H14:I14"/>
    <mergeCell ref="I15"/>
    <mergeCell ref="C16:D16"/>
    <mergeCell ref="E16"/>
    <mergeCell ref="F16"/>
    <mergeCell ref="G16"/>
    <mergeCell ref="H16"/>
    <mergeCell ref="I16"/>
    <mergeCell ref="C14:D15"/>
    <mergeCell ref="E15"/>
    <mergeCell ref="F15"/>
    <mergeCell ref="G15"/>
    <mergeCell ref="E14:G14"/>
    <mergeCell ref="C7:I7"/>
    <mergeCell ref="C9:I9"/>
    <mergeCell ref="C10:I10"/>
    <mergeCell ref="C11:I11"/>
    <mergeCell ref="C13:I13"/>
  </mergeCells>
  <dataValidations count="30">
    <dataValidation type="date" showErrorMessage="1" errorTitle="Kesalahan Jenis Data" error="Data yang dimasukkan harus berupa tanggal!" sqref="F16">
      <formula1>0</formula1>
      <formula2>2958465.99999999</formula2>
    </dataValidation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ate" showErrorMessage="1" errorTitle="Kesalahan Jenis Data" error="Data yang dimasukkan harus berupa tanggal!" sqref="F17">
      <formula1>0</formula1>
      <formula2>2958465.99999999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ate" showErrorMessage="1" errorTitle="Kesalahan Jenis Data" error="Data yang dimasukkan harus berupa tanggal!" sqref="F18">
      <formula1>0</formula1>
      <formula2>2958465.99999999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ate" showErrorMessage="1" errorTitle="Kesalahan Jenis Data" error="Data yang dimasukkan harus berupa tanggal!" sqref="F19">
      <formula1>0</formula1>
      <formula2>2958465.99999999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ate" showErrorMessage="1" errorTitle="Kesalahan Jenis Data" error="Data yang dimasukkan harus berupa tanggal!" sqref="F20">
      <formula1>0</formula1>
      <formula2>2958465.99999999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ate" showErrorMessage="1" errorTitle="Kesalahan Jenis Data" error="Data yang dimasukkan harus berupa tanggal!" sqref="F21">
      <formula1>0</formula1>
      <formula2>2958465.99999999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ate" showErrorMessage="1" errorTitle="Kesalahan Jenis Data" error="Data yang dimasukkan harus berupa tanggal!" sqref="F22">
      <formula1>0</formula1>
      <formula2>2958465.99999999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ate" showErrorMessage="1" errorTitle="Kesalahan Jenis Data" error="Data yang dimasukkan harus berupa tanggal!" sqref="F23">
      <formula1>0</formula1>
      <formula2>2958465.99999999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ate" showErrorMessage="1" errorTitle="Kesalahan Jenis Data" error="Data yang dimasukkan harus berupa tanggal!" sqref="F24">
      <formula1>0</formula1>
      <formula2>2958465.99999999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ate" showErrorMessage="1" errorTitle="Kesalahan Jenis Data" error="Data yang dimasukkan harus berupa tanggal!" sqref="F25">
      <formula1>0</formula1>
      <formula2>2958465.99999999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</dataValidations>
  <pageMargins left="0.7" right="0.7" top="0.75" bottom="0.75" header="0.3" footer="0.3"/>
  <pageSetup paperSize="9" scale="53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2"/>
  <sheetViews>
    <sheetView showGridLines="0" tabSelected="1" view="pageBreakPreview" zoomScale="85" zoomScaleNormal="85" zoomScaleSheetLayoutView="85" workbookViewId="0">
      <pane xSplit="4" ySplit="15" topLeftCell="F55" activePane="bottomRight" state="frozen"/>
      <selection pane="topRight" activeCell="E1" sqref="E1"/>
      <selection pane="bottomLeft" activeCell="A16" sqref="A16"/>
      <selection pane="bottomRight" activeCell="F60" sqref="F60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40" style="1" customWidth="1"/>
    <col min="4" max="4" width="30" style="1" customWidth="1"/>
    <col min="5" max="5" width="6" style="1" bestFit="1" customWidth="1"/>
    <col min="6" max="6" width="30" style="1" customWidth="1"/>
    <col min="7" max="7" width="0.42578125" style="1" customWidth="1"/>
    <col min="8" max="8" width="9.140625" style="1" customWidth="1"/>
    <col min="9" max="16384" width="9.140625" style="1"/>
  </cols>
  <sheetData>
    <row r="2" spans="2:7" ht="4.9000000000000004" customHeight="1" x14ac:dyDescent="0.25">
      <c r="B2" s="9" t="s">
        <v>145</v>
      </c>
      <c r="C2" s="2"/>
      <c r="D2" s="2"/>
      <c r="E2" s="2"/>
      <c r="F2" s="2"/>
      <c r="G2" s="2"/>
    </row>
    <row r="3" spans="2:7" x14ac:dyDescent="0.25">
      <c r="B3" s="9" t="s">
        <v>6</v>
      </c>
      <c r="C3" s="2"/>
      <c r="D3" s="2"/>
      <c r="E3" s="2"/>
      <c r="F3" s="2"/>
      <c r="G3" s="2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2"/>
      <c r="C5" s="2"/>
      <c r="D5" s="2"/>
      <c r="E5" s="2"/>
      <c r="F5" s="2"/>
      <c r="G5" s="2"/>
    </row>
    <row r="6" spans="2:7" x14ac:dyDescent="0.25">
      <c r="B6" s="2"/>
      <c r="C6" s="2"/>
      <c r="D6" s="2"/>
      <c r="E6" s="2"/>
      <c r="F6" s="2"/>
      <c r="G6" s="2"/>
    </row>
    <row r="7" spans="2:7" ht="17.25" x14ac:dyDescent="0.25">
      <c r="B7" s="2"/>
      <c r="C7" s="46" t="str">
        <f>UPPER('Data Umum'!D7)</f>
        <v>PT. JAMKRIDA SULSEL</v>
      </c>
      <c r="D7" s="46"/>
      <c r="E7" s="46"/>
      <c r="F7" s="46"/>
      <c r="G7" s="2"/>
    </row>
    <row r="8" spans="2:7" x14ac:dyDescent="0.25">
      <c r="B8" s="2"/>
      <c r="C8" s="2"/>
      <c r="D8" s="2"/>
      <c r="E8" s="2"/>
      <c r="F8" s="2"/>
      <c r="G8" s="2"/>
    </row>
    <row r="9" spans="2:7" x14ac:dyDescent="0.25">
      <c r="B9" s="2"/>
      <c r="C9" s="47" t="s">
        <v>146</v>
      </c>
      <c r="D9" s="47"/>
      <c r="E9" s="47"/>
      <c r="F9" s="47"/>
      <c r="G9" s="2"/>
    </row>
    <row r="10" spans="2:7" x14ac:dyDescent="0.25">
      <c r="B10" s="2"/>
      <c r="C10" s="47"/>
      <c r="D10" s="47"/>
      <c r="E10" s="47"/>
      <c r="F10" s="47"/>
      <c r="G10" s="2"/>
    </row>
    <row r="11" spans="2:7" x14ac:dyDescent="0.25">
      <c r="B11" s="2"/>
      <c r="C11" s="48" t="str">
        <f>"Untuk Periode "&amp;CONCATENATE("Bulan ", 'Data Umum'!D12, " Tahun ", TEXT('Data Umum'!D11, "YYYY"))</f>
        <v>Untuk Periode Bulan Agustus Tahun 2016</v>
      </c>
      <c r="D11" s="48"/>
      <c r="E11" s="48"/>
      <c r="F11" s="48"/>
      <c r="G11" s="2"/>
    </row>
    <row r="12" spans="2:7" x14ac:dyDescent="0.25">
      <c r="B12" s="2"/>
      <c r="C12" s="2"/>
      <c r="D12" s="2"/>
      <c r="E12" s="2"/>
      <c r="F12" s="2"/>
      <c r="G12" s="2"/>
    </row>
    <row r="13" spans="2:7" x14ac:dyDescent="0.25">
      <c r="B13" s="2"/>
      <c r="C13" s="49"/>
      <c r="D13" s="49"/>
      <c r="E13" s="49"/>
      <c r="F13" s="49"/>
      <c r="G13" s="2"/>
    </row>
    <row r="14" spans="2:7" x14ac:dyDescent="0.25">
      <c r="B14" s="2"/>
      <c r="C14" s="50" t="s">
        <v>49</v>
      </c>
      <c r="D14" s="51"/>
      <c r="E14" s="54" t="str">
        <f>"Sandi"</f>
        <v>Sandi</v>
      </c>
      <c r="F14" s="54" t="str">
        <f>"Jumlah"</f>
        <v>Jumlah</v>
      </c>
      <c r="G14" s="2"/>
    </row>
    <row r="15" spans="2:7" x14ac:dyDescent="0.25">
      <c r="B15" s="2"/>
      <c r="C15" s="52"/>
      <c r="D15" s="53"/>
      <c r="E15" s="55"/>
      <c r="F15" s="55"/>
      <c r="G15" s="2"/>
    </row>
    <row r="16" spans="2:7" x14ac:dyDescent="0.25">
      <c r="B16" s="2"/>
      <c r="C16" s="56" t="s">
        <v>147</v>
      </c>
      <c r="D16" s="51"/>
      <c r="E16" s="13"/>
      <c r="F16" s="16">
        <f>IFERROR(F17, 0)+IFERROR(F18, 0)+IFERROR(F19, 0)+IFERROR(F20, 0)</f>
        <v>0</v>
      </c>
      <c r="G16" s="2"/>
    </row>
    <row r="17" spans="2:7" x14ac:dyDescent="0.25">
      <c r="B17" s="2"/>
      <c r="C17" s="57" t="s">
        <v>148</v>
      </c>
      <c r="D17" s="58"/>
      <c r="E17" s="13" t="str">
        <f>"2110"</f>
        <v>2110</v>
      </c>
      <c r="F17" s="69"/>
      <c r="G17" s="2"/>
    </row>
    <row r="18" spans="2:7" x14ac:dyDescent="0.25">
      <c r="B18" s="2"/>
      <c r="C18" s="57" t="s">
        <v>149</v>
      </c>
      <c r="D18" s="58"/>
      <c r="E18" s="13" t="str">
        <f>"2120"</f>
        <v>2120</v>
      </c>
      <c r="F18" s="69">
        <v>0</v>
      </c>
      <c r="G18" s="2"/>
    </row>
    <row r="19" spans="2:7" x14ac:dyDescent="0.25">
      <c r="B19" s="2"/>
      <c r="C19" s="57" t="s">
        <v>150</v>
      </c>
      <c r="D19" s="58"/>
      <c r="E19" s="13" t="str">
        <f>"2140"</f>
        <v>2140</v>
      </c>
      <c r="F19" s="69">
        <v>0</v>
      </c>
      <c r="G19" s="2"/>
    </row>
    <row r="20" spans="2:7" x14ac:dyDescent="0.25">
      <c r="B20" s="2"/>
      <c r="C20" s="57" t="s">
        <v>151</v>
      </c>
      <c r="D20" s="58"/>
      <c r="E20" s="13" t="str">
        <f>"2150"</f>
        <v>2150</v>
      </c>
      <c r="F20" s="69">
        <v>0</v>
      </c>
      <c r="G20" s="2"/>
    </row>
    <row r="21" spans="2:7" x14ac:dyDescent="0.25">
      <c r="B21" s="2"/>
      <c r="C21" s="56" t="s">
        <v>152</v>
      </c>
      <c r="D21" s="51"/>
      <c r="E21" s="13" t="str">
        <f>"2199"</f>
        <v>2199</v>
      </c>
      <c r="F21" s="14">
        <f>F16</f>
        <v>0</v>
      </c>
      <c r="G21" s="2"/>
    </row>
    <row r="22" spans="2:7" x14ac:dyDescent="0.25">
      <c r="B22" s="2"/>
      <c r="C22" s="56" t="s">
        <v>153</v>
      </c>
      <c r="D22" s="51"/>
      <c r="E22" s="13"/>
      <c r="F22" s="16">
        <f>IFERROR(F23, 0)+IFERROR(F24, 0)+IFERROR(F25, 0)+IFERROR(F26, 0)</f>
        <v>0</v>
      </c>
      <c r="G22" s="2"/>
    </row>
    <row r="23" spans="2:7" x14ac:dyDescent="0.25">
      <c r="B23" s="2"/>
      <c r="C23" s="57" t="s">
        <v>154</v>
      </c>
      <c r="D23" s="58"/>
      <c r="E23" s="13" t="str">
        <f>"2210"</f>
        <v>2210</v>
      </c>
      <c r="F23" s="70"/>
      <c r="G23" s="2"/>
    </row>
    <row r="24" spans="2:7" x14ac:dyDescent="0.25">
      <c r="B24" s="2"/>
      <c r="C24" s="57" t="s">
        <v>155</v>
      </c>
      <c r="D24" s="58"/>
      <c r="E24" s="13" t="str">
        <f>"2220"</f>
        <v>2220</v>
      </c>
      <c r="F24" s="70"/>
      <c r="G24" s="2"/>
    </row>
    <row r="25" spans="2:7" x14ac:dyDescent="0.25">
      <c r="B25" s="2"/>
      <c r="C25" s="57" t="s">
        <v>156</v>
      </c>
      <c r="D25" s="58"/>
      <c r="E25" s="13" t="str">
        <f>"2230"</f>
        <v>2230</v>
      </c>
      <c r="F25" s="70"/>
      <c r="G25" s="2"/>
    </row>
    <row r="26" spans="2:7" x14ac:dyDescent="0.25">
      <c r="B26" s="2"/>
      <c r="C26" s="57" t="s">
        <v>157</v>
      </c>
      <c r="D26" s="58"/>
      <c r="E26" s="13" t="str">
        <f>"2240"</f>
        <v>2240</v>
      </c>
      <c r="F26" s="70">
        <v>0</v>
      </c>
      <c r="G26" s="2"/>
    </row>
    <row r="27" spans="2:7" x14ac:dyDescent="0.25">
      <c r="B27" s="2"/>
      <c r="C27" s="56" t="s">
        <v>158</v>
      </c>
      <c r="D27" s="51"/>
      <c r="E27" s="13" t="str">
        <f>"2299"</f>
        <v>2299</v>
      </c>
      <c r="F27" s="14">
        <f>F22</f>
        <v>0</v>
      </c>
      <c r="G27" s="2"/>
    </row>
    <row r="28" spans="2:7" x14ac:dyDescent="0.25">
      <c r="B28" s="2"/>
      <c r="C28" s="56" t="s">
        <v>159</v>
      </c>
      <c r="D28" s="51"/>
      <c r="E28" s="13" t="str">
        <f>"2300"</f>
        <v>2300</v>
      </c>
      <c r="F28" s="61">
        <f>F21-F27</f>
        <v>0</v>
      </c>
      <c r="G28" s="2"/>
    </row>
    <row r="29" spans="2:7" x14ac:dyDescent="0.25">
      <c r="B29" s="2"/>
      <c r="C29" s="56" t="s">
        <v>160</v>
      </c>
      <c r="D29" s="51"/>
      <c r="E29" s="13"/>
      <c r="F29" s="16">
        <f>IFERROR(F30, 0)+IFERROR(F31, 0)+IFERROR(F32, 0)+IFERROR(F33, 0)+IFERROR(F34, 0)+IFERROR(F35, 0)</f>
        <v>0</v>
      </c>
      <c r="G29" s="2"/>
    </row>
    <row r="30" spans="2:7" x14ac:dyDescent="0.25">
      <c r="B30" s="2"/>
      <c r="C30" s="57" t="s">
        <v>161</v>
      </c>
      <c r="D30" s="58"/>
      <c r="E30" s="13" t="str">
        <f>"2410"</f>
        <v>2410</v>
      </c>
      <c r="F30" s="71"/>
      <c r="G30" s="2"/>
    </row>
    <row r="31" spans="2:7" x14ac:dyDescent="0.25">
      <c r="B31" s="2"/>
      <c r="C31" s="57" t="s">
        <v>162</v>
      </c>
      <c r="D31" s="58"/>
      <c r="E31" s="13" t="str">
        <f>"2420"</f>
        <v>2420</v>
      </c>
      <c r="F31" s="71">
        <v>0</v>
      </c>
      <c r="G31" s="2"/>
    </row>
    <row r="32" spans="2:7" x14ac:dyDescent="0.25">
      <c r="B32" s="2"/>
      <c r="C32" s="57" t="s">
        <v>163</v>
      </c>
      <c r="D32" s="58"/>
      <c r="E32" s="13" t="str">
        <f>"2430"</f>
        <v>2430</v>
      </c>
      <c r="F32" s="71">
        <v>0</v>
      </c>
      <c r="G32" s="2"/>
    </row>
    <row r="33" spans="2:7" x14ac:dyDescent="0.25">
      <c r="B33" s="2"/>
      <c r="C33" s="57" t="s">
        <v>164</v>
      </c>
      <c r="D33" s="58"/>
      <c r="E33" s="13" t="str">
        <f>"2440"</f>
        <v>2440</v>
      </c>
      <c r="F33" s="71">
        <v>0</v>
      </c>
      <c r="G33" s="2"/>
    </row>
    <row r="34" spans="2:7" x14ac:dyDescent="0.25">
      <c r="B34" s="2"/>
      <c r="C34" s="57" t="s">
        <v>165</v>
      </c>
      <c r="D34" s="58"/>
      <c r="E34" s="13" t="str">
        <f>"2450"</f>
        <v>2450</v>
      </c>
      <c r="F34" s="71">
        <v>0</v>
      </c>
      <c r="G34" s="2"/>
    </row>
    <row r="35" spans="2:7" x14ac:dyDescent="0.25">
      <c r="B35" s="2"/>
      <c r="C35" s="57" t="s">
        <v>166</v>
      </c>
      <c r="D35" s="58"/>
      <c r="E35" s="13" t="str">
        <f>"2460"</f>
        <v>2460</v>
      </c>
      <c r="F35" s="71"/>
      <c r="G35" s="2"/>
    </row>
    <row r="36" spans="2:7" x14ac:dyDescent="0.25">
      <c r="B36" s="2"/>
      <c r="C36" s="56" t="s">
        <v>167</v>
      </c>
      <c r="D36" s="51"/>
      <c r="E36" s="13" t="str">
        <f>"2499"</f>
        <v>2499</v>
      </c>
      <c r="F36" s="14">
        <f>F29</f>
        <v>0</v>
      </c>
      <c r="G36" s="2"/>
    </row>
    <row r="37" spans="2:7" x14ac:dyDescent="0.25">
      <c r="B37" s="2"/>
      <c r="C37" s="56" t="s">
        <v>168</v>
      </c>
      <c r="D37" s="51"/>
      <c r="E37" s="13"/>
      <c r="F37" s="16">
        <f>IFERROR(F38, 0)+IFERROR(F39, 0)+IFERROR(F40, 0)+IFERROR(F41, 0)+IFERROR(F42, 0)+IFERROR(F43, 0)+IFERROR(F44, 0)+IFERROR(F45, 0)</f>
        <v>0</v>
      </c>
      <c r="G37" s="2"/>
    </row>
    <row r="38" spans="2:7" x14ac:dyDescent="0.25">
      <c r="B38" s="2"/>
      <c r="C38" s="57" t="s">
        <v>169</v>
      </c>
      <c r="D38" s="58"/>
      <c r="E38" s="13" t="str">
        <f>"2510"</f>
        <v>2510</v>
      </c>
      <c r="F38" s="72"/>
      <c r="G38" s="2"/>
    </row>
    <row r="39" spans="2:7" x14ac:dyDescent="0.25">
      <c r="B39" s="2"/>
      <c r="C39" s="57" t="s">
        <v>170</v>
      </c>
      <c r="D39" s="58"/>
      <c r="E39" s="13" t="str">
        <f>"2520"</f>
        <v>2520</v>
      </c>
      <c r="F39" s="72"/>
      <c r="G39" s="2"/>
    </row>
    <row r="40" spans="2:7" x14ac:dyDescent="0.25">
      <c r="B40" s="2"/>
      <c r="C40" s="57" t="s">
        <v>171</v>
      </c>
      <c r="D40" s="58"/>
      <c r="E40" s="13" t="str">
        <f>"2530"</f>
        <v>2530</v>
      </c>
      <c r="F40" s="72"/>
      <c r="G40" s="2"/>
    </row>
    <row r="41" spans="2:7" x14ac:dyDescent="0.25">
      <c r="B41" s="2"/>
      <c r="C41" s="57" t="s">
        <v>172</v>
      </c>
      <c r="D41" s="58"/>
      <c r="E41" s="13" t="str">
        <f>"2540"</f>
        <v>2540</v>
      </c>
      <c r="F41" s="72">
        <v>0</v>
      </c>
      <c r="G41" s="2"/>
    </row>
    <row r="42" spans="2:7" x14ac:dyDescent="0.25">
      <c r="B42" s="2"/>
      <c r="C42" s="57" t="s">
        <v>173</v>
      </c>
      <c r="D42" s="58"/>
      <c r="E42" s="13" t="str">
        <f>"2550"</f>
        <v>2550</v>
      </c>
      <c r="F42" s="72">
        <v>0</v>
      </c>
      <c r="G42" s="2"/>
    </row>
    <row r="43" spans="2:7" x14ac:dyDescent="0.25">
      <c r="B43" s="2"/>
      <c r="C43" s="57" t="s">
        <v>174</v>
      </c>
      <c r="D43" s="58"/>
      <c r="E43" s="13" t="str">
        <f>"2560"</f>
        <v>2560</v>
      </c>
      <c r="F43" s="72">
        <v>0</v>
      </c>
      <c r="G43" s="2"/>
    </row>
    <row r="44" spans="2:7" x14ac:dyDescent="0.25">
      <c r="B44" s="2"/>
      <c r="C44" s="57" t="s">
        <v>175</v>
      </c>
      <c r="D44" s="58"/>
      <c r="E44" s="13" t="str">
        <f>"2570"</f>
        <v>2570</v>
      </c>
      <c r="F44" s="72">
        <v>0</v>
      </c>
      <c r="G44" s="2"/>
    </row>
    <row r="45" spans="2:7" x14ac:dyDescent="0.25">
      <c r="B45" s="2"/>
      <c r="C45" s="57" t="s">
        <v>176</v>
      </c>
      <c r="D45" s="58"/>
      <c r="E45" s="13" t="str">
        <f>"2580"</f>
        <v>2580</v>
      </c>
      <c r="F45" s="72">
        <v>0</v>
      </c>
      <c r="G45" s="2"/>
    </row>
    <row r="46" spans="2:7" x14ac:dyDescent="0.25">
      <c r="B46" s="2"/>
      <c r="C46" s="56" t="s">
        <v>177</v>
      </c>
      <c r="D46" s="51"/>
      <c r="E46" s="13" t="str">
        <f>"2599"</f>
        <v>2599</v>
      </c>
      <c r="F46" s="14">
        <f>F37</f>
        <v>0</v>
      </c>
      <c r="G46" s="2"/>
    </row>
    <row r="47" spans="2:7" x14ac:dyDescent="0.25">
      <c r="B47" s="2"/>
      <c r="C47" s="56" t="s">
        <v>178</v>
      </c>
      <c r="D47" s="51"/>
      <c r="E47" s="13" t="str">
        <f>"2600"</f>
        <v>2600</v>
      </c>
      <c r="F47" s="61">
        <f>F28+F36-F46</f>
        <v>0</v>
      </c>
      <c r="G47" s="2"/>
    </row>
    <row r="48" spans="2:7" x14ac:dyDescent="0.25">
      <c r="B48" s="2"/>
      <c r="C48" s="56" t="s">
        <v>179</v>
      </c>
      <c r="D48" s="51"/>
      <c r="E48" s="13"/>
      <c r="F48" s="16">
        <f>IFERROR(F49, 0)+IFERROR(F50, 0)</f>
        <v>0</v>
      </c>
      <c r="G48" s="2"/>
    </row>
    <row r="49" spans="2:7" x14ac:dyDescent="0.25">
      <c r="B49" s="2"/>
      <c r="C49" s="57" t="s">
        <v>180</v>
      </c>
      <c r="D49" s="58"/>
      <c r="E49" s="13" t="str">
        <f>"2710"</f>
        <v>2710</v>
      </c>
      <c r="F49" s="61">
        <v>0</v>
      </c>
      <c r="G49" s="2"/>
    </row>
    <row r="50" spans="2:7" x14ac:dyDescent="0.25">
      <c r="B50" s="2"/>
      <c r="C50" s="57" t="s">
        <v>181</v>
      </c>
      <c r="D50" s="58"/>
      <c r="E50" s="13" t="str">
        <f>"2720"</f>
        <v>2720</v>
      </c>
      <c r="F50" s="61">
        <v>0</v>
      </c>
      <c r="G50" s="2"/>
    </row>
    <row r="51" spans="2:7" x14ac:dyDescent="0.25">
      <c r="B51" s="2"/>
      <c r="C51" s="56" t="s">
        <v>182</v>
      </c>
      <c r="D51" s="51"/>
      <c r="E51" s="13" t="str">
        <f>"2799"</f>
        <v>2799</v>
      </c>
      <c r="F51" s="14">
        <f>F48</f>
        <v>0</v>
      </c>
      <c r="G51" s="2"/>
    </row>
    <row r="52" spans="2:7" x14ac:dyDescent="0.25">
      <c r="B52" s="2"/>
      <c r="C52" s="56" t="s">
        <v>183</v>
      </c>
      <c r="D52" s="51"/>
      <c r="E52" s="13" t="str">
        <f>"2800"</f>
        <v>2800</v>
      </c>
      <c r="F52" s="61">
        <f>F47+F51</f>
        <v>0</v>
      </c>
      <c r="G52" s="2"/>
    </row>
    <row r="53" spans="2:7" x14ac:dyDescent="0.25">
      <c r="B53" s="2"/>
      <c r="C53" s="56" t="s">
        <v>184</v>
      </c>
      <c r="D53" s="51"/>
      <c r="E53" s="13"/>
      <c r="F53" s="16">
        <f>IFERROR(F54, 0)+IFERROR(F55, 0)</f>
        <v>0</v>
      </c>
      <c r="G53" s="2"/>
    </row>
    <row r="54" spans="2:7" x14ac:dyDescent="0.25">
      <c r="B54" s="2"/>
      <c r="C54" s="57" t="s">
        <v>185</v>
      </c>
      <c r="D54" s="58"/>
      <c r="E54" s="13" t="str">
        <f>"2910"</f>
        <v>2910</v>
      </c>
      <c r="F54" s="73"/>
      <c r="G54" s="2"/>
    </row>
    <row r="55" spans="2:7" x14ac:dyDescent="0.25">
      <c r="B55" s="2"/>
      <c r="C55" s="57" t="s">
        <v>186</v>
      </c>
      <c r="D55" s="58"/>
      <c r="E55" s="13"/>
      <c r="F55" s="16">
        <f>IFERROR(F56, 0)+IFERROR(F57, 0)</f>
        <v>0</v>
      </c>
      <c r="G55" s="2"/>
    </row>
    <row r="56" spans="2:7" x14ac:dyDescent="0.25">
      <c r="B56" s="2"/>
      <c r="C56" s="59" t="s">
        <v>187</v>
      </c>
      <c r="D56" s="60"/>
      <c r="E56" s="13" t="str">
        <f>"2920"</f>
        <v>2920</v>
      </c>
      <c r="F56" s="61">
        <v>0</v>
      </c>
      <c r="G56" s="2"/>
    </row>
    <row r="57" spans="2:7" x14ac:dyDescent="0.25">
      <c r="B57" s="2"/>
      <c r="C57" s="59" t="s">
        <v>188</v>
      </c>
      <c r="D57" s="60"/>
      <c r="E57" s="13" t="str">
        <f>"2930"</f>
        <v>2930</v>
      </c>
      <c r="F57" s="61">
        <v>0</v>
      </c>
      <c r="G57" s="2"/>
    </row>
    <row r="58" spans="2:7" x14ac:dyDescent="0.25">
      <c r="B58" s="2"/>
      <c r="C58" s="56" t="s">
        <v>189</v>
      </c>
      <c r="D58" s="51"/>
      <c r="E58" s="13" t="str">
        <f>"2940"</f>
        <v>2940</v>
      </c>
      <c r="F58" s="61">
        <f>F52-F54-F56-F57</f>
        <v>0</v>
      </c>
      <c r="G58" s="2"/>
    </row>
    <row r="59" spans="2:7" x14ac:dyDescent="0.25">
      <c r="B59" s="2"/>
      <c r="C59" s="56" t="s">
        <v>190</v>
      </c>
      <c r="D59" s="51"/>
      <c r="E59" s="13" t="str">
        <f>"2950"</f>
        <v>2950</v>
      </c>
      <c r="F59" s="61">
        <v>0</v>
      </c>
      <c r="G59" s="2"/>
    </row>
    <row r="60" spans="2:7" x14ac:dyDescent="0.25">
      <c r="B60" s="2"/>
      <c r="C60" s="56" t="s">
        <v>191</v>
      </c>
      <c r="D60" s="51"/>
      <c r="E60" s="13" t="str">
        <f>"2999"</f>
        <v>2999</v>
      </c>
      <c r="F60" s="61">
        <f>F58+F59</f>
        <v>0</v>
      </c>
      <c r="G60" s="2"/>
    </row>
    <row r="61" spans="2:7" x14ac:dyDescent="0.25">
      <c r="B61" s="2"/>
      <c r="C61" s="2"/>
      <c r="D61" s="2"/>
      <c r="E61" s="2"/>
      <c r="F61" s="2"/>
      <c r="G61" s="2"/>
    </row>
    <row r="62" spans="2:7" ht="4.9000000000000004" customHeight="1" x14ac:dyDescent="0.25">
      <c r="B62" s="2"/>
      <c r="C62" s="2"/>
      <c r="D62" s="2"/>
      <c r="E62" s="2"/>
      <c r="F62" s="2"/>
      <c r="G62" s="2"/>
    </row>
  </sheetData>
  <sheetProtection password="BBAF" sheet="1" formatColumns="0" selectLockedCells="1"/>
  <mergeCells count="63">
    <mergeCell ref="C60:D60"/>
    <mergeCell ref="F60"/>
    <mergeCell ref="C57:D57"/>
    <mergeCell ref="F57"/>
    <mergeCell ref="C58:D58"/>
    <mergeCell ref="F58"/>
    <mergeCell ref="C59:D59"/>
    <mergeCell ref="F59"/>
    <mergeCell ref="C53:D53"/>
    <mergeCell ref="C54:D54"/>
    <mergeCell ref="C55:D55"/>
    <mergeCell ref="C56:D56"/>
    <mergeCell ref="F56"/>
    <mergeCell ref="C50:D50"/>
    <mergeCell ref="F50"/>
    <mergeCell ref="C51:D51"/>
    <mergeCell ref="C52:D52"/>
    <mergeCell ref="F52"/>
    <mergeCell ref="C47:D47"/>
    <mergeCell ref="F47"/>
    <mergeCell ref="C48:D48"/>
    <mergeCell ref="C49:D49"/>
    <mergeCell ref="F49"/>
    <mergeCell ref="C42:D42"/>
    <mergeCell ref="C43:D43"/>
    <mergeCell ref="C44:D44"/>
    <mergeCell ref="C45:D45"/>
    <mergeCell ref="C46:D46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8:D28"/>
    <mergeCell ref="C29:D29"/>
    <mergeCell ref="C30:D30"/>
    <mergeCell ref="C31:D31"/>
    <mergeCell ref="F28"/>
    <mergeCell ref="C25:D25"/>
    <mergeCell ref="C26:D26"/>
    <mergeCell ref="C27:D27"/>
    <mergeCell ref="C21:D21"/>
    <mergeCell ref="C22:D22"/>
    <mergeCell ref="C23:D23"/>
    <mergeCell ref="C24:D24"/>
    <mergeCell ref="C18:D18"/>
    <mergeCell ref="C19:D19"/>
    <mergeCell ref="C20:D20"/>
    <mergeCell ref="C14:D15"/>
    <mergeCell ref="E14:E15"/>
    <mergeCell ref="F14:F15"/>
    <mergeCell ref="C16:D16"/>
    <mergeCell ref="C17:D17"/>
    <mergeCell ref="C7:F7"/>
    <mergeCell ref="C9:F9"/>
    <mergeCell ref="C10:F10"/>
    <mergeCell ref="C11:F11"/>
    <mergeCell ref="C13:F13"/>
  </mergeCells>
  <dataValidations count="33"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F20">
      <formula1>-1000000000000000000</formula1>
      <formula2>1000000000000000000</formula2>
    </dataValidation>
    <dataValidation type="decimal" showErrorMessage="1" errorTitle="Kesalahan Jenis Data" error="Data yang dimasukkan harus berupa Angka!" sqref="F23">
      <formula1>-1000000000000000000</formula1>
      <formula2>1000000000000000000</formula2>
    </dataValidation>
    <dataValidation type="decimal" showErrorMessage="1" errorTitle="Kesalahan Jenis Data" error="Data yang dimasukkan harus berupa Angka!" sqref="F24">
      <formula1>-1000000000000000000</formula1>
      <formula2>1000000000000000000</formula2>
    </dataValidation>
    <dataValidation type="decimal" showErrorMessage="1" errorTitle="Kesalahan Jenis Data" error="Data yang dimasukkan harus berupa Angka!" sqref="F25">
      <formula1>-1000000000000000000</formula1>
      <formula2>1000000000000000000</formula2>
    </dataValidation>
    <dataValidation type="decimal" showErrorMessage="1" errorTitle="Kesalahan Jenis Data" error="Data yang dimasukkan harus berupa Angka!" sqref="F26">
      <formula1>-1000000000000000000</formula1>
      <formula2>1000000000000000000</formula2>
    </dataValidation>
    <dataValidation type="decimal" showErrorMessage="1" errorTitle="Kesalahan Jenis Data" error="Data yang dimasukkan harus berupa Angka!" sqref="F28">
      <formula1>-1000000000000000000</formula1>
      <formula2>1000000000000000000</formula2>
    </dataValidation>
    <dataValidation type="decimal" showErrorMessage="1" errorTitle="Kesalahan Jenis Data" error="Data yang dimasukkan harus berupa Angka!" sqref="F30">
      <formula1>-1000000000000000000</formula1>
      <formula2>1000000000000000000</formula2>
    </dataValidation>
    <dataValidation type="decimal" showErrorMessage="1" errorTitle="Kesalahan Jenis Data" error="Data yang dimasukkan harus berupa Angka!" sqref="F31">
      <formula1>-1000000000000000000</formula1>
      <formula2>1000000000000000000</formula2>
    </dataValidation>
    <dataValidation type="decimal" showErrorMessage="1" errorTitle="Kesalahan Jenis Data" error="Data yang dimasukkan harus berupa Angka!" sqref="F32">
      <formula1>-1000000000000000000</formula1>
      <formula2>1000000000000000000</formula2>
    </dataValidation>
    <dataValidation type="decimal" showErrorMessage="1" errorTitle="Kesalahan Jenis Data" error="Data yang dimasukkan harus berupa Angka!" sqref="F33">
      <formula1>-1000000000000000000</formula1>
      <formula2>1000000000000000000</formula2>
    </dataValidation>
    <dataValidation type="decimal" showErrorMessage="1" errorTitle="Kesalahan Jenis Data" error="Data yang dimasukkan harus berupa Angka!" sqref="F34">
      <formula1>-1000000000000000000</formula1>
      <formula2>1000000000000000000</formula2>
    </dataValidation>
    <dataValidation type="decimal" showErrorMessage="1" errorTitle="Kesalahan Jenis Data" error="Data yang dimasukkan harus berupa Angka!" sqref="F35">
      <formula1>-1000000000000000000</formula1>
      <formula2>1000000000000000000</formula2>
    </dataValidation>
    <dataValidation type="decimal" showErrorMessage="1" errorTitle="Kesalahan Jenis Data" error="Data yang dimasukkan harus berupa Angka!" sqref="F38">
      <formula1>-1000000000000000000</formula1>
      <formula2>1000000000000000000</formula2>
    </dataValidation>
    <dataValidation type="decimal" showErrorMessage="1" errorTitle="Kesalahan Jenis Data" error="Data yang dimasukkan harus berupa Angka!" sqref="F39">
      <formula1>-1000000000000000000</formula1>
      <formula2>1000000000000000000</formula2>
    </dataValidation>
    <dataValidation type="decimal" showErrorMessage="1" errorTitle="Kesalahan Jenis Data" error="Data yang dimasukkan harus berupa Angka!" sqref="F40">
      <formula1>-1000000000000000000</formula1>
      <formula2>1000000000000000000</formula2>
    </dataValidation>
    <dataValidation type="decimal" showErrorMessage="1" errorTitle="Kesalahan Jenis Data" error="Data yang dimasukkan harus berupa Angka!" sqref="F41">
      <formula1>-1000000000000000000</formula1>
      <formula2>1000000000000000000</formula2>
    </dataValidation>
    <dataValidation type="decimal" showErrorMessage="1" errorTitle="Kesalahan Jenis Data" error="Data yang dimasukkan harus berupa Angka!" sqref="F42">
      <formula1>-1000000000000000000</formula1>
      <formula2>1000000000000000000</formula2>
    </dataValidation>
    <dataValidation type="decimal" showErrorMessage="1" errorTitle="Kesalahan Jenis Data" error="Data yang dimasukkan harus berupa Angka!" sqref="F43">
      <formula1>-1000000000000000000</formula1>
      <formula2>1000000000000000000</formula2>
    </dataValidation>
    <dataValidation type="decimal" showErrorMessage="1" errorTitle="Kesalahan Jenis Data" error="Data yang dimasukkan harus berupa Angka!" sqref="F44">
      <formula1>-1000000000000000000</formula1>
      <formula2>1000000000000000000</formula2>
    </dataValidation>
    <dataValidation type="decimal" showErrorMessage="1" errorTitle="Kesalahan Jenis Data" error="Data yang dimasukkan harus berupa Angka!" sqref="F45">
      <formula1>-1000000000000000000</formula1>
      <formula2>1000000000000000000</formula2>
    </dataValidation>
    <dataValidation type="decimal" showErrorMessage="1" errorTitle="Kesalahan Jenis Data" error="Data yang dimasukkan harus berupa Angka!" sqref="F47">
      <formula1>-1000000000000000000</formula1>
      <formula2>1000000000000000000</formula2>
    </dataValidation>
    <dataValidation type="decimal" showErrorMessage="1" errorTitle="Kesalahan Jenis Data" error="Data yang dimasukkan harus berupa Angka!" sqref="F49">
      <formula1>-1000000000000000000</formula1>
      <formula2>1000000000000000000</formula2>
    </dataValidation>
    <dataValidation type="decimal" showErrorMessage="1" errorTitle="Kesalahan Jenis Data" error="Data yang dimasukkan harus berupa Angka!" sqref="F50">
      <formula1>-1000000000000000000</formula1>
      <formula2>1000000000000000000</formula2>
    </dataValidation>
    <dataValidation type="decimal" showErrorMessage="1" errorTitle="Kesalahan Jenis Data" error="Data yang dimasukkan harus berupa Angka!" sqref="F52">
      <formula1>-1000000000000000000</formula1>
      <formula2>1000000000000000000</formula2>
    </dataValidation>
    <dataValidation type="decimal" showErrorMessage="1" errorTitle="Kesalahan Jenis Data" error="Data yang dimasukkan harus berupa Angka!" sqref="F54">
      <formula1>-1000000000000000000</formula1>
      <formula2>1000000000000000000</formula2>
    </dataValidation>
    <dataValidation type="decimal" showErrorMessage="1" errorTitle="Kesalahan Jenis Data" error="Data yang dimasukkan harus berupa Angka!" sqref="F56">
      <formula1>-1000000000000000000</formula1>
      <formula2>1000000000000000000</formula2>
    </dataValidation>
    <dataValidation type="decimal" showErrorMessage="1" errorTitle="Kesalahan Jenis Data" error="Data yang dimasukkan harus berupa Angka!" sqref="F57">
      <formula1>-1000000000000000000</formula1>
      <formula2>1000000000000000000</formula2>
    </dataValidation>
    <dataValidation type="decimal" showErrorMessage="1" errorTitle="Kesalahan Jenis Data" error="Data yang dimasukkan harus berupa Angka!" sqref="F58">
      <formula1>-1000000000000000000</formula1>
      <formula2>1000000000000000000</formula2>
    </dataValidation>
    <dataValidation type="decimal" showErrorMessage="1" errorTitle="Kesalahan Jenis Data" error="Data yang dimasukkan harus berupa Angka!" sqref="F59">
      <formula1>-1000000000000000000</formula1>
      <formula2>1000000000000000000</formula2>
    </dataValidation>
    <dataValidation type="decimal" showErrorMessage="1" errorTitle="Kesalahan Jenis Data" error="Data yang dimasukkan harus berupa Angka!" sqref="F60">
      <formula1>-1000000000000000000</formula1>
      <formula2>1000000000000000000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horizont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"/>
  <sheetViews>
    <sheetView showGridLines="0" view="pageBreakPreview" zoomScaleNormal="70" zoomScaleSheetLayoutView="100" workbookViewId="0">
      <pane xSplit="4" ySplit="15" topLeftCell="F34" activePane="bottomRight" state="frozen"/>
      <selection pane="topRight" activeCell="E1" sqref="E1"/>
      <selection pane="bottomLeft" activeCell="A16" sqref="A16"/>
      <selection pane="bottomRight" activeCell="F40" sqref="F40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40" style="1" customWidth="1"/>
    <col min="4" max="4" width="35.42578125" style="1" customWidth="1"/>
    <col min="5" max="5" width="11.42578125" style="1" customWidth="1"/>
    <col min="6" max="6" width="25.28515625" style="1" customWidth="1"/>
    <col min="7" max="7" width="1.85546875" style="1" customWidth="1"/>
    <col min="8" max="8" width="9.140625" style="1" customWidth="1"/>
    <col min="9" max="16384" width="9.140625" style="1"/>
  </cols>
  <sheetData>
    <row r="2" spans="2:7" ht="4.9000000000000004" customHeight="1" x14ac:dyDescent="0.25">
      <c r="B2" s="9" t="s">
        <v>192</v>
      </c>
      <c r="C2" s="2"/>
      <c r="D2" s="2"/>
      <c r="E2" s="2"/>
      <c r="F2" s="2"/>
      <c r="G2" s="2"/>
    </row>
    <row r="3" spans="2:7" x14ac:dyDescent="0.25">
      <c r="B3" s="9" t="s">
        <v>6</v>
      </c>
      <c r="C3" s="2"/>
      <c r="D3" s="2"/>
      <c r="E3" s="2"/>
      <c r="F3" s="2"/>
      <c r="G3" s="2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2"/>
      <c r="C5" s="2"/>
      <c r="D5" s="2"/>
      <c r="E5" s="2"/>
      <c r="F5" s="2"/>
      <c r="G5" s="2"/>
    </row>
    <row r="6" spans="2:7" x14ac:dyDescent="0.25">
      <c r="B6" s="2"/>
      <c r="C6" s="2"/>
      <c r="D6" s="2"/>
      <c r="E6" s="2"/>
      <c r="F6" s="2"/>
      <c r="G6" s="2"/>
    </row>
    <row r="7" spans="2:7" ht="17.25" x14ac:dyDescent="0.25">
      <c r="B7" s="2"/>
      <c r="C7" s="46" t="str">
        <f>UPPER('Data Umum'!D7)</f>
        <v>PT. JAMKRIDA SULSEL</v>
      </c>
      <c r="D7" s="46"/>
      <c r="E7" s="46"/>
      <c r="F7" s="46"/>
      <c r="G7" s="2"/>
    </row>
    <row r="8" spans="2:7" x14ac:dyDescent="0.25">
      <c r="B8" s="2"/>
      <c r="C8" s="2"/>
      <c r="D8" s="2"/>
      <c r="E8" s="2"/>
      <c r="F8" s="2"/>
      <c r="G8" s="2"/>
    </row>
    <row r="9" spans="2:7" x14ac:dyDescent="0.25">
      <c r="B9" s="2"/>
      <c r="C9" s="47" t="s">
        <v>193</v>
      </c>
      <c r="D9" s="47"/>
      <c r="E9" s="47"/>
      <c r="F9" s="47"/>
      <c r="G9" s="2"/>
    </row>
    <row r="10" spans="2:7" x14ac:dyDescent="0.25">
      <c r="B10" s="2"/>
      <c r="C10" s="47"/>
      <c r="D10" s="47"/>
      <c r="E10" s="47"/>
      <c r="F10" s="47"/>
      <c r="G10" s="2"/>
    </row>
    <row r="11" spans="2:7" x14ac:dyDescent="0.25">
      <c r="B11" s="2"/>
      <c r="C11" s="48" t="str">
        <f>"Untuk Periode "&amp;CONCATENATE("Bulan ", 'Data Umum'!D12, " Tahun ", TEXT('Data Umum'!D11, "YYYY"))</f>
        <v>Untuk Periode Bulan Agustus Tahun 2016</v>
      </c>
      <c r="D11" s="48"/>
      <c r="E11" s="48"/>
      <c r="F11" s="48"/>
      <c r="G11" s="2"/>
    </row>
    <row r="12" spans="2:7" x14ac:dyDescent="0.25">
      <c r="B12" s="2"/>
      <c r="C12" s="2"/>
      <c r="D12" s="2"/>
      <c r="E12" s="2"/>
      <c r="F12" s="2"/>
      <c r="G12" s="2"/>
    </row>
    <row r="13" spans="2:7" x14ac:dyDescent="0.25">
      <c r="B13" s="2"/>
      <c r="C13" s="49"/>
      <c r="D13" s="49"/>
      <c r="E13" s="49"/>
      <c r="F13" s="49"/>
      <c r="G13" s="2"/>
    </row>
    <row r="14" spans="2:7" x14ac:dyDescent="0.25">
      <c r="B14" s="2"/>
      <c r="C14" s="50" t="s">
        <v>49</v>
      </c>
      <c r="D14" s="51"/>
      <c r="E14" s="54" t="str">
        <f>"Sandi"</f>
        <v>Sandi</v>
      </c>
      <c r="F14" s="54" t="str">
        <f>"Jumlah"</f>
        <v>Jumlah</v>
      </c>
      <c r="G14" s="2"/>
    </row>
    <row r="15" spans="2:7" x14ac:dyDescent="0.25">
      <c r="B15" s="2"/>
      <c r="C15" s="52"/>
      <c r="D15" s="53"/>
      <c r="E15" s="55"/>
      <c r="F15" s="55"/>
      <c r="G15" s="2"/>
    </row>
    <row r="16" spans="2:7" x14ac:dyDescent="0.25">
      <c r="B16" s="2"/>
      <c r="C16" s="56" t="s">
        <v>194</v>
      </c>
      <c r="D16" s="51"/>
      <c r="E16" s="13"/>
      <c r="F16" s="16">
        <f>IFERROR(F17, 0)+IFERROR(F18, 0)+IFERROR(F19, 0)+IFERROR(F20, 0)+IFERROR(F21, 0)+IFERROR(F22, 0)+IFERROR(F23, 0)</f>
        <v>0</v>
      </c>
      <c r="G16" s="2"/>
    </row>
    <row r="17" spans="2:7" x14ac:dyDescent="0.25">
      <c r="B17" s="2"/>
      <c r="C17" s="57" t="s">
        <v>195</v>
      </c>
      <c r="D17" s="58"/>
      <c r="E17" s="13" t="str">
        <f>"4100"</f>
        <v>4100</v>
      </c>
      <c r="F17" s="29"/>
      <c r="G17" s="2"/>
    </row>
    <row r="18" spans="2:7" x14ac:dyDescent="0.25">
      <c r="B18" s="2"/>
      <c r="C18" s="57" t="s">
        <v>196</v>
      </c>
      <c r="D18" s="58"/>
      <c r="E18" s="13" t="str">
        <f>"4150"</f>
        <v>4150</v>
      </c>
      <c r="F18" s="29">
        <v>0</v>
      </c>
      <c r="G18" s="2"/>
    </row>
    <row r="19" spans="2:7" x14ac:dyDescent="0.25">
      <c r="B19" s="2"/>
      <c r="C19" s="57" t="s">
        <v>197</v>
      </c>
      <c r="D19" s="58"/>
      <c r="E19" s="13" t="str">
        <f>"4200"</f>
        <v>4200</v>
      </c>
      <c r="F19" s="29"/>
      <c r="G19" s="2"/>
    </row>
    <row r="20" spans="2:7" x14ac:dyDescent="0.25">
      <c r="B20" s="2"/>
      <c r="C20" s="57" t="s">
        <v>198</v>
      </c>
      <c r="D20" s="58"/>
      <c r="E20" s="13" t="str">
        <f>"4250"</f>
        <v>4250</v>
      </c>
      <c r="F20" s="29"/>
      <c r="G20" s="2"/>
    </row>
    <row r="21" spans="2:7" x14ac:dyDescent="0.25">
      <c r="B21" s="2"/>
      <c r="C21" s="57" t="s">
        <v>199</v>
      </c>
      <c r="D21" s="58"/>
      <c r="E21" s="13" t="str">
        <f>"4300"</f>
        <v>4300</v>
      </c>
      <c r="F21" s="29"/>
      <c r="G21" s="2"/>
    </row>
    <row r="22" spans="2:7" x14ac:dyDescent="0.25">
      <c r="B22" s="2"/>
      <c r="C22" s="57" t="s">
        <v>200</v>
      </c>
      <c r="D22" s="58"/>
      <c r="E22" s="13" t="str">
        <f>"4350"</f>
        <v>4350</v>
      </c>
      <c r="F22" s="29"/>
      <c r="G22" s="2"/>
    </row>
    <row r="23" spans="2:7" x14ac:dyDescent="0.25">
      <c r="B23" s="2"/>
      <c r="C23" s="57" t="s">
        <v>201</v>
      </c>
      <c r="D23" s="58"/>
      <c r="E23" s="13" t="str">
        <f>"4390"</f>
        <v>4390</v>
      </c>
      <c r="F23" s="29">
        <v>0</v>
      </c>
      <c r="G23" s="2"/>
    </row>
    <row r="24" spans="2:7" x14ac:dyDescent="0.25">
      <c r="B24" s="2"/>
      <c r="C24" s="56" t="s">
        <v>202</v>
      </c>
      <c r="D24" s="51"/>
      <c r="E24" s="13" t="str">
        <f>"4400"</f>
        <v>4400</v>
      </c>
      <c r="F24" s="14">
        <f>F16</f>
        <v>0</v>
      </c>
      <c r="G24" s="2"/>
    </row>
    <row r="25" spans="2:7" x14ac:dyDescent="0.25">
      <c r="B25" s="2"/>
      <c r="C25" s="56" t="s">
        <v>203</v>
      </c>
      <c r="D25" s="51"/>
      <c r="E25" s="13"/>
      <c r="F25" s="16">
        <f>IFERROR(F26, 0)+IFERROR(F27, 0)+IFERROR(F28, 0)+IFERROR(F29, 0)+IFERROR(F30, 0)</f>
        <v>0</v>
      </c>
      <c r="G25" s="2"/>
    </row>
    <row r="26" spans="2:7" x14ac:dyDescent="0.25">
      <c r="B26" s="2"/>
      <c r="C26" s="57" t="s">
        <v>204</v>
      </c>
      <c r="D26" s="58"/>
      <c r="E26" s="13" t="str">
        <f>"4500"</f>
        <v>4500</v>
      </c>
      <c r="F26" s="29"/>
      <c r="G26" s="2"/>
    </row>
    <row r="27" spans="2:7" x14ac:dyDescent="0.25">
      <c r="B27" s="2"/>
      <c r="C27" s="57" t="s">
        <v>205</v>
      </c>
      <c r="D27" s="58"/>
      <c r="E27" s="13" t="str">
        <f>"4520"</f>
        <v>4520</v>
      </c>
      <c r="F27" s="61">
        <v>0</v>
      </c>
      <c r="G27" s="2"/>
    </row>
    <row r="28" spans="2:7" x14ac:dyDescent="0.25">
      <c r="B28" s="2"/>
      <c r="C28" s="57" t="s">
        <v>206</v>
      </c>
      <c r="D28" s="58"/>
      <c r="E28" s="13" t="str">
        <f>"4550"</f>
        <v>4550</v>
      </c>
      <c r="F28" s="61"/>
      <c r="G28" s="2"/>
    </row>
    <row r="29" spans="2:7" x14ac:dyDescent="0.25">
      <c r="B29" s="2"/>
      <c r="C29" s="57" t="s">
        <v>207</v>
      </c>
      <c r="D29" s="58"/>
      <c r="E29" s="13" t="str">
        <f>"4570"</f>
        <v>4570</v>
      </c>
      <c r="F29" s="61"/>
      <c r="G29" s="2"/>
    </row>
    <row r="30" spans="2:7" x14ac:dyDescent="0.25">
      <c r="B30" s="2"/>
      <c r="C30" s="57" t="s">
        <v>208</v>
      </c>
      <c r="D30" s="58"/>
      <c r="E30" s="13" t="str">
        <f>"4590"</f>
        <v>4590</v>
      </c>
      <c r="F30" s="61">
        <v>0</v>
      </c>
      <c r="G30" s="2"/>
    </row>
    <row r="31" spans="2:7" x14ac:dyDescent="0.25">
      <c r="B31" s="2"/>
      <c r="C31" s="56" t="s">
        <v>209</v>
      </c>
      <c r="D31" s="51"/>
      <c r="E31" s="13" t="str">
        <f>"4600"</f>
        <v>4600</v>
      </c>
      <c r="F31" s="14">
        <f>F25</f>
        <v>0</v>
      </c>
      <c r="G31" s="2"/>
    </row>
    <row r="32" spans="2:7" x14ac:dyDescent="0.25">
      <c r="B32" s="2"/>
      <c r="C32" s="56" t="s">
        <v>210</v>
      </c>
      <c r="D32" s="51"/>
      <c r="E32" s="13"/>
      <c r="F32" s="16">
        <f>IFERROR(F33, 0)+IFERROR(F34, 0)+IFERROR(F35, 0)+IFERROR(F36, 0)+IFERROR(F37, 0)</f>
        <v>0</v>
      </c>
      <c r="G32" s="2"/>
    </row>
    <row r="33" spans="2:7" x14ac:dyDescent="0.25">
      <c r="B33" s="2"/>
      <c r="C33" s="57" t="s">
        <v>211</v>
      </c>
      <c r="D33" s="58"/>
      <c r="E33" s="13" t="str">
        <f>"4700"</f>
        <v>4700</v>
      </c>
      <c r="F33" s="61">
        <v>0</v>
      </c>
      <c r="G33" s="2"/>
    </row>
    <row r="34" spans="2:7" x14ac:dyDescent="0.25">
      <c r="B34" s="2"/>
      <c r="C34" s="57" t="s">
        <v>212</v>
      </c>
      <c r="D34" s="58"/>
      <c r="E34" s="13" t="str">
        <f>"4750"</f>
        <v>4750</v>
      </c>
      <c r="F34" s="61">
        <v>0</v>
      </c>
      <c r="G34" s="2"/>
    </row>
    <row r="35" spans="2:7" x14ac:dyDescent="0.25">
      <c r="B35" s="2"/>
      <c r="C35" s="57" t="s">
        <v>213</v>
      </c>
      <c r="D35" s="58"/>
      <c r="E35" s="13" t="str">
        <f>"4800"</f>
        <v>4800</v>
      </c>
      <c r="F35" s="29"/>
      <c r="G35" s="2"/>
    </row>
    <row r="36" spans="2:7" x14ac:dyDescent="0.25">
      <c r="B36" s="2"/>
      <c r="C36" s="57" t="s">
        <v>214</v>
      </c>
      <c r="D36" s="58"/>
      <c r="E36" s="13" t="str">
        <f>"4850"</f>
        <v>4850</v>
      </c>
      <c r="F36" s="61">
        <v>0</v>
      </c>
      <c r="G36" s="2"/>
    </row>
    <row r="37" spans="2:7" x14ac:dyDescent="0.25">
      <c r="B37" s="2"/>
      <c r="C37" s="57" t="s">
        <v>215</v>
      </c>
      <c r="D37" s="58"/>
      <c r="E37" s="13" t="str">
        <f>"4890"</f>
        <v>4890</v>
      </c>
      <c r="F37" s="61"/>
      <c r="G37" s="2"/>
    </row>
    <row r="38" spans="2:7" x14ac:dyDescent="0.25">
      <c r="B38" s="2"/>
      <c r="C38" s="56" t="s">
        <v>216</v>
      </c>
      <c r="D38" s="51"/>
      <c r="E38" s="13" t="str">
        <f>"4900"</f>
        <v>4900</v>
      </c>
      <c r="F38" s="14">
        <f>F32</f>
        <v>0</v>
      </c>
      <c r="G38" s="2"/>
    </row>
    <row r="39" spans="2:7" x14ac:dyDescent="0.25">
      <c r="B39" s="2"/>
      <c r="C39" s="56" t="s">
        <v>217</v>
      </c>
      <c r="D39" s="51"/>
      <c r="E39" s="13" t="str">
        <f>"4950"</f>
        <v>4950</v>
      </c>
      <c r="F39" s="14">
        <f>F24+F31+F38</f>
        <v>0</v>
      </c>
      <c r="G39" s="2"/>
    </row>
    <row r="40" spans="2:7" x14ac:dyDescent="0.25">
      <c r="B40" s="2"/>
      <c r="C40" s="56" t="s">
        <v>218</v>
      </c>
      <c r="D40" s="51"/>
      <c r="E40" s="13" t="str">
        <f>"4970"</f>
        <v>4970</v>
      </c>
      <c r="F40" s="29"/>
      <c r="G40" s="2"/>
    </row>
    <row r="41" spans="2:7" x14ac:dyDescent="0.25">
      <c r="B41" s="2"/>
      <c r="C41" s="56" t="s">
        <v>219</v>
      </c>
      <c r="D41" s="51"/>
      <c r="E41" s="13" t="str">
        <f>"4990"</f>
        <v>4990</v>
      </c>
      <c r="F41" s="14">
        <f>F39+F40</f>
        <v>0</v>
      </c>
      <c r="G41" s="2"/>
    </row>
    <row r="42" spans="2:7" x14ac:dyDescent="0.25">
      <c r="B42" s="2"/>
      <c r="C42" s="2"/>
      <c r="D42" s="2"/>
      <c r="E42" s="2"/>
      <c r="F42" s="2"/>
      <c r="G42" s="2"/>
    </row>
    <row r="43" spans="2:7" ht="4.9000000000000004" customHeight="1" x14ac:dyDescent="0.25">
      <c r="B43" s="2"/>
      <c r="C43" s="2"/>
      <c r="D43" s="2"/>
      <c r="E43" s="2"/>
      <c r="F43" s="2"/>
      <c r="G43" s="2"/>
    </row>
  </sheetData>
  <sheetProtection password="BBAF" sheet="1" formatColumns="0" selectLockedCells="1"/>
  <mergeCells count="42">
    <mergeCell ref="C41:D41"/>
    <mergeCell ref="C37:D37"/>
    <mergeCell ref="F37"/>
    <mergeCell ref="C38:D38"/>
    <mergeCell ref="C39:D39"/>
    <mergeCell ref="C40:D40"/>
    <mergeCell ref="C34:D34"/>
    <mergeCell ref="F34"/>
    <mergeCell ref="C35:D35"/>
    <mergeCell ref="C36:D36"/>
    <mergeCell ref="F36"/>
    <mergeCell ref="C30:D30"/>
    <mergeCell ref="F30"/>
    <mergeCell ref="C31:D31"/>
    <mergeCell ref="C32:D32"/>
    <mergeCell ref="C33:D33"/>
    <mergeCell ref="F33"/>
    <mergeCell ref="F27"/>
    <mergeCell ref="C28:D28"/>
    <mergeCell ref="F28"/>
    <mergeCell ref="C29:D29"/>
    <mergeCell ref="F29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4:D15"/>
    <mergeCell ref="E14:E15"/>
    <mergeCell ref="F14:F15"/>
    <mergeCell ref="C16:D16"/>
    <mergeCell ref="C17:D17"/>
    <mergeCell ref="C7:F7"/>
    <mergeCell ref="C9:F9"/>
    <mergeCell ref="C10:F10"/>
    <mergeCell ref="C11:F11"/>
    <mergeCell ref="C13:F13"/>
  </mergeCells>
  <dataValidations count="18"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F20">
      <formula1>-1000000000000000000</formula1>
      <formula2>1000000000000000000</formula2>
    </dataValidation>
    <dataValidation type="decimal" showErrorMessage="1" errorTitle="Kesalahan Jenis Data" error="Data yang dimasukkan harus berupa Angka!" sqref="F21">
      <formula1>-1000000000000000000</formula1>
      <formula2>1000000000000000000</formula2>
    </dataValidation>
    <dataValidation type="decimal" showErrorMessage="1" errorTitle="Kesalahan Jenis Data" error="Data yang dimasukkan harus berupa Angka!" sqref="F22">
      <formula1>-1000000000000000000</formula1>
      <formula2>1000000000000000000</formula2>
    </dataValidation>
    <dataValidation type="decimal" showErrorMessage="1" errorTitle="Kesalahan Jenis Data" error="Data yang dimasukkan harus berupa Angka!" sqref="F23">
      <formula1>-1000000000000000000</formula1>
      <formula2>1000000000000000000</formula2>
    </dataValidation>
    <dataValidation type="decimal" showErrorMessage="1" errorTitle="Kesalahan Jenis Data" error="Data yang dimasukkan harus berupa Angka!" sqref="F26">
      <formula1>-1000000000000000000</formula1>
      <formula2>1000000000000000000</formula2>
    </dataValidation>
    <dataValidation type="decimal" showErrorMessage="1" errorTitle="Kesalahan Jenis Data" error="Data yang dimasukkan harus berupa Angka!" sqref="F27">
      <formula1>-1000000000000000000</formula1>
      <formula2>1000000000000000000</formula2>
    </dataValidation>
    <dataValidation type="decimal" showErrorMessage="1" errorTitle="Kesalahan Jenis Data" error="Data yang dimasukkan harus berupa Angka!" sqref="F28">
      <formula1>-1000000000000000000</formula1>
      <formula2>1000000000000000000</formula2>
    </dataValidation>
    <dataValidation type="decimal" showErrorMessage="1" errorTitle="Kesalahan Jenis Data" error="Data yang dimasukkan harus berupa Angka!" sqref="F29">
      <formula1>-1000000000000000000</formula1>
      <formula2>1000000000000000000</formula2>
    </dataValidation>
    <dataValidation type="decimal" showErrorMessage="1" errorTitle="Kesalahan Jenis Data" error="Data yang dimasukkan harus berupa Angka!" sqref="F30">
      <formula1>-1000000000000000000</formula1>
      <formula2>1000000000000000000</formula2>
    </dataValidation>
    <dataValidation type="decimal" showErrorMessage="1" errorTitle="Kesalahan Jenis Data" error="Data yang dimasukkan harus berupa Angka!" sqref="F33">
      <formula1>-1000000000000000000</formula1>
      <formula2>1000000000000000000</formula2>
    </dataValidation>
    <dataValidation type="decimal" showErrorMessage="1" errorTitle="Kesalahan Jenis Data" error="Data yang dimasukkan harus berupa Angka!" sqref="F34">
      <formula1>-1000000000000000000</formula1>
      <formula2>1000000000000000000</formula2>
    </dataValidation>
    <dataValidation type="decimal" showErrorMessage="1" errorTitle="Kesalahan Jenis Data" error="Data yang dimasukkan harus berupa Angka!" sqref="F35">
      <formula1>-1000000000000000000</formula1>
      <formula2>1000000000000000000</formula2>
    </dataValidation>
    <dataValidation type="decimal" showErrorMessage="1" errorTitle="Kesalahan Jenis Data" error="Data yang dimasukkan harus berupa Angka!" sqref="F36">
      <formula1>-1000000000000000000</formula1>
      <formula2>1000000000000000000</formula2>
    </dataValidation>
    <dataValidation type="decimal" showErrorMessage="1" errorTitle="Kesalahan Jenis Data" error="Data yang dimasukkan harus berupa Angka!" sqref="F37">
      <formula1>-1000000000000000000</formula1>
      <formula2>1000000000000000000</formula2>
    </dataValidation>
    <dataValidation type="decimal" showErrorMessage="1" errorTitle="Kesalahan Jenis Data" error="Data yang dimasukkan harus berupa Angka!" sqref="F40">
      <formula1>-1000000000000000000</formula1>
      <formula2>1000000000000000000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horizont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showGridLines="0" view="pageBreakPreview" zoomScaleNormal="85" zoomScaleSheetLayoutView="10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H16" sqref="H16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40" style="1" customWidth="1"/>
    <col min="4" max="4" width="30" style="1" customWidth="1"/>
    <col min="5" max="5" width="6" style="1" bestFit="1" customWidth="1"/>
    <col min="6" max="6" width="20.7109375" style="1" bestFit="1" customWidth="1"/>
    <col min="7" max="7" width="6" style="1" bestFit="1" customWidth="1"/>
    <col min="8" max="8" width="21.42578125" style="1" bestFit="1" customWidth="1"/>
    <col min="9" max="9" width="6" style="1" bestFit="1" customWidth="1"/>
    <col min="10" max="10" width="18.140625" style="1" bestFit="1" customWidth="1"/>
    <col min="11" max="11" width="1" style="1" customWidth="1"/>
    <col min="12" max="12" width="9.140625" style="1" customWidth="1"/>
    <col min="13" max="16384" width="9.140625" style="1"/>
  </cols>
  <sheetData>
    <row r="2" spans="2:11" ht="4.9000000000000004" customHeight="1" x14ac:dyDescent="0.25">
      <c r="B2" s="9" t="s">
        <v>220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</row>
    <row r="4" spans="2:1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46"/>
      <c r="J7" s="46"/>
      <c r="K7" s="2"/>
    </row>
    <row r="8" spans="2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25">
      <c r="B9" s="2"/>
      <c r="C9" s="47" t="s">
        <v>221</v>
      </c>
      <c r="D9" s="47"/>
      <c r="E9" s="47"/>
      <c r="F9" s="47"/>
      <c r="G9" s="47"/>
      <c r="H9" s="47"/>
      <c r="I9" s="47"/>
      <c r="J9" s="47"/>
      <c r="K9" s="2"/>
    </row>
    <row r="10" spans="2:11" x14ac:dyDescent="0.25">
      <c r="B10" s="2"/>
      <c r="C10" s="47"/>
      <c r="D10" s="47"/>
      <c r="E10" s="47"/>
      <c r="F10" s="47"/>
      <c r="G10" s="47"/>
      <c r="H10" s="47"/>
      <c r="I10" s="47"/>
      <c r="J10" s="47"/>
      <c r="K10" s="2"/>
    </row>
    <row r="11" spans="2:11" x14ac:dyDescent="0.25">
      <c r="B11" s="2"/>
      <c r="C11" s="48" t="str">
        <f>"Per "&amp;CONCATENATE("Bulan ", 'Data Umum'!D12, " Tahun ", TEXT('Data Umum'!D11, "YYYY"))</f>
        <v>Per Bulan Agustus Tahun 2016</v>
      </c>
      <c r="D11" s="48"/>
      <c r="E11" s="48"/>
      <c r="F11" s="48"/>
      <c r="G11" s="48"/>
      <c r="H11" s="48"/>
      <c r="I11" s="48"/>
      <c r="J11" s="48"/>
      <c r="K11" s="2"/>
    </row>
    <row r="12" spans="2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25">
      <c r="B13" s="2"/>
      <c r="C13" s="49"/>
      <c r="D13" s="49"/>
      <c r="E13" s="49"/>
      <c r="F13" s="49"/>
      <c r="G13" s="49"/>
      <c r="H13" s="49"/>
      <c r="I13" s="49"/>
      <c r="J13" s="49"/>
      <c r="K13" s="2"/>
    </row>
    <row r="14" spans="2:11" x14ac:dyDescent="0.25">
      <c r="B14" s="2"/>
      <c r="C14" s="50" t="s">
        <v>40</v>
      </c>
      <c r="D14" s="51"/>
      <c r="E14" s="54" t="str">
        <f>"Sandi"</f>
        <v>Sandi</v>
      </c>
      <c r="F14" s="54" t="str">
        <f>"Usaha Produktif"</f>
        <v>Usaha Produktif</v>
      </c>
      <c r="G14" s="54" t="str">
        <f>"Sandi"</f>
        <v>Sandi</v>
      </c>
      <c r="H14" s="54" t="str">
        <f>"Usaha Non Produktif"</f>
        <v>Usaha Non Produktif</v>
      </c>
      <c r="I14" s="54" t="str">
        <f>"Sandi"</f>
        <v>Sandi</v>
      </c>
      <c r="J14" s="54" t="str">
        <f>"Jumlah"</f>
        <v>Jumlah</v>
      </c>
      <c r="K14" s="2"/>
    </row>
    <row r="15" spans="2:11" x14ac:dyDescent="0.25">
      <c r="B15" s="2"/>
      <c r="C15" s="52"/>
      <c r="D15" s="53"/>
      <c r="E15" s="55"/>
      <c r="F15" s="55"/>
      <c r="G15" s="55"/>
      <c r="H15" s="55"/>
      <c r="I15" s="55"/>
      <c r="J15" s="55"/>
      <c r="K15" s="2"/>
    </row>
    <row r="16" spans="2:11" x14ac:dyDescent="0.25">
      <c r="B16" s="2"/>
      <c r="C16" s="56" t="s">
        <v>222</v>
      </c>
      <c r="D16" s="51"/>
      <c r="E16" s="13" t="str">
        <f>"5100"</f>
        <v>5100</v>
      </c>
      <c r="F16" s="29"/>
      <c r="G16" s="13" t="str">
        <f>"5400"</f>
        <v>5400</v>
      </c>
      <c r="H16" s="29"/>
      <c r="I16" s="13" t="str">
        <f>"5700"</f>
        <v>5700</v>
      </c>
      <c r="J16" s="14">
        <f>F16+H16</f>
        <v>0</v>
      </c>
      <c r="K16" s="2"/>
    </row>
    <row r="17" spans="2:11" x14ac:dyDescent="0.25">
      <c r="B17" s="2"/>
      <c r="C17" s="56" t="s">
        <v>223</v>
      </c>
      <c r="D17" s="51"/>
      <c r="E17" s="13" t="str">
        <f>"5200"</f>
        <v>5200</v>
      </c>
      <c r="F17" s="14">
        <f>LPKPJ!F72</f>
        <v>0</v>
      </c>
      <c r="G17" s="13" t="str">
        <f>"5500"</f>
        <v>5500</v>
      </c>
      <c r="H17" s="14">
        <f>LPKPJ!F72</f>
        <v>0</v>
      </c>
      <c r="I17" s="13" t="str">
        <f>"5800"</f>
        <v>5800</v>
      </c>
      <c r="J17" s="14">
        <f>LPKPJ!F72</f>
        <v>0</v>
      </c>
      <c r="K17" s="2"/>
    </row>
    <row r="18" spans="2:11" x14ac:dyDescent="0.25">
      <c r="B18" s="2"/>
      <c r="C18" s="56" t="s">
        <v>224</v>
      </c>
      <c r="D18" s="51"/>
      <c r="E18" s="13" t="str">
        <f>"5300"</f>
        <v>5300</v>
      </c>
      <c r="F18" s="14">
        <f>IFERROR(F16/F17,0)</f>
        <v>0</v>
      </c>
      <c r="G18" s="13" t="str">
        <f>"5600"</f>
        <v>5600</v>
      </c>
      <c r="H18" s="14">
        <f>IFERROR(H16/H17,0)</f>
        <v>0</v>
      </c>
      <c r="I18" s="13" t="str">
        <f>"5900"</f>
        <v>5900</v>
      </c>
      <c r="J18" s="14">
        <f>IFERROR(J16/J17,0)</f>
        <v>0</v>
      </c>
      <c r="K18" s="2"/>
    </row>
    <row r="19" spans="2:1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ht="4.9000000000000004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sheetProtection password="BBAF" sheet="1" formatColumns="0" selectLockedCells="1"/>
  <mergeCells count="15">
    <mergeCell ref="C17:D17"/>
    <mergeCell ref="C18:D18"/>
    <mergeCell ref="I14:I15"/>
    <mergeCell ref="J14:J15"/>
    <mergeCell ref="C16:D16"/>
    <mergeCell ref="C14:D15"/>
    <mergeCell ref="E14:E15"/>
    <mergeCell ref="F14:F15"/>
    <mergeCell ref="G14:G15"/>
    <mergeCell ref="H14:H15"/>
    <mergeCell ref="C7:J7"/>
    <mergeCell ref="C9:J9"/>
    <mergeCell ref="C10:J10"/>
    <mergeCell ref="C11:J11"/>
    <mergeCell ref="C13:J13"/>
  </mergeCells>
  <dataValidations count="2">
    <dataValidation type="decimal" showErrorMessage="1" errorTitle="Kesalahan Jenis Data" error="Data yang dimasukkan harus berupa Angka!" sqref="F16">
      <formula1>-1000000000000000000</formula1>
      <formula2>1000000000000000000</formula2>
    </dataValidation>
    <dataValidation type="decimal" showErrorMessage="1" errorTitle="Kesalahan Jenis Data" error="Data yang dimasukkan harus berupa Angka!" sqref="H16">
      <formula1>-1000000000000000000</formula1>
      <formula2>1000000000000000000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landscape" horizont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showGridLines="0" view="pageBreakPreview" zoomScaleNormal="40" zoomScaleSheetLayoutView="100" workbookViewId="0">
      <pane xSplit="4" ySplit="15" topLeftCell="E25" activePane="bottomRight" state="frozen"/>
      <selection pane="topRight" activeCell="E1" sqref="E1"/>
      <selection pane="bottomLeft" activeCell="A16" sqref="A16"/>
      <selection pane="bottomRight" activeCell="F30" sqref="F30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39.28515625" style="1" customWidth="1"/>
    <col min="4" max="4" width="0.5703125" style="1" customWidth="1"/>
    <col min="5" max="5" width="5.7109375" style="1" bestFit="1" customWidth="1"/>
    <col min="6" max="6" width="19.5703125" style="1" bestFit="1" customWidth="1"/>
    <col min="7" max="7" width="5.7109375" style="1" bestFit="1" customWidth="1"/>
    <col min="8" max="8" width="19.5703125" style="1" bestFit="1" customWidth="1"/>
    <col min="9" max="9" width="10.28515625" style="1" customWidth="1"/>
    <col min="10" max="10" width="20.7109375" style="1" bestFit="1" customWidth="1"/>
    <col min="11" max="11" width="5.7109375" style="1" bestFit="1" customWidth="1"/>
    <col min="12" max="12" width="20.7109375" style="1" customWidth="1"/>
    <col min="13" max="13" width="5.7109375" style="1" bestFit="1" customWidth="1"/>
    <col min="14" max="14" width="20.7109375" style="1" bestFit="1" customWidth="1"/>
    <col min="15" max="15" width="5.7109375" style="1" bestFit="1" customWidth="1"/>
    <col min="16" max="16" width="23.85546875" style="1" customWidth="1"/>
    <col min="17" max="17" width="16.140625" style="1" customWidth="1"/>
    <col min="18" max="18" width="9.140625" style="1" customWidth="1"/>
    <col min="19" max="16384" width="9.140625" style="1"/>
  </cols>
  <sheetData>
    <row r="2" spans="2:17" ht="4.9000000000000004" customHeight="1" x14ac:dyDescent="0.25">
      <c r="B2" s="9" t="s">
        <v>225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2"/>
    </row>
    <row r="8" spans="2:1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x14ac:dyDescent="0.25">
      <c r="B9" s="2"/>
      <c r="C9" s="47" t="s">
        <v>226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2"/>
    </row>
    <row r="10" spans="2:17" x14ac:dyDescent="0.25">
      <c r="B10" s="2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2"/>
    </row>
    <row r="11" spans="2:17" x14ac:dyDescent="0.25">
      <c r="B11" s="2"/>
      <c r="C11" s="48" t="str">
        <f>"Per "&amp;CONCATENATE("Bulan ", 'Data Umum'!D12, " Tahun ", TEXT('Data Umum'!D11, "YYYY"))</f>
        <v>Per Bulan Agustus Tahun 2016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2"/>
    </row>
    <row r="12" spans="2:1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x14ac:dyDescent="0.25">
      <c r="B13" s="2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2"/>
    </row>
    <row r="14" spans="2:17" x14ac:dyDescent="0.25">
      <c r="B14" s="2"/>
      <c r="C14" s="50" t="s">
        <v>227</v>
      </c>
      <c r="D14" s="51"/>
      <c r="E14" s="50" t="str">
        <f>"Usaha Produktif"</f>
        <v>Usaha Produktif</v>
      </c>
      <c r="F14" s="68"/>
      <c r="G14" s="68"/>
      <c r="H14" s="51"/>
      <c r="I14" s="50" t="str">
        <f>"Usaha Non Produktif"</f>
        <v>Usaha Non Produktif</v>
      </c>
      <c r="J14" s="68"/>
      <c r="K14" s="68"/>
      <c r="L14" s="51"/>
      <c r="M14" s="50" t="str">
        <f>"Jumlah"</f>
        <v>Jumlah</v>
      </c>
      <c r="N14" s="68"/>
      <c r="O14" s="68"/>
      <c r="P14" s="51"/>
      <c r="Q14" s="2"/>
    </row>
    <row r="15" spans="2:17" x14ac:dyDescent="0.25">
      <c r="B15" s="2"/>
      <c r="C15" s="52"/>
      <c r="D15" s="53"/>
      <c r="E15" s="54" t="str">
        <f>"Sandi"</f>
        <v>Sandi</v>
      </c>
      <c r="F15" s="54" t="str">
        <f>"Posisi"</f>
        <v>Posisi</v>
      </c>
      <c r="G15" s="54" t="str">
        <f>"Sandi"</f>
        <v>Sandi</v>
      </c>
      <c r="H15" s="54" t="str">
        <f>"Periode"</f>
        <v>Periode</v>
      </c>
      <c r="I15" s="54" t="str">
        <f>"Sandi"</f>
        <v>Sandi</v>
      </c>
      <c r="J15" s="54" t="str">
        <f>"Posisi"</f>
        <v>Posisi</v>
      </c>
      <c r="K15" s="54" t="str">
        <f>"Sandi"</f>
        <v>Sandi</v>
      </c>
      <c r="L15" s="54" t="str">
        <f>"Periode"</f>
        <v>Periode</v>
      </c>
      <c r="M15" s="54" t="str">
        <f>"Sandi"</f>
        <v>Sandi</v>
      </c>
      <c r="N15" s="54" t="str">
        <f>"Posisi"</f>
        <v>Posisi</v>
      </c>
      <c r="O15" s="54" t="str">
        <f>"Sandi"</f>
        <v>Sandi</v>
      </c>
      <c r="P15" s="54" t="str">
        <f>"Periode"</f>
        <v>Periode</v>
      </c>
      <c r="Q15" s="2"/>
    </row>
    <row r="16" spans="2:17" x14ac:dyDescent="0.25">
      <c r="B16" s="2"/>
      <c r="C16" s="56" t="s">
        <v>228</v>
      </c>
      <c r="D16" s="51"/>
      <c r="E16" s="13"/>
      <c r="F16" s="25">
        <f>IFERROR(F17, 0)+IFERROR(F18, 0)+IFERROR(F19, 0)+IFERROR(F20, 0)</f>
        <v>0</v>
      </c>
      <c r="G16" s="13"/>
      <c r="H16" s="25">
        <f>IFERROR(H17, 0)+IFERROR(H18, 0)+IFERROR(H19, 0)+IFERROR(H20, 0)</f>
        <v>0</v>
      </c>
      <c r="I16" s="13"/>
      <c r="J16" s="25">
        <f>IFERROR(J17, 0)+IFERROR(J18, 0)+IFERROR(J19, 0)+IFERROR(J20, 0)</f>
        <v>0</v>
      </c>
      <c r="K16" s="13"/>
      <c r="L16" s="25">
        <f>IFERROR(L17, 0)+IFERROR(L18, 0)+IFERROR(L19, 0)+IFERROR(L20, 0)</f>
        <v>0</v>
      </c>
      <c r="M16" s="13"/>
      <c r="N16" s="13" t="str">
        <f>""</f>
        <v/>
      </c>
      <c r="O16" s="13"/>
      <c r="P16" s="13" t="str">
        <f>""</f>
        <v/>
      </c>
      <c r="Q16" s="2"/>
    </row>
    <row r="17" spans="2:17" x14ac:dyDescent="0.25">
      <c r="B17" s="2"/>
      <c r="C17" s="57" t="s">
        <v>229</v>
      </c>
      <c r="D17" s="58"/>
      <c r="E17" s="13">
        <f>6110</f>
        <v>6110</v>
      </c>
      <c r="F17" s="29"/>
      <c r="G17" s="13">
        <f>6310</f>
        <v>6310</v>
      </c>
      <c r="H17" s="29"/>
      <c r="I17" s="13">
        <f>6510</f>
        <v>6510</v>
      </c>
      <c r="J17" s="29"/>
      <c r="K17" s="13">
        <f>6710</f>
        <v>6710</v>
      </c>
      <c r="L17" s="29"/>
      <c r="M17" s="13">
        <f>6911</f>
        <v>6911</v>
      </c>
      <c r="N17" s="14">
        <f>F17+J17</f>
        <v>0</v>
      </c>
      <c r="O17" s="13">
        <f>6940</f>
        <v>6940</v>
      </c>
      <c r="P17" s="14">
        <f>H17+L17</f>
        <v>0</v>
      </c>
      <c r="Q17" s="2"/>
    </row>
    <row r="18" spans="2:17" x14ac:dyDescent="0.25">
      <c r="B18" s="2"/>
      <c r="C18" s="57" t="s">
        <v>230</v>
      </c>
      <c r="D18" s="58"/>
      <c r="E18" s="13">
        <f>6120</f>
        <v>6120</v>
      </c>
      <c r="F18" s="29">
        <v>0</v>
      </c>
      <c r="G18" s="13">
        <f>6320</f>
        <v>6320</v>
      </c>
      <c r="H18" s="29"/>
      <c r="I18" s="13">
        <f>6520</f>
        <v>6520</v>
      </c>
      <c r="J18" s="29">
        <v>0</v>
      </c>
      <c r="K18" s="13">
        <f>6720</f>
        <v>6720</v>
      </c>
      <c r="L18" s="29"/>
      <c r="M18" s="13">
        <f>6912</f>
        <v>6912</v>
      </c>
      <c r="N18" s="14">
        <f>F18+J18</f>
        <v>0</v>
      </c>
      <c r="O18" s="13">
        <f>6950</f>
        <v>6950</v>
      </c>
      <c r="P18" s="14">
        <f>H18+L18</f>
        <v>0</v>
      </c>
      <c r="Q18" s="2"/>
    </row>
    <row r="19" spans="2:17" x14ac:dyDescent="0.25">
      <c r="B19" s="2"/>
      <c r="C19" s="57" t="s">
        <v>231</v>
      </c>
      <c r="D19" s="58"/>
      <c r="E19" s="13">
        <f>6130</f>
        <v>6130</v>
      </c>
      <c r="F19" s="29"/>
      <c r="G19" s="13">
        <f>6330</f>
        <v>6330</v>
      </c>
      <c r="H19" s="29"/>
      <c r="I19" s="13">
        <f>6530</f>
        <v>6530</v>
      </c>
      <c r="J19" s="29"/>
      <c r="K19" s="13">
        <f>6730</f>
        <v>6730</v>
      </c>
      <c r="L19" s="29"/>
      <c r="M19" s="13">
        <f>6913</f>
        <v>6913</v>
      </c>
      <c r="N19" s="14">
        <f>F19+J19</f>
        <v>0</v>
      </c>
      <c r="O19" s="13">
        <f>6960</f>
        <v>6960</v>
      </c>
      <c r="P19" s="14">
        <f>H19+L19</f>
        <v>0</v>
      </c>
      <c r="Q19" s="2"/>
    </row>
    <row r="20" spans="2:17" x14ac:dyDescent="0.25">
      <c r="B20" s="2"/>
      <c r="C20" s="57" t="s">
        <v>232</v>
      </c>
      <c r="D20" s="58"/>
      <c r="E20" s="13">
        <f>6140</f>
        <v>6140</v>
      </c>
      <c r="F20" s="29"/>
      <c r="G20" s="13">
        <f>6340</f>
        <v>6340</v>
      </c>
      <c r="H20" s="29"/>
      <c r="I20" s="13">
        <f>6540</f>
        <v>6540</v>
      </c>
      <c r="J20" s="29"/>
      <c r="K20" s="13">
        <f>6740</f>
        <v>6740</v>
      </c>
      <c r="L20" s="29"/>
      <c r="M20" s="13">
        <f>6914</f>
        <v>6914</v>
      </c>
      <c r="N20" s="14">
        <f>F20+J20</f>
        <v>0</v>
      </c>
      <c r="O20" s="13">
        <f>6970</f>
        <v>6970</v>
      </c>
      <c r="P20" s="14">
        <f>H20+L20</f>
        <v>0</v>
      </c>
      <c r="Q20" s="2"/>
    </row>
    <row r="21" spans="2:17" x14ac:dyDescent="0.25">
      <c r="B21" s="2"/>
      <c r="C21" s="56" t="s">
        <v>233</v>
      </c>
      <c r="D21" s="51"/>
      <c r="E21" s="13"/>
      <c r="F21" s="16">
        <f>IFERROR(F22, 0)+IFERROR(F23, 0)+IFERROR(F24, 0)+IFERROR(F25, 0)</f>
        <v>0</v>
      </c>
      <c r="G21" s="13"/>
      <c r="H21" s="16">
        <f>IFERROR(H22, 0)+IFERROR(H23, 0)+IFERROR(H24, 0)+IFERROR(H25, 0)</f>
        <v>0</v>
      </c>
      <c r="I21" s="13"/>
      <c r="J21" s="16">
        <f>IFERROR(J22, 0)+IFERROR(J23, 0)+IFERROR(J24, 0)+IFERROR(J25, 0)</f>
        <v>0</v>
      </c>
      <c r="K21" s="13"/>
      <c r="L21" s="16">
        <f>IFERROR(L22, 0)+IFERROR(L23, 0)+IFERROR(L24, 0)+IFERROR(L25, 0)</f>
        <v>0</v>
      </c>
      <c r="M21" s="13"/>
      <c r="N21" s="13" t="str">
        <f>""</f>
        <v/>
      </c>
      <c r="O21" s="13"/>
      <c r="P21" s="13" t="str">
        <f>""</f>
        <v/>
      </c>
      <c r="Q21" s="2"/>
    </row>
    <row r="22" spans="2:17" x14ac:dyDescent="0.25">
      <c r="B22" s="2"/>
      <c r="C22" s="57" t="s">
        <v>234</v>
      </c>
      <c r="D22" s="58"/>
      <c r="E22" s="13">
        <f>6150</f>
        <v>6150</v>
      </c>
      <c r="F22" s="61">
        <v>0</v>
      </c>
      <c r="G22" s="13">
        <f>6350</f>
        <v>6350</v>
      </c>
      <c r="H22" s="61">
        <v>0</v>
      </c>
      <c r="I22" s="13">
        <f>6550</f>
        <v>6550</v>
      </c>
      <c r="J22" s="61">
        <v>0</v>
      </c>
      <c r="K22" s="13">
        <f>6750</f>
        <v>6750</v>
      </c>
      <c r="L22" s="61">
        <v>0</v>
      </c>
      <c r="M22" s="13">
        <f>6915</f>
        <v>6915</v>
      </c>
      <c r="N22" s="14">
        <f>F22+J22</f>
        <v>0</v>
      </c>
      <c r="O22" s="13">
        <f>6971</f>
        <v>6971</v>
      </c>
      <c r="P22" s="14">
        <f>H22+L22</f>
        <v>0</v>
      </c>
      <c r="Q22" s="2"/>
    </row>
    <row r="23" spans="2:17" x14ac:dyDescent="0.25">
      <c r="B23" s="2"/>
      <c r="C23" s="57" t="s">
        <v>230</v>
      </c>
      <c r="D23" s="58"/>
      <c r="E23" s="13">
        <f>6160</f>
        <v>6160</v>
      </c>
      <c r="F23" s="61">
        <v>0</v>
      </c>
      <c r="G23" s="13">
        <f>6360</f>
        <v>6360</v>
      </c>
      <c r="H23" s="61">
        <v>0</v>
      </c>
      <c r="I23" s="13">
        <f>6560</f>
        <v>6560</v>
      </c>
      <c r="J23" s="61">
        <v>0</v>
      </c>
      <c r="K23" s="13">
        <f>6760</f>
        <v>6760</v>
      </c>
      <c r="L23" s="61">
        <v>0</v>
      </c>
      <c r="M23" s="13">
        <f>6916</f>
        <v>6916</v>
      </c>
      <c r="N23" s="14">
        <f>F23+J23</f>
        <v>0</v>
      </c>
      <c r="O23" s="13">
        <f>6972</f>
        <v>6972</v>
      </c>
      <c r="P23" s="14">
        <f>H23+L23</f>
        <v>0</v>
      </c>
      <c r="Q23" s="2"/>
    </row>
    <row r="24" spans="2:17" x14ac:dyDescent="0.25">
      <c r="B24" s="2"/>
      <c r="C24" s="57" t="s">
        <v>231</v>
      </c>
      <c r="D24" s="58"/>
      <c r="E24" s="13">
        <f>6170</f>
        <v>6170</v>
      </c>
      <c r="F24" s="61">
        <v>0</v>
      </c>
      <c r="G24" s="13">
        <f>6370</f>
        <v>6370</v>
      </c>
      <c r="H24" s="61">
        <v>0</v>
      </c>
      <c r="I24" s="13">
        <f>6570</f>
        <v>6570</v>
      </c>
      <c r="J24" s="61">
        <v>0</v>
      </c>
      <c r="K24" s="13">
        <f>6770</f>
        <v>6770</v>
      </c>
      <c r="L24" s="61">
        <v>0</v>
      </c>
      <c r="M24" s="13">
        <f>6917</f>
        <v>6917</v>
      </c>
      <c r="N24" s="14">
        <f>F24+J24</f>
        <v>0</v>
      </c>
      <c r="O24" s="13">
        <f>6973</f>
        <v>6973</v>
      </c>
      <c r="P24" s="14">
        <f>H24+L24</f>
        <v>0</v>
      </c>
      <c r="Q24" s="2"/>
    </row>
    <row r="25" spans="2:17" x14ac:dyDescent="0.25">
      <c r="B25" s="2"/>
      <c r="C25" s="57" t="s">
        <v>232</v>
      </c>
      <c r="D25" s="58"/>
      <c r="E25" s="13">
        <f>6180</f>
        <v>6180</v>
      </c>
      <c r="F25" s="61">
        <v>0</v>
      </c>
      <c r="G25" s="13">
        <f>6380</f>
        <v>6380</v>
      </c>
      <c r="H25" s="61">
        <v>0</v>
      </c>
      <c r="I25" s="13">
        <f>6580</f>
        <v>6580</v>
      </c>
      <c r="J25" s="61">
        <v>0</v>
      </c>
      <c r="K25" s="13">
        <f>6780</f>
        <v>6780</v>
      </c>
      <c r="L25" s="61">
        <v>0</v>
      </c>
      <c r="M25" s="13">
        <f>6918</f>
        <v>6918</v>
      </c>
      <c r="N25" s="14">
        <f>F25+J25</f>
        <v>0</v>
      </c>
      <c r="O25" s="13">
        <f>6974</f>
        <v>6974</v>
      </c>
      <c r="P25" s="14">
        <f>H25+L25</f>
        <v>0</v>
      </c>
      <c r="Q25" s="2"/>
    </row>
    <row r="26" spans="2:17" x14ac:dyDescent="0.25">
      <c r="B26" s="2"/>
      <c r="C26" s="56" t="s">
        <v>235</v>
      </c>
      <c r="D26" s="51"/>
      <c r="E26" s="13"/>
      <c r="F26" s="25">
        <f>IFERROR(F27, 0)+IFERROR(F28, 0)+IFERROR(F29, 0)+IFERROR(F30, 0)</f>
        <v>0</v>
      </c>
      <c r="G26" s="13"/>
      <c r="H26" s="25">
        <f>IFERROR(H27, 0)+IFERROR(H28, 0)+IFERROR(H29, 0)+IFERROR(H30, 0)</f>
        <v>0</v>
      </c>
      <c r="I26" s="13"/>
      <c r="J26" s="25">
        <f>IFERROR(J27, 0)+IFERROR(J28, 0)+IFERROR(J29, 0)+IFERROR(J30, 0)</f>
        <v>0</v>
      </c>
      <c r="K26" s="13"/>
      <c r="L26" s="25">
        <f>IFERROR(L27, 0)+IFERROR(L28, 0)+IFERROR(L29, 0)+IFERROR(L30, 0)</f>
        <v>0</v>
      </c>
      <c r="M26" s="13"/>
      <c r="N26" s="13" t="str">
        <f>""</f>
        <v/>
      </c>
      <c r="O26" s="13"/>
      <c r="P26" s="13" t="str">
        <f>""</f>
        <v/>
      </c>
      <c r="Q26" s="2"/>
    </row>
    <row r="27" spans="2:17" x14ac:dyDescent="0.25">
      <c r="B27" s="2"/>
      <c r="C27" s="57" t="s">
        <v>234</v>
      </c>
      <c r="D27" s="58"/>
      <c r="E27" s="13">
        <f>6210</f>
        <v>6210</v>
      </c>
      <c r="F27" s="29"/>
      <c r="G27" s="13">
        <f>6410</f>
        <v>6410</v>
      </c>
      <c r="H27" s="29"/>
      <c r="I27" s="13">
        <f>6610</f>
        <v>6610</v>
      </c>
      <c r="J27" s="61">
        <v>0</v>
      </c>
      <c r="K27" s="13">
        <f>6810</f>
        <v>6810</v>
      </c>
      <c r="L27" s="61">
        <v>0</v>
      </c>
      <c r="M27" s="13">
        <f>6921</f>
        <v>6921</v>
      </c>
      <c r="N27" s="14">
        <f>F27+J27</f>
        <v>0</v>
      </c>
      <c r="O27" s="13">
        <f>6981</f>
        <v>6981</v>
      </c>
      <c r="P27" s="14">
        <f>H27+L27</f>
        <v>0</v>
      </c>
      <c r="Q27" s="2"/>
    </row>
    <row r="28" spans="2:17" x14ac:dyDescent="0.25">
      <c r="B28" s="2"/>
      <c r="C28" s="57" t="s">
        <v>230</v>
      </c>
      <c r="D28" s="58"/>
      <c r="E28" s="13">
        <f>6220</f>
        <v>6220</v>
      </c>
      <c r="F28" s="29"/>
      <c r="G28" s="13">
        <f>6420</f>
        <v>6420</v>
      </c>
      <c r="H28" s="29"/>
      <c r="I28" s="13">
        <f>6620</f>
        <v>6620</v>
      </c>
      <c r="J28" s="61">
        <v>0</v>
      </c>
      <c r="K28" s="13">
        <f>6820</f>
        <v>6820</v>
      </c>
      <c r="L28" s="61">
        <v>0</v>
      </c>
      <c r="M28" s="13">
        <f>6922</f>
        <v>6922</v>
      </c>
      <c r="N28" s="14">
        <f>F28+J28</f>
        <v>0</v>
      </c>
      <c r="O28" s="13">
        <f>6982</f>
        <v>6982</v>
      </c>
      <c r="P28" s="14">
        <f>H28+L28</f>
        <v>0</v>
      </c>
      <c r="Q28" s="2"/>
    </row>
    <row r="29" spans="2:17" x14ac:dyDescent="0.25">
      <c r="B29" s="2"/>
      <c r="C29" s="57" t="s">
        <v>231</v>
      </c>
      <c r="D29" s="58"/>
      <c r="E29" s="13">
        <f>6230</f>
        <v>6230</v>
      </c>
      <c r="F29" s="29"/>
      <c r="G29" s="13">
        <f>6430</f>
        <v>6430</v>
      </c>
      <c r="H29" s="29"/>
      <c r="I29" s="13">
        <f>6630</f>
        <v>6630</v>
      </c>
      <c r="J29" s="61">
        <v>0</v>
      </c>
      <c r="K29" s="13">
        <f>6830</f>
        <v>6830</v>
      </c>
      <c r="L29" s="61">
        <v>0</v>
      </c>
      <c r="M29" s="13">
        <f>6923</f>
        <v>6923</v>
      </c>
      <c r="N29" s="14">
        <f>F29+J29</f>
        <v>0</v>
      </c>
      <c r="O29" s="13">
        <f>6983</f>
        <v>6983</v>
      </c>
      <c r="P29" s="14">
        <f>H29+L29</f>
        <v>0</v>
      </c>
      <c r="Q29" s="2"/>
    </row>
    <row r="30" spans="2:17" x14ac:dyDescent="0.25">
      <c r="B30" s="2"/>
      <c r="C30" s="57" t="s">
        <v>232</v>
      </c>
      <c r="D30" s="58"/>
      <c r="E30" s="13">
        <f>6240</f>
        <v>6240</v>
      </c>
      <c r="F30" s="29"/>
      <c r="G30" s="13">
        <f>6440</f>
        <v>6440</v>
      </c>
      <c r="H30" s="29"/>
      <c r="I30" s="13">
        <f>6640</f>
        <v>6640</v>
      </c>
      <c r="J30" s="61">
        <v>0</v>
      </c>
      <c r="K30" s="13">
        <f>6840</f>
        <v>6840</v>
      </c>
      <c r="L30" s="61">
        <v>0</v>
      </c>
      <c r="M30" s="13">
        <f>6924</f>
        <v>6924</v>
      </c>
      <c r="N30" s="14">
        <f>F30+J30</f>
        <v>0</v>
      </c>
      <c r="O30" s="13">
        <f>6984</f>
        <v>6984</v>
      </c>
      <c r="P30" s="14">
        <f>H30+L30</f>
        <v>0</v>
      </c>
      <c r="Q30" s="2"/>
    </row>
    <row r="31" spans="2:17" x14ac:dyDescent="0.25">
      <c r="B31" s="2"/>
      <c r="C31" s="56" t="s">
        <v>236</v>
      </c>
      <c r="D31" s="51"/>
      <c r="E31" s="13"/>
      <c r="F31" s="25">
        <f>IFERROR(F32, 0)+IFERROR(F33, 0)+IFERROR(F34, 0)+IFERROR(F35, 0)</f>
        <v>0</v>
      </c>
      <c r="G31" s="13"/>
      <c r="H31" s="25">
        <f>IFERROR(H32, 0)+IFERROR(H33, 0)+IFERROR(H34, 0)+IFERROR(H35, 0)</f>
        <v>0</v>
      </c>
      <c r="I31" s="13"/>
      <c r="J31" s="25">
        <f>IFERROR(J32, 0)+IFERROR(J33, 0)+IFERROR(J34, 0)+IFERROR(J35, 0)</f>
        <v>0</v>
      </c>
      <c r="K31" s="13"/>
      <c r="L31" s="25">
        <f>IFERROR(L32, 0)+IFERROR(L33, 0)+IFERROR(L34, 0)+IFERROR(L35, 0)</f>
        <v>0</v>
      </c>
      <c r="M31" s="13"/>
      <c r="N31" s="13" t="str">
        <f>""</f>
        <v/>
      </c>
      <c r="O31" s="13"/>
      <c r="P31" s="13" t="str">
        <f>""</f>
        <v/>
      </c>
      <c r="Q31" s="2"/>
    </row>
    <row r="32" spans="2:17" x14ac:dyDescent="0.25">
      <c r="B32" s="2"/>
      <c r="C32" s="57" t="s">
        <v>234</v>
      </c>
      <c r="D32" s="58"/>
      <c r="E32" s="13">
        <f>6250</f>
        <v>6250</v>
      </c>
      <c r="F32" s="14">
        <f>F17+F22+F27</f>
        <v>0</v>
      </c>
      <c r="G32" s="13">
        <f>6450</f>
        <v>6450</v>
      </c>
      <c r="H32" s="14">
        <f>H17+H22+H27</f>
        <v>0</v>
      </c>
      <c r="I32" s="13">
        <f>6650</f>
        <v>6650</v>
      </c>
      <c r="J32" s="14">
        <f>J17+J22+J27</f>
        <v>0</v>
      </c>
      <c r="K32" s="13">
        <f>6850</f>
        <v>6850</v>
      </c>
      <c r="L32" s="14">
        <f>L17+L22+L27</f>
        <v>0</v>
      </c>
      <c r="M32" s="13">
        <f>6925</f>
        <v>6925</v>
      </c>
      <c r="N32" s="14">
        <f>N17+N22+N27</f>
        <v>0</v>
      </c>
      <c r="O32" s="13">
        <f>6985</f>
        <v>6985</v>
      </c>
      <c r="P32" s="14">
        <f>P17+P22+P27</f>
        <v>0</v>
      </c>
      <c r="Q32" s="2"/>
    </row>
    <row r="33" spans="2:17" x14ac:dyDescent="0.25">
      <c r="B33" s="2"/>
      <c r="C33" s="57" t="s">
        <v>230</v>
      </c>
      <c r="D33" s="58"/>
      <c r="E33" s="13">
        <f>6260</f>
        <v>6260</v>
      </c>
      <c r="F33" s="14">
        <f>F18+F23+F28</f>
        <v>0</v>
      </c>
      <c r="G33" s="13">
        <f>6460</f>
        <v>6460</v>
      </c>
      <c r="H33" s="14">
        <f>H18+H23+H28</f>
        <v>0</v>
      </c>
      <c r="I33" s="13">
        <f>6660</f>
        <v>6660</v>
      </c>
      <c r="J33" s="14">
        <f>J18+J23+J28</f>
        <v>0</v>
      </c>
      <c r="K33" s="13">
        <f>6860</f>
        <v>6860</v>
      </c>
      <c r="L33" s="14">
        <f>L18+L23+L28</f>
        <v>0</v>
      </c>
      <c r="M33" s="13">
        <f>6926</f>
        <v>6926</v>
      </c>
      <c r="N33" s="14">
        <f>N18+N23+N28</f>
        <v>0</v>
      </c>
      <c r="O33" s="13">
        <f>6986</f>
        <v>6986</v>
      </c>
      <c r="P33" s="14">
        <f>P18+P23+P28</f>
        <v>0</v>
      </c>
      <c r="Q33" s="2"/>
    </row>
    <row r="34" spans="2:17" x14ac:dyDescent="0.25">
      <c r="B34" s="2"/>
      <c r="C34" s="57" t="s">
        <v>231</v>
      </c>
      <c r="D34" s="58"/>
      <c r="E34" s="13">
        <f>6270</f>
        <v>6270</v>
      </c>
      <c r="F34" s="14">
        <f>F19+F24+F29</f>
        <v>0</v>
      </c>
      <c r="G34" s="13">
        <f>6470</f>
        <v>6470</v>
      </c>
      <c r="H34" s="14">
        <f>H19+H24+H29</f>
        <v>0</v>
      </c>
      <c r="I34" s="13">
        <f>6670</f>
        <v>6670</v>
      </c>
      <c r="J34" s="14">
        <f>J19+J24+J29</f>
        <v>0</v>
      </c>
      <c r="K34" s="13">
        <f>6870</f>
        <v>6870</v>
      </c>
      <c r="L34" s="14">
        <f>L19+L24+L29</f>
        <v>0</v>
      </c>
      <c r="M34" s="13">
        <f>6927</f>
        <v>6927</v>
      </c>
      <c r="N34" s="14">
        <f>N19+N24+N29</f>
        <v>0</v>
      </c>
      <c r="O34" s="13">
        <f>6987</f>
        <v>6987</v>
      </c>
      <c r="P34" s="14">
        <f>P19+P24+P29</f>
        <v>0</v>
      </c>
      <c r="Q34" s="2"/>
    </row>
    <row r="35" spans="2:17" x14ac:dyDescent="0.25">
      <c r="B35" s="2"/>
      <c r="C35" s="57" t="s">
        <v>232</v>
      </c>
      <c r="D35" s="58"/>
      <c r="E35" s="13">
        <f>6280</f>
        <v>6280</v>
      </c>
      <c r="F35" s="14">
        <f>F20+F25+F30</f>
        <v>0</v>
      </c>
      <c r="G35" s="13">
        <f>6480</f>
        <v>6480</v>
      </c>
      <c r="H35" s="14">
        <f>H20+H25+H30</f>
        <v>0</v>
      </c>
      <c r="I35" s="13">
        <f>6680</f>
        <v>6680</v>
      </c>
      <c r="J35" s="14">
        <f>J20+J25+J30</f>
        <v>0</v>
      </c>
      <c r="K35" s="13">
        <f>6880</f>
        <v>6880</v>
      </c>
      <c r="L35" s="14">
        <f>L20+L25+L30</f>
        <v>0</v>
      </c>
      <c r="M35" s="13">
        <f>6928</f>
        <v>6928</v>
      </c>
      <c r="N35" s="14">
        <f>N20+N25+N30</f>
        <v>0</v>
      </c>
      <c r="O35" s="13">
        <f>6988</f>
        <v>6988</v>
      </c>
      <c r="P35" s="14">
        <f>P20+P25+P30</f>
        <v>0</v>
      </c>
      <c r="Q35" s="2"/>
    </row>
    <row r="36" spans="2:1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2:17" ht="4.9000000000000004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</sheetData>
  <sheetProtection password="BBAF" sheet="1" formatColumns="0" selectLockedCells="1"/>
  <mergeCells count="65">
    <mergeCell ref="C31:D31"/>
    <mergeCell ref="C32:D32"/>
    <mergeCell ref="C33:D33"/>
    <mergeCell ref="C34:D34"/>
    <mergeCell ref="C35:D35"/>
    <mergeCell ref="C29:D29"/>
    <mergeCell ref="J29"/>
    <mergeCell ref="L29"/>
    <mergeCell ref="C30:D30"/>
    <mergeCell ref="J30"/>
    <mergeCell ref="L30"/>
    <mergeCell ref="C26:D26"/>
    <mergeCell ref="C27:D27"/>
    <mergeCell ref="J27"/>
    <mergeCell ref="L27"/>
    <mergeCell ref="C28:D28"/>
    <mergeCell ref="J28"/>
    <mergeCell ref="L28"/>
    <mergeCell ref="C25:D25"/>
    <mergeCell ref="F25"/>
    <mergeCell ref="H25"/>
    <mergeCell ref="J25"/>
    <mergeCell ref="L25"/>
    <mergeCell ref="C24:D24"/>
    <mergeCell ref="F24"/>
    <mergeCell ref="H24"/>
    <mergeCell ref="J24"/>
    <mergeCell ref="L24"/>
    <mergeCell ref="L22"/>
    <mergeCell ref="C23:D23"/>
    <mergeCell ref="F23"/>
    <mergeCell ref="H23"/>
    <mergeCell ref="J23"/>
    <mergeCell ref="L23"/>
    <mergeCell ref="C21:D21"/>
    <mergeCell ref="C22:D22"/>
    <mergeCell ref="F22"/>
    <mergeCell ref="H22"/>
    <mergeCell ref="J22"/>
    <mergeCell ref="C16:D16"/>
    <mergeCell ref="C17:D17"/>
    <mergeCell ref="C18:D18"/>
    <mergeCell ref="C19:D19"/>
    <mergeCell ref="C20:D20"/>
    <mergeCell ref="M15"/>
    <mergeCell ref="N15"/>
    <mergeCell ref="O15"/>
    <mergeCell ref="M14:P14"/>
    <mergeCell ref="P15"/>
    <mergeCell ref="I15"/>
    <mergeCell ref="J15"/>
    <mergeCell ref="K15"/>
    <mergeCell ref="L15"/>
    <mergeCell ref="I14:L14"/>
    <mergeCell ref="C14:D15"/>
    <mergeCell ref="E15"/>
    <mergeCell ref="F15"/>
    <mergeCell ref="G15"/>
    <mergeCell ref="H15"/>
    <mergeCell ref="E14:H14"/>
    <mergeCell ref="C7:P7"/>
    <mergeCell ref="C9:P9"/>
    <mergeCell ref="C10:P10"/>
    <mergeCell ref="C11:P11"/>
    <mergeCell ref="C13:P13"/>
  </mergeCells>
  <dataValidations count="48"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L17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L18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L19">
      <formula1>-1000000000000000000</formula1>
      <formula2>1000000000000000000</formula2>
    </dataValidation>
    <dataValidation type="decimal" showErrorMessage="1" errorTitle="Kesalahan Jenis Data" error="Data yang dimasukkan harus berupa Angka!" sqref="F20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L20">
      <formula1>-1000000000000000000</formula1>
      <formula2>1000000000000000000</formula2>
    </dataValidation>
    <dataValidation type="decimal" showErrorMessage="1" errorTitle="Kesalahan Jenis Data" error="Data yang dimasukkan harus berupa Angka!" sqref="F22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L22">
      <formula1>-1000000000000000000</formula1>
      <formula2>1000000000000000000</formula2>
    </dataValidation>
    <dataValidation type="decimal" showErrorMessage="1" errorTitle="Kesalahan Jenis Data" error="Data yang dimasukkan harus berupa Angka!" sqref="F23">
      <formula1>-1000000000000000000</formula1>
      <formula2>1000000000000000000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L23">
      <formula1>-1000000000000000000</formula1>
      <formula2>1000000000000000000</formula2>
    </dataValidation>
    <dataValidation type="decimal" showErrorMessage="1" errorTitle="Kesalahan Jenis Data" error="Data yang dimasukkan harus berupa Angka!" sqref="F24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L24">
      <formula1>-1000000000000000000</formula1>
      <formula2>1000000000000000000</formula2>
    </dataValidation>
    <dataValidation type="decimal" showErrorMessage="1" errorTitle="Kesalahan Jenis Data" error="Data yang dimasukkan harus berupa Angka!" sqref="F25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L25">
      <formula1>-1000000000000000000</formula1>
      <formula2>1000000000000000000</formula2>
    </dataValidation>
    <dataValidation type="decimal" showErrorMessage="1" errorTitle="Kesalahan Jenis Data" error="Data yang dimasukkan harus berupa Angka!" sqref="F27">
      <formula1>-1000000000000000000</formula1>
      <formula2>1000000000000000000</formula2>
    </dataValidation>
    <dataValidation type="decimal" showErrorMessage="1" errorTitle="Kesalahan Jenis Data" error="Data yang dimasukkan harus berupa Angka!" sqref="H27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L27">
      <formula1>-1000000000000000000</formula1>
      <formula2>1000000000000000000</formula2>
    </dataValidation>
    <dataValidation type="decimal" showErrorMessage="1" errorTitle="Kesalahan Jenis Data" error="Data yang dimasukkan harus berupa Angka!" sqref="F28">
      <formula1>-1000000000000000000</formula1>
      <formula2>1000000000000000000</formula2>
    </dataValidation>
    <dataValidation type="decimal" showErrorMessage="1" errorTitle="Kesalahan Jenis Data" error="Data yang dimasukkan harus berupa Angka!" sqref="H28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L28">
      <formula1>-1000000000000000000</formula1>
      <formula2>1000000000000000000</formula2>
    </dataValidation>
    <dataValidation type="decimal" showErrorMessage="1" errorTitle="Kesalahan Jenis Data" error="Data yang dimasukkan harus berupa Angka!" sqref="F29">
      <formula1>-1000000000000000000</formula1>
      <formula2>1000000000000000000</formula2>
    </dataValidation>
    <dataValidation type="decimal" showErrorMessage="1" errorTitle="Kesalahan Jenis Data" error="Data yang dimasukkan harus berupa Angka!" sqref="H29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L29">
      <formula1>-1000000000000000000</formula1>
      <formula2>1000000000000000000</formula2>
    </dataValidation>
    <dataValidation type="decimal" showErrorMessage="1" errorTitle="Kesalahan Jenis Data" error="Data yang dimasukkan harus berupa Angka!" sqref="F30">
      <formula1>-1000000000000000000</formula1>
      <formula2>1000000000000000000</formula2>
    </dataValidation>
    <dataValidation type="decimal" showErrorMessage="1" errorTitle="Kesalahan Jenis Data" error="Data yang dimasukkan harus berupa Angka!" sqref="H30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L30">
      <formula1>-1000000000000000000</formula1>
      <formula2>1000000000000000000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62" orientation="landscape" horizontalDpi="4294967294" r:id="rId1"/>
  <colBreaks count="1" manualBreakCount="1">
    <brk id="16" min="1" max="36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showGridLines="0" view="pageBreakPreview" zoomScaleNormal="70" zoomScaleSheetLayoutView="10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H16" sqref="H16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40" style="1" customWidth="1"/>
    <col min="4" max="4" width="30" style="1" customWidth="1"/>
    <col min="5" max="5" width="6" style="1" bestFit="1" customWidth="1"/>
    <col min="6" max="6" width="19.7109375" style="1" bestFit="1" customWidth="1"/>
    <col min="7" max="7" width="6" style="1" bestFit="1" customWidth="1"/>
    <col min="8" max="8" width="20.42578125" style="1" bestFit="1" customWidth="1"/>
    <col min="9" max="9" width="6" style="1" bestFit="1" customWidth="1"/>
    <col min="10" max="10" width="30" style="1" customWidth="1"/>
    <col min="11" max="11" width="1" style="1" customWidth="1"/>
    <col min="12" max="12" width="9.140625" style="1" customWidth="1"/>
    <col min="13" max="16384" width="9.140625" style="1"/>
  </cols>
  <sheetData>
    <row r="2" spans="2:11" ht="4.9000000000000004" customHeight="1" x14ac:dyDescent="0.25">
      <c r="B2" s="9" t="s">
        <v>237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</row>
    <row r="4" spans="2:1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46"/>
      <c r="J7" s="46"/>
      <c r="K7" s="2"/>
    </row>
    <row r="8" spans="2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25">
      <c r="B9" s="2"/>
      <c r="C9" s="47" t="s">
        <v>238</v>
      </c>
      <c r="D9" s="47"/>
      <c r="E9" s="47"/>
      <c r="F9" s="47"/>
      <c r="G9" s="47"/>
      <c r="H9" s="47"/>
      <c r="I9" s="47"/>
      <c r="J9" s="47"/>
      <c r="K9" s="2"/>
    </row>
    <row r="10" spans="2:11" x14ac:dyDescent="0.25">
      <c r="B10" s="2"/>
      <c r="C10" s="47"/>
      <c r="D10" s="47"/>
      <c r="E10" s="47"/>
      <c r="F10" s="47"/>
      <c r="G10" s="47"/>
      <c r="H10" s="47"/>
      <c r="I10" s="47"/>
      <c r="J10" s="47"/>
      <c r="K10" s="2"/>
    </row>
    <row r="11" spans="2:11" x14ac:dyDescent="0.25">
      <c r="B11" s="2"/>
      <c r="C11" s="48" t="str">
        <f>"Per "&amp;CONCATENATE("Bulan ", 'Data Umum'!D12, " Tahun ", TEXT('Data Umum'!D11, "YYYY"))</f>
        <v>Per Bulan Agustus Tahun 2016</v>
      </c>
      <c r="D11" s="48"/>
      <c r="E11" s="48"/>
      <c r="F11" s="48"/>
      <c r="G11" s="48"/>
      <c r="H11" s="48"/>
      <c r="I11" s="48"/>
      <c r="J11" s="48"/>
      <c r="K11" s="2"/>
    </row>
    <row r="12" spans="2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25">
      <c r="B13" s="2"/>
      <c r="C13" s="49"/>
      <c r="D13" s="49"/>
      <c r="E13" s="49"/>
      <c r="F13" s="49"/>
      <c r="G13" s="49"/>
      <c r="H13" s="49"/>
      <c r="I13" s="49"/>
      <c r="J13" s="49"/>
      <c r="K13" s="2"/>
    </row>
    <row r="14" spans="2:11" x14ac:dyDescent="0.25">
      <c r="B14" s="2"/>
      <c r="C14" s="50" t="s">
        <v>239</v>
      </c>
      <c r="D14" s="51"/>
      <c r="E14" s="54" t="str">
        <f>"Sandi"</f>
        <v>Sandi</v>
      </c>
      <c r="F14" s="54" t="str">
        <f>"Usaha Produktif"</f>
        <v>Usaha Produktif</v>
      </c>
      <c r="G14" s="54" t="str">
        <f>"Sandi"</f>
        <v>Sandi</v>
      </c>
      <c r="H14" s="54" t="str">
        <f>"Usaha Non Produktif"</f>
        <v>Usaha Non Produktif</v>
      </c>
      <c r="I14" s="54" t="str">
        <f>"Sandi"</f>
        <v>Sandi</v>
      </c>
      <c r="J14" s="54" t="str">
        <f>"Jumlah"</f>
        <v>Jumlah</v>
      </c>
      <c r="K14" s="2"/>
    </row>
    <row r="15" spans="2:11" x14ac:dyDescent="0.25">
      <c r="B15" s="2"/>
      <c r="C15" s="52"/>
      <c r="D15" s="53"/>
      <c r="E15" s="55"/>
      <c r="F15" s="55"/>
      <c r="G15" s="55"/>
      <c r="H15" s="55"/>
      <c r="I15" s="55"/>
      <c r="J15" s="55"/>
      <c r="K15" s="2"/>
    </row>
    <row r="16" spans="2:11" x14ac:dyDescent="0.25">
      <c r="B16" s="2"/>
      <c r="C16" s="56" t="s">
        <v>240</v>
      </c>
      <c r="D16" s="51"/>
      <c r="E16" s="13">
        <f>7100</f>
        <v>7100</v>
      </c>
      <c r="F16" s="29"/>
      <c r="G16" s="13">
        <f>7500</f>
        <v>7500</v>
      </c>
      <c r="H16" s="29"/>
      <c r="I16" s="13">
        <f>7900</f>
        <v>7900</v>
      </c>
      <c r="J16" s="14">
        <f>F16+H16</f>
        <v>0</v>
      </c>
      <c r="K16" s="2"/>
    </row>
    <row r="17" spans="2:11" x14ac:dyDescent="0.25">
      <c r="B17" s="2"/>
      <c r="C17" s="56" t="s">
        <v>241</v>
      </c>
      <c r="D17" s="51"/>
      <c r="E17" s="13">
        <f>7110</f>
        <v>7110</v>
      </c>
      <c r="F17" s="29">
        <v>0</v>
      </c>
      <c r="G17" s="13">
        <f>7510</f>
        <v>7510</v>
      </c>
      <c r="H17" s="29">
        <v>0</v>
      </c>
      <c r="I17" s="13">
        <f>7910</f>
        <v>7910</v>
      </c>
      <c r="J17" s="14">
        <f>F17+H17</f>
        <v>0</v>
      </c>
      <c r="K17" s="2"/>
    </row>
    <row r="18" spans="2:11" x14ac:dyDescent="0.25">
      <c r="B18" s="2"/>
      <c r="C18" s="56" t="s">
        <v>242</v>
      </c>
      <c r="D18" s="51"/>
      <c r="E18" s="13">
        <f>7120</f>
        <v>7120</v>
      </c>
      <c r="F18" s="29">
        <v>0</v>
      </c>
      <c r="G18" s="13">
        <f>7520</f>
        <v>7520</v>
      </c>
      <c r="H18" s="29">
        <v>0</v>
      </c>
      <c r="I18" s="13">
        <f>7920</f>
        <v>7920</v>
      </c>
      <c r="J18" s="14">
        <f>F18+H18</f>
        <v>0</v>
      </c>
      <c r="K18" s="2"/>
    </row>
    <row r="19" spans="2:11" x14ac:dyDescent="0.25">
      <c r="B19" s="2"/>
      <c r="C19" s="56" t="s">
        <v>243</v>
      </c>
      <c r="D19" s="51"/>
      <c r="E19" s="13">
        <f>7130</f>
        <v>7130</v>
      </c>
      <c r="F19" s="29"/>
      <c r="G19" s="13">
        <f>7530</f>
        <v>7530</v>
      </c>
      <c r="H19" s="29"/>
      <c r="I19" s="13">
        <f>7930</f>
        <v>7930</v>
      </c>
      <c r="J19" s="14">
        <f>F19+H19</f>
        <v>0</v>
      </c>
      <c r="K19" s="2"/>
    </row>
    <row r="20" spans="2:11" x14ac:dyDescent="0.25">
      <c r="B20" s="2"/>
      <c r="C20" s="56" t="s">
        <v>244</v>
      </c>
      <c r="D20" s="51"/>
      <c r="E20" s="13">
        <f>7140</f>
        <v>7140</v>
      </c>
      <c r="F20" s="29">
        <v>0</v>
      </c>
      <c r="G20" s="13">
        <f>7540</f>
        <v>7540</v>
      </c>
      <c r="H20" s="29">
        <v>0</v>
      </c>
      <c r="I20" s="13">
        <f>7940</f>
        <v>7940</v>
      </c>
      <c r="J20" s="14">
        <f>F20+H20</f>
        <v>0</v>
      </c>
      <c r="K20" s="2"/>
    </row>
    <row r="21" spans="2:11" x14ac:dyDescent="0.25">
      <c r="B21" s="2"/>
      <c r="C21" s="56" t="s">
        <v>245</v>
      </c>
      <c r="D21" s="51"/>
      <c r="E21" s="13">
        <f>7150</f>
        <v>7150</v>
      </c>
      <c r="F21" s="14">
        <f>SUM(F16:F20)</f>
        <v>0</v>
      </c>
      <c r="G21" s="13">
        <f>7550</f>
        <v>7550</v>
      </c>
      <c r="H21" s="14">
        <f>SUM(H16:H20)</f>
        <v>0</v>
      </c>
      <c r="I21" s="13">
        <f>7950</f>
        <v>7950</v>
      </c>
      <c r="J21" s="14">
        <f>SUM(J16:J20)</f>
        <v>0</v>
      </c>
      <c r="K21" s="2"/>
    </row>
    <row r="22" spans="2:11" x14ac:dyDescent="0.25">
      <c r="B22" s="2"/>
      <c r="C22" s="56" t="s">
        <v>246</v>
      </c>
      <c r="D22" s="51"/>
      <c r="E22" s="13">
        <f>7180</f>
        <v>7180</v>
      </c>
      <c r="F22" s="14">
        <f>F18+F19+F20</f>
        <v>0</v>
      </c>
      <c r="G22" s="13">
        <f>7580</f>
        <v>7580</v>
      </c>
      <c r="H22" s="14">
        <f>H18+H19+H20</f>
        <v>0</v>
      </c>
      <c r="I22" s="13">
        <f>7980</f>
        <v>7980</v>
      </c>
      <c r="J22" s="14">
        <f>J18+J19+J20</f>
        <v>0</v>
      </c>
      <c r="K22" s="2"/>
    </row>
    <row r="23" spans="2:11" x14ac:dyDescent="0.25">
      <c r="B23" s="2"/>
      <c r="C23" s="56" t="s">
        <v>247</v>
      </c>
      <c r="D23" s="51"/>
      <c r="E23" s="13">
        <f>7190</f>
        <v>7190</v>
      </c>
      <c r="F23" s="15">
        <f>IFERROR(F22/F21,0)</f>
        <v>0</v>
      </c>
      <c r="G23" s="13">
        <f>7590</f>
        <v>7590</v>
      </c>
      <c r="H23" s="15">
        <f>IFERROR(H22/H21,0)</f>
        <v>0</v>
      </c>
      <c r="I23" s="13">
        <f>7990</f>
        <v>7990</v>
      </c>
      <c r="J23" s="15">
        <f>IFERROR(J22/J21,0)</f>
        <v>0</v>
      </c>
      <c r="K23" s="2"/>
    </row>
    <row r="24" spans="2:1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ht="4.9000000000000004" customHeight="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sheetProtection password="BBAF" sheet="1" formatColumns="0" selectLockedCells="1"/>
  <mergeCells count="20">
    <mergeCell ref="C23:D23"/>
    <mergeCell ref="C19:D19"/>
    <mergeCell ref="C20:D20"/>
    <mergeCell ref="C17:D17"/>
    <mergeCell ref="C18:D18"/>
    <mergeCell ref="C21:D21"/>
    <mergeCell ref="C22:D22"/>
    <mergeCell ref="I14:I15"/>
    <mergeCell ref="J14:J15"/>
    <mergeCell ref="C16:D16"/>
    <mergeCell ref="C14:D15"/>
    <mergeCell ref="E14:E15"/>
    <mergeCell ref="F14:F15"/>
    <mergeCell ref="G14:G15"/>
    <mergeCell ref="H14:H15"/>
    <mergeCell ref="C7:J7"/>
    <mergeCell ref="C9:J9"/>
    <mergeCell ref="C10:J10"/>
    <mergeCell ref="C11:J11"/>
    <mergeCell ref="C13:J13"/>
  </mergeCells>
  <dataValidations count="10">
    <dataValidation type="decimal" showErrorMessage="1" errorTitle="Kesalahan Jenis Data" error="Data yang dimasukkan harus berupa Angka!" sqref="F16">
      <formula1>-1000000000000000000</formula1>
      <formula2>1000000000000000000</formula2>
    </dataValidation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F20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</dataValidations>
  <pageMargins left="0.7" right="0.7" top="0.75" bottom="0.75" header="0.3" footer="0.3"/>
  <pageSetup paperSize="9" scale="78" orientation="landscape" horizont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7"/>
  <sheetViews>
    <sheetView showGridLines="0" view="pageBreakPreview" zoomScaleSheetLayoutView="10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F19" sqref="F19"/>
    </sheetView>
  </sheetViews>
  <sheetFormatPr defaultColWidth="9.140625" defaultRowHeight="15" x14ac:dyDescent="0.25"/>
  <cols>
    <col min="1" max="1" width="9.140625" style="1" customWidth="1"/>
    <col min="2" max="3" width="1" style="1" customWidth="1"/>
    <col min="4" max="5" width="30" style="1" customWidth="1"/>
    <col min="6" max="6" width="22.85546875" style="1" customWidth="1"/>
    <col min="7" max="7" width="38.7109375" style="1" customWidth="1"/>
    <col min="8" max="8" width="30" style="1" customWidth="1"/>
    <col min="9" max="9" width="1" style="1" customWidth="1"/>
    <col min="10" max="10" width="9.140625" style="1" customWidth="1"/>
    <col min="11" max="16384" width="9.140625" style="1"/>
  </cols>
  <sheetData>
    <row r="2" spans="2:9" ht="4.9000000000000004" customHeight="1" x14ac:dyDescent="0.25">
      <c r="B2" s="9" t="s">
        <v>248</v>
      </c>
      <c r="C2" s="2"/>
      <c r="D2" s="2"/>
      <c r="E2" s="2"/>
      <c r="F2" s="2"/>
      <c r="G2" s="2"/>
      <c r="H2" s="2"/>
      <c r="I2" s="2"/>
    </row>
    <row r="3" spans="2:9" x14ac:dyDescent="0.25">
      <c r="B3" s="9" t="s">
        <v>6</v>
      </c>
      <c r="C3" s="2"/>
      <c r="D3" s="2"/>
      <c r="E3" s="2"/>
      <c r="F3" s="2"/>
      <c r="G3" s="2"/>
      <c r="H3" s="2"/>
      <c r="I3" s="2"/>
    </row>
    <row r="4" spans="2:9" x14ac:dyDescent="0.25">
      <c r="B4" s="2"/>
      <c r="C4" s="2"/>
      <c r="D4" s="2"/>
      <c r="E4" s="2"/>
      <c r="F4" s="2"/>
      <c r="G4" s="2"/>
      <c r="H4" s="2"/>
      <c r="I4" s="2"/>
    </row>
    <row r="5" spans="2:9" x14ac:dyDescent="0.25">
      <c r="B5" s="2"/>
      <c r="C5" s="2"/>
      <c r="D5" s="2"/>
      <c r="E5" s="2"/>
      <c r="F5" s="2"/>
      <c r="G5" s="2"/>
      <c r="H5" s="2"/>
      <c r="I5" s="2"/>
    </row>
    <row r="6" spans="2:9" x14ac:dyDescent="0.25">
      <c r="B6" s="2"/>
      <c r="C6" s="2"/>
      <c r="D6" s="2"/>
      <c r="E6" s="2"/>
      <c r="F6" s="2"/>
      <c r="G6" s="2"/>
      <c r="H6" s="2"/>
      <c r="I6" s="2"/>
    </row>
    <row r="7" spans="2:9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2"/>
    </row>
    <row r="8" spans="2:9" x14ac:dyDescent="0.25">
      <c r="B8" s="2"/>
      <c r="C8" s="2"/>
      <c r="D8" s="2"/>
      <c r="E8" s="2"/>
      <c r="F8" s="2"/>
      <c r="G8" s="2"/>
      <c r="H8" s="2"/>
      <c r="I8" s="2"/>
    </row>
    <row r="9" spans="2:9" x14ac:dyDescent="0.25">
      <c r="B9" s="2"/>
      <c r="C9" s="47" t="s">
        <v>249</v>
      </c>
      <c r="D9" s="47"/>
      <c r="E9" s="47"/>
      <c r="F9" s="47"/>
      <c r="G9" s="47"/>
      <c r="H9" s="47"/>
      <c r="I9" s="2"/>
    </row>
    <row r="10" spans="2:9" x14ac:dyDescent="0.25">
      <c r="B10" s="2"/>
      <c r="C10" s="47"/>
      <c r="D10" s="47"/>
      <c r="E10" s="47"/>
      <c r="F10" s="47"/>
      <c r="G10" s="47"/>
      <c r="H10" s="47"/>
      <c r="I10" s="2"/>
    </row>
    <row r="11" spans="2:9" x14ac:dyDescent="0.25">
      <c r="B11" s="2"/>
      <c r="C11" s="48" t="str">
        <f>"Per "&amp;CONCATENATE("Bulan ", 'Data Umum'!D12, " Tahun ", TEXT('Data Umum'!D11, "YYYY"))</f>
        <v>Per Bulan Agustus Tahun 2016</v>
      </c>
      <c r="D11" s="48"/>
      <c r="E11" s="48"/>
      <c r="F11" s="48"/>
      <c r="G11" s="48"/>
      <c r="H11" s="48"/>
      <c r="I11" s="2"/>
    </row>
    <row r="12" spans="2:9" x14ac:dyDescent="0.25">
      <c r="B12" s="2"/>
      <c r="C12" s="2"/>
      <c r="D12" s="2"/>
      <c r="E12" s="2"/>
      <c r="F12" s="2"/>
      <c r="G12" s="2"/>
      <c r="H12" s="2"/>
      <c r="I12" s="2"/>
    </row>
    <row r="13" spans="2:9" x14ac:dyDescent="0.25">
      <c r="B13" s="2"/>
      <c r="C13" s="49"/>
      <c r="D13" s="49"/>
      <c r="E13" s="49"/>
      <c r="F13" s="49"/>
      <c r="G13" s="49"/>
      <c r="H13" s="49"/>
      <c r="I13" s="2"/>
    </row>
    <row r="14" spans="2:9" x14ac:dyDescent="0.25">
      <c r="B14" s="2"/>
      <c r="C14" s="50" t="s">
        <v>250</v>
      </c>
      <c r="D14" s="51"/>
      <c r="E14" s="54" t="str">
        <f>"Nama Nasabah"</f>
        <v>Nama Nasabah</v>
      </c>
      <c r="F14" s="54" t="str">
        <f>"Kolektibilitas"</f>
        <v>Kolektibilitas</v>
      </c>
      <c r="G14" s="54" t="str">
        <f>"Penerima Jaminan"</f>
        <v>Penerima Jaminan</v>
      </c>
      <c r="H14" s="54" t="str">
        <f>"Nilai Penjaminan"</f>
        <v>Nilai Penjaminan</v>
      </c>
      <c r="I14" s="2"/>
    </row>
    <row r="15" spans="2:9" x14ac:dyDescent="0.25">
      <c r="B15" s="2"/>
      <c r="C15" s="52"/>
      <c r="D15" s="53"/>
      <c r="E15" s="55"/>
      <c r="F15" s="55"/>
      <c r="G15" s="55"/>
      <c r="H15" s="55"/>
      <c r="I15" s="2"/>
    </row>
    <row r="16" spans="2:9" x14ac:dyDescent="0.25">
      <c r="B16" s="2"/>
      <c r="C16" s="56" t="s">
        <v>6</v>
      </c>
      <c r="D16" s="51"/>
      <c r="E16" s="34"/>
      <c r="F16" s="34"/>
      <c r="G16" s="34"/>
      <c r="H16" s="29"/>
      <c r="I16" s="2"/>
    </row>
    <row r="17" spans="2:9" x14ac:dyDescent="0.25">
      <c r="B17" s="2"/>
      <c r="C17" s="56" t="s">
        <v>120</v>
      </c>
      <c r="D17" s="51"/>
      <c r="E17" s="33"/>
      <c r="F17" s="33"/>
      <c r="G17" s="33"/>
      <c r="H17" s="29"/>
      <c r="I17" s="2"/>
    </row>
    <row r="18" spans="2:9" x14ac:dyDescent="0.25">
      <c r="B18" s="2"/>
      <c r="C18" s="56" t="s">
        <v>121</v>
      </c>
      <c r="D18" s="51"/>
      <c r="E18" s="65"/>
      <c r="F18" s="65"/>
      <c r="G18" s="65"/>
      <c r="H18" s="61">
        <v>0</v>
      </c>
      <c r="I18" s="2"/>
    </row>
    <row r="19" spans="2:9" x14ac:dyDescent="0.25">
      <c r="B19" s="2"/>
      <c r="C19" s="56" t="s">
        <v>122</v>
      </c>
      <c r="D19" s="51"/>
      <c r="E19" s="65"/>
      <c r="F19" s="65"/>
      <c r="G19" s="65"/>
      <c r="H19" s="61">
        <v>0</v>
      </c>
      <c r="I19" s="2"/>
    </row>
    <row r="20" spans="2:9" x14ac:dyDescent="0.25">
      <c r="B20" s="2"/>
      <c r="C20" s="56" t="s">
        <v>123</v>
      </c>
      <c r="D20" s="51"/>
      <c r="E20" s="65"/>
      <c r="F20" s="65"/>
      <c r="G20" s="65"/>
      <c r="H20" s="61">
        <v>0</v>
      </c>
      <c r="I20" s="2"/>
    </row>
    <row r="21" spans="2:9" x14ac:dyDescent="0.25">
      <c r="B21" s="2"/>
      <c r="C21" s="56" t="s">
        <v>124</v>
      </c>
      <c r="D21" s="51"/>
      <c r="E21" s="65"/>
      <c r="F21" s="65"/>
      <c r="G21" s="65"/>
      <c r="H21" s="61">
        <v>0</v>
      </c>
      <c r="I21" s="2"/>
    </row>
    <row r="22" spans="2:9" x14ac:dyDescent="0.25">
      <c r="B22" s="2"/>
      <c r="C22" s="56" t="s">
        <v>125</v>
      </c>
      <c r="D22" s="51"/>
      <c r="E22" s="65"/>
      <c r="F22" s="65"/>
      <c r="G22" s="65"/>
      <c r="H22" s="61">
        <v>0</v>
      </c>
      <c r="I22" s="2"/>
    </row>
    <row r="23" spans="2:9" x14ac:dyDescent="0.25">
      <c r="B23" s="2"/>
      <c r="C23" s="56" t="s">
        <v>126</v>
      </c>
      <c r="D23" s="51"/>
      <c r="E23" s="65"/>
      <c r="F23" s="65"/>
      <c r="G23" s="65"/>
      <c r="H23" s="61">
        <v>0</v>
      </c>
      <c r="I23" s="2"/>
    </row>
    <row r="24" spans="2:9" x14ac:dyDescent="0.25">
      <c r="B24" s="2"/>
      <c r="C24" s="56" t="s">
        <v>127</v>
      </c>
      <c r="D24" s="51"/>
      <c r="E24" s="65"/>
      <c r="F24" s="65"/>
      <c r="G24" s="65"/>
      <c r="H24" s="61">
        <v>0</v>
      </c>
      <c r="I24" s="2"/>
    </row>
    <row r="25" spans="2:9" x14ac:dyDescent="0.25">
      <c r="B25" s="2"/>
      <c r="C25" s="56" t="s">
        <v>129</v>
      </c>
      <c r="D25" s="51"/>
      <c r="E25" s="65"/>
      <c r="F25" s="65"/>
      <c r="G25" s="65"/>
      <c r="H25" s="61">
        <v>0</v>
      </c>
      <c r="I25" s="2"/>
    </row>
    <row r="26" spans="2:9" x14ac:dyDescent="0.25">
      <c r="B26" s="2"/>
      <c r="C26" s="56" t="s">
        <v>251</v>
      </c>
      <c r="D26" s="51"/>
      <c r="E26" s="65"/>
      <c r="F26" s="65"/>
      <c r="G26" s="65"/>
      <c r="H26" s="61">
        <v>0</v>
      </c>
      <c r="I26" s="2"/>
    </row>
    <row r="27" spans="2:9" x14ac:dyDescent="0.25">
      <c r="B27" s="2"/>
      <c r="C27" s="56" t="s">
        <v>252</v>
      </c>
      <c r="D27" s="51"/>
      <c r="E27" s="65"/>
      <c r="F27" s="65"/>
      <c r="G27" s="65"/>
      <c r="H27" s="61">
        <v>0</v>
      </c>
      <c r="I27" s="2"/>
    </row>
    <row r="28" spans="2:9" x14ac:dyDescent="0.25">
      <c r="B28" s="2"/>
      <c r="C28" s="56" t="s">
        <v>253</v>
      </c>
      <c r="D28" s="51"/>
      <c r="E28" s="65"/>
      <c r="F28" s="65"/>
      <c r="G28" s="65"/>
      <c r="H28" s="61">
        <v>0</v>
      </c>
      <c r="I28" s="2"/>
    </row>
    <row r="29" spans="2:9" x14ac:dyDescent="0.25">
      <c r="B29" s="2"/>
      <c r="C29" s="56" t="s">
        <v>254</v>
      </c>
      <c r="D29" s="51"/>
      <c r="E29" s="65"/>
      <c r="F29" s="65"/>
      <c r="G29" s="65"/>
      <c r="H29" s="61">
        <v>0</v>
      </c>
      <c r="I29" s="2"/>
    </row>
    <row r="30" spans="2:9" x14ac:dyDescent="0.25">
      <c r="B30" s="2"/>
      <c r="C30" s="56" t="s">
        <v>255</v>
      </c>
      <c r="D30" s="51"/>
      <c r="E30" s="65"/>
      <c r="F30" s="65"/>
      <c r="G30" s="65"/>
      <c r="H30" s="61">
        <v>0</v>
      </c>
      <c r="I30" s="2"/>
    </row>
    <row r="31" spans="2:9" x14ac:dyDescent="0.25">
      <c r="B31" s="2"/>
      <c r="C31" s="56" t="s">
        <v>256</v>
      </c>
      <c r="D31" s="51"/>
      <c r="E31" s="65"/>
      <c r="F31" s="65"/>
      <c r="G31" s="65"/>
      <c r="H31" s="61">
        <v>0</v>
      </c>
      <c r="I31" s="2"/>
    </row>
    <row r="32" spans="2:9" x14ac:dyDescent="0.25">
      <c r="B32" s="2"/>
      <c r="C32" s="56" t="s">
        <v>257</v>
      </c>
      <c r="D32" s="51"/>
      <c r="E32" s="65"/>
      <c r="F32" s="65"/>
      <c r="G32" s="65"/>
      <c r="H32" s="61">
        <v>0</v>
      </c>
      <c r="I32" s="2"/>
    </row>
    <row r="33" spans="2:9" x14ac:dyDescent="0.25">
      <c r="B33" s="2"/>
      <c r="C33" s="56" t="s">
        <v>258</v>
      </c>
      <c r="D33" s="51"/>
      <c r="E33" s="65"/>
      <c r="F33" s="65"/>
      <c r="G33" s="65"/>
      <c r="H33" s="61">
        <v>0</v>
      </c>
      <c r="I33" s="2"/>
    </row>
    <row r="34" spans="2:9" x14ac:dyDescent="0.25">
      <c r="B34" s="2"/>
      <c r="C34" s="56" t="s">
        <v>259</v>
      </c>
      <c r="D34" s="51"/>
      <c r="E34" s="65"/>
      <c r="F34" s="65"/>
      <c r="G34" s="65"/>
      <c r="H34" s="61">
        <v>0</v>
      </c>
      <c r="I34" s="2"/>
    </row>
    <row r="35" spans="2:9" x14ac:dyDescent="0.25">
      <c r="B35" s="2"/>
      <c r="C35" s="56" t="s">
        <v>260</v>
      </c>
      <c r="D35" s="51"/>
      <c r="E35" s="65"/>
      <c r="F35" s="65"/>
      <c r="G35" s="65"/>
      <c r="H35" s="61">
        <v>0</v>
      </c>
      <c r="I35" s="2"/>
    </row>
    <row r="36" spans="2:9" x14ac:dyDescent="0.25">
      <c r="B36" s="2"/>
      <c r="C36" s="56" t="s">
        <v>261</v>
      </c>
      <c r="D36" s="51"/>
      <c r="E36" s="65"/>
      <c r="F36" s="65"/>
      <c r="G36" s="65"/>
      <c r="H36" s="61">
        <v>0</v>
      </c>
      <c r="I36" s="2"/>
    </row>
    <row r="37" spans="2:9" x14ac:dyDescent="0.25">
      <c r="B37" s="2"/>
      <c r="C37" s="56" t="s">
        <v>262</v>
      </c>
      <c r="D37" s="51"/>
      <c r="E37" s="65"/>
      <c r="F37" s="65"/>
      <c r="G37" s="65"/>
      <c r="H37" s="61">
        <v>0</v>
      </c>
      <c r="I37" s="2"/>
    </row>
    <row r="38" spans="2:9" x14ac:dyDescent="0.25">
      <c r="B38" s="2"/>
      <c r="C38" s="56" t="s">
        <v>263</v>
      </c>
      <c r="D38" s="51"/>
      <c r="E38" s="65"/>
      <c r="F38" s="65"/>
      <c r="G38" s="65"/>
      <c r="H38" s="61">
        <v>0</v>
      </c>
      <c r="I38" s="2"/>
    </row>
    <row r="39" spans="2:9" x14ac:dyDescent="0.25">
      <c r="B39" s="2"/>
      <c r="C39" s="56" t="s">
        <v>264</v>
      </c>
      <c r="D39" s="51"/>
      <c r="E39" s="65"/>
      <c r="F39" s="65"/>
      <c r="G39" s="65"/>
      <c r="H39" s="61">
        <v>0</v>
      </c>
      <c r="I39" s="2"/>
    </row>
    <row r="40" spans="2:9" x14ac:dyDescent="0.25">
      <c r="B40" s="2"/>
      <c r="C40" s="56" t="s">
        <v>265</v>
      </c>
      <c r="D40" s="51"/>
      <c r="E40" s="65"/>
      <c r="F40" s="65"/>
      <c r="G40" s="65"/>
      <c r="H40" s="61">
        <v>0</v>
      </c>
      <c r="I40" s="2"/>
    </row>
    <row r="41" spans="2:9" x14ac:dyDescent="0.25">
      <c r="B41" s="2"/>
      <c r="C41" s="56" t="s">
        <v>266</v>
      </c>
      <c r="D41" s="51"/>
      <c r="E41" s="65"/>
      <c r="F41" s="65"/>
      <c r="G41" s="65"/>
      <c r="H41" s="61">
        <v>0</v>
      </c>
      <c r="I41" s="2"/>
    </row>
    <row r="42" spans="2:9" x14ac:dyDescent="0.25">
      <c r="B42" s="2"/>
      <c r="C42" s="56" t="s">
        <v>267</v>
      </c>
      <c r="D42" s="51"/>
      <c r="E42" s="65"/>
      <c r="F42" s="65"/>
      <c r="G42" s="65"/>
      <c r="H42" s="61">
        <v>0</v>
      </c>
      <c r="I42" s="2"/>
    </row>
    <row r="43" spans="2:9" x14ac:dyDescent="0.25">
      <c r="B43" s="2"/>
      <c r="C43" s="56" t="s">
        <v>268</v>
      </c>
      <c r="D43" s="51"/>
      <c r="E43" s="65"/>
      <c r="F43" s="65"/>
      <c r="G43" s="65"/>
      <c r="H43" s="61">
        <v>0</v>
      </c>
      <c r="I43" s="2"/>
    </row>
    <row r="44" spans="2:9" x14ac:dyDescent="0.25">
      <c r="B44" s="2"/>
      <c r="C44" s="56" t="s">
        <v>269</v>
      </c>
      <c r="D44" s="51"/>
      <c r="E44" s="65"/>
      <c r="F44" s="65"/>
      <c r="G44" s="65"/>
      <c r="H44" s="61">
        <v>0</v>
      </c>
      <c r="I44" s="2"/>
    </row>
    <row r="45" spans="2:9" x14ac:dyDescent="0.25">
      <c r="B45" s="2"/>
      <c r="C45" s="56" t="s">
        <v>270</v>
      </c>
      <c r="D45" s="51"/>
      <c r="E45" s="65"/>
      <c r="F45" s="65"/>
      <c r="G45" s="65"/>
      <c r="H45" s="61">
        <v>0</v>
      </c>
      <c r="I45" s="2"/>
    </row>
    <row r="46" spans="2:9" x14ac:dyDescent="0.25">
      <c r="B46" s="2"/>
      <c r="C46" s="56" t="s">
        <v>271</v>
      </c>
      <c r="D46" s="51"/>
      <c r="E46" s="65"/>
      <c r="F46" s="65"/>
      <c r="G46" s="65"/>
      <c r="H46" s="61">
        <v>0</v>
      </c>
      <c r="I46" s="2"/>
    </row>
    <row r="47" spans="2:9" x14ac:dyDescent="0.25">
      <c r="B47" s="2"/>
      <c r="C47" s="56" t="s">
        <v>272</v>
      </c>
      <c r="D47" s="51"/>
      <c r="E47" s="65"/>
      <c r="F47" s="65"/>
      <c r="G47" s="65"/>
      <c r="H47" s="61">
        <v>0</v>
      </c>
      <c r="I47" s="2"/>
    </row>
    <row r="48" spans="2:9" x14ac:dyDescent="0.25">
      <c r="B48" s="2"/>
      <c r="C48" s="56" t="s">
        <v>273</v>
      </c>
      <c r="D48" s="51"/>
      <c r="E48" s="65"/>
      <c r="F48" s="65"/>
      <c r="G48" s="65"/>
      <c r="H48" s="61">
        <v>0</v>
      </c>
      <c r="I48" s="2"/>
    </row>
    <row r="49" spans="2:9" x14ac:dyDescent="0.25">
      <c r="B49" s="2"/>
      <c r="C49" s="56" t="s">
        <v>274</v>
      </c>
      <c r="D49" s="51"/>
      <c r="E49" s="65"/>
      <c r="F49" s="65"/>
      <c r="G49" s="65"/>
      <c r="H49" s="61">
        <v>0</v>
      </c>
      <c r="I49" s="2"/>
    </row>
    <row r="50" spans="2:9" x14ac:dyDescent="0.25">
      <c r="B50" s="2"/>
      <c r="C50" s="56" t="s">
        <v>275</v>
      </c>
      <c r="D50" s="51"/>
      <c r="E50" s="65"/>
      <c r="F50" s="65"/>
      <c r="G50" s="65"/>
      <c r="H50" s="61">
        <v>0</v>
      </c>
      <c r="I50" s="2"/>
    </row>
    <row r="51" spans="2:9" x14ac:dyDescent="0.25">
      <c r="B51" s="2"/>
      <c r="C51" s="56" t="s">
        <v>276</v>
      </c>
      <c r="D51" s="51"/>
      <c r="E51" s="65"/>
      <c r="F51" s="65"/>
      <c r="G51" s="65"/>
      <c r="H51" s="61">
        <v>0</v>
      </c>
      <c r="I51" s="2"/>
    </row>
    <row r="52" spans="2:9" x14ac:dyDescent="0.25">
      <c r="B52" s="2"/>
      <c r="C52" s="56" t="s">
        <v>277</v>
      </c>
      <c r="D52" s="51"/>
      <c r="E52" s="65"/>
      <c r="F52" s="65"/>
      <c r="G52" s="65"/>
      <c r="H52" s="61">
        <v>0</v>
      </c>
      <c r="I52" s="2"/>
    </row>
    <row r="53" spans="2:9" x14ac:dyDescent="0.25">
      <c r="B53" s="2"/>
      <c r="C53" s="56" t="s">
        <v>278</v>
      </c>
      <c r="D53" s="51"/>
      <c r="E53" s="65"/>
      <c r="F53" s="65"/>
      <c r="G53" s="65"/>
      <c r="H53" s="61">
        <v>0</v>
      </c>
      <c r="I53" s="2"/>
    </row>
    <row r="54" spans="2:9" x14ac:dyDescent="0.25">
      <c r="B54" s="2"/>
      <c r="C54" s="56" t="s">
        <v>279</v>
      </c>
      <c r="D54" s="51"/>
      <c r="E54" s="65"/>
      <c r="F54" s="65"/>
      <c r="G54" s="65"/>
      <c r="H54" s="61">
        <v>0</v>
      </c>
      <c r="I54" s="2"/>
    </row>
    <row r="55" spans="2:9" x14ac:dyDescent="0.25">
      <c r="B55" s="2"/>
      <c r="C55" s="56" t="s">
        <v>280</v>
      </c>
      <c r="D55" s="51"/>
      <c r="E55" s="65"/>
      <c r="F55" s="65"/>
      <c r="G55" s="65"/>
      <c r="H55" s="61">
        <v>0</v>
      </c>
      <c r="I55" s="2"/>
    </row>
    <row r="56" spans="2:9" x14ac:dyDescent="0.25">
      <c r="B56" s="2"/>
      <c r="C56" s="56" t="s">
        <v>281</v>
      </c>
      <c r="D56" s="51"/>
      <c r="E56" s="65"/>
      <c r="F56" s="65"/>
      <c r="G56" s="65"/>
      <c r="H56" s="61">
        <v>0</v>
      </c>
      <c r="I56" s="2"/>
    </row>
    <row r="57" spans="2:9" x14ac:dyDescent="0.25">
      <c r="B57" s="2"/>
      <c r="C57" s="56" t="s">
        <v>282</v>
      </c>
      <c r="D57" s="51"/>
      <c r="E57" s="65"/>
      <c r="F57" s="65"/>
      <c r="G57" s="65"/>
      <c r="H57" s="61">
        <v>0</v>
      </c>
      <c r="I57" s="2"/>
    </row>
    <row r="58" spans="2:9" x14ac:dyDescent="0.25">
      <c r="B58" s="2"/>
      <c r="C58" s="56" t="s">
        <v>283</v>
      </c>
      <c r="D58" s="51"/>
      <c r="E58" s="65"/>
      <c r="F58" s="65"/>
      <c r="G58" s="65"/>
      <c r="H58" s="61">
        <v>0</v>
      </c>
      <c r="I58" s="2"/>
    </row>
    <row r="59" spans="2:9" x14ac:dyDescent="0.25">
      <c r="B59" s="2"/>
      <c r="C59" s="56" t="s">
        <v>284</v>
      </c>
      <c r="D59" s="51"/>
      <c r="E59" s="65"/>
      <c r="F59" s="65"/>
      <c r="G59" s="65"/>
      <c r="H59" s="61">
        <v>0</v>
      </c>
      <c r="I59" s="2"/>
    </row>
    <row r="60" spans="2:9" x14ac:dyDescent="0.25">
      <c r="B60" s="2"/>
      <c r="C60" s="56" t="s">
        <v>285</v>
      </c>
      <c r="D60" s="51"/>
      <c r="E60" s="65"/>
      <c r="F60" s="65"/>
      <c r="G60" s="65"/>
      <c r="H60" s="61">
        <v>0</v>
      </c>
      <c r="I60" s="2"/>
    </row>
    <row r="61" spans="2:9" x14ac:dyDescent="0.25">
      <c r="B61" s="2"/>
      <c r="C61" s="56" t="s">
        <v>286</v>
      </c>
      <c r="D61" s="51"/>
      <c r="E61" s="65"/>
      <c r="F61" s="65"/>
      <c r="G61" s="65"/>
      <c r="H61" s="61">
        <v>0</v>
      </c>
      <c r="I61" s="2"/>
    </row>
    <row r="62" spans="2:9" x14ac:dyDescent="0.25">
      <c r="B62" s="2"/>
      <c r="C62" s="56" t="s">
        <v>287</v>
      </c>
      <c r="D62" s="51"/>
      <c r="E62" s="65"/>
      <c r="F62" s="65"/>
      <c r="G62" s="65"/>
      <c r="H62" s="61">
        <v>0</v>
      </c>
      <c r="I62" s="2"/>
    </row>
    <row r="63" spans="2:9" x14ac:dyDescent="0.25">
      <c r="B63" s="2"/>
      <c r="C63" s="56" t="s">
        <v>288</v>
      </c>
      <c r="D63" s="51"/>
      <c r="E63" s="65"/>
      <c r="F63" s="65"/>
      <c r="G63" s="65"/>
      <c r="H63" s="61">
        <v>0</v>
      </c>
      <c r="I63" s="2"/>
    </row>
    <row r="64" spans="2:9" x14ac:dyDescent="0.25">
      <c r="B64" s="2"/>
      <c r="C64" s="56" t="s">
        <v>289</v>
      </c>
      <c r="D64" s="51"/>
      <c r="E64" s="65"/>
      <c r="F64" s="65"/>
      <c r="G64" s="65"/>
      <c r="H64" s="61">
        <v>0</v>
      </c>
      <c r="I64" s="2"/>
    </row>
    <row r="65" spans="2:9" x14ac:dyDescent="0.25">
      <c r="B65" s="2"/>
      <c r="C65" s="56" t="s">
        <v>290</v>
      </c>
      <c r="D65" s="51"/>
      <c r="E65" s="65"/>
      <c r="F65" s="65"/>
      <c r="G65" s="65"/>
      <c r="H65" s="61">
        <v>0</v>
      </c>
      <c r="I65" s="2"/>
    </row>
    <row r="66" spans="2:9" x14ac:dyDescent="0.25">
      <c r="B66" s="2"/>
      <c r="C66" s="56" t="s">
        <v>291</v>
      </c>
      <c r="D66" s="51"/>
      <c r="E66" s="65"/>
      <c r="F66" s="65"/>
      <c r="G66" s="65"/>
      <c r="H66" s="61">
        <v>0</v>
      </c>
      <c r="I66" s="2"/>
    </row>
    <row r="67" spans="2:9" x14ac:dyDescent="0.25">
      <c r="B67" s="2"/>
      <c r="C67" s="56" t="s">
        <v>292</v>
      </c>
      <c r="D67" s="51"/>
      <c r="E67" s="65"/>
      <c r="F67" s="65"/>
      <c r="G67" s="65"/>
      <c r="H67" s="61">
        <v>0</v>
      </c>
      <c r="I67" s="2"/>
    </row>
    <row r="68" spans="2:9" x14ac:dyDescent="0.25">
      <c r="B68" s="2"/>
      <c r="C68" s="56" t="s">
        <v>293</v>
      </c>
      <c r="D68" s="51"/>
      <c r="E68" s="65"/>
      <c r="F68" s="65"/>
      <c r="G68" s="65"/>
      <c r="H68" s="61">
        <v>0</v>
      </c>
      <c r="I68" s="2"/>
    </row>
    <row r="69" spans="2:9" x14ac:dyDescent="0.25">
      <c r="B69" s="2"/>
      <c r="C69" s="56" t="s">
        <v>294</v>
      </c>
      <c r="D69" s="51"/>
      <c r="E69" s="65"/>
      <c r="F69" s="65"/>
      <c r="G69" s="65"/>
      <c r="H69" s="61">
        <v>0</v>
      </c>
      <c r="I69" s="2"/>
    </row>
    <row r="70" spans="2:9" x14ac:dyDescent="0.25">
      <c r="B70" s="2"/>
      <c r="C70" s="56" t="s">
        <v>295</v>
      </c>
      <c r="D70" s="51"/>
      <c r="E70" s="65"/>
      <c r="F70" s="65"/>
      <c r="G70" s="65"/>
      <c r="H70" s="61">
        <v>0</v>
      </c>
      <c r="I70" s="2"/>
    </row>
    <row r="71" spans="2:9" x14ac:dyDescent="0.25">
      <c r="B71" s="2"/>
      <c r="C71" s="56" t="s">
        <v>296</v>
      </c>
      <c r="D71" s="51"/>
      <c r="E71" s="65"/>
      <c r="F71" s="65"/>
      <c r="G71" s="65"/>
      <c r="H71" s="61">
        <v>0</v>
      </c>
      <c r="I71" s="2"/>
    </row>
    <row r="72" spans="2:9" x14ac:dyDescent="0.25">
      <c r="B72" s="2"/>
      <c r="C72" s="56" t="s">
        <v>297</v>
      </c>
      <c r="D72" s="51"/>
      <c r="E72" s="65"/>
      <c r="F72" s="65"/>
      <c r="G72" s="65"/>
      <c r="H72" s="61">
        <v>0</v>
      </c>
      <c r="I72" s="2"/>
    </row>
    <row r="73" spans="2:9" x14ac:dyDescent="0.25">
      <c r="B73" s="2"/>
      <c r="C73" s="56" t="s">
        <v>298</v>
      </c>
      <c r="D73" s="51"/>
      <c r="E73" s="65"/>
      <c r="F73" s="65"/>
      <c r="G73" s="65"/>
      <c r="H73" s="61">
        <v>0</v>
      </c>
      <c r="I73" s="2"/>
    </row>
    <row r="74" spans="2:9" x14ac:dyDescent="0.25">
      <c r="B74" s="2"/>
      <c r="C74" s="56" t="s">
        <v>299</v>
      </c>
      <c r="D74" s="51"/>
      <c r="E74" s="65"/>
      <c r="F74" s="65"/>
      <c r="G74" s="65"/>
      <c r="H74" s="61">
        <v>0</v>
      </c>
      <c r="I74" s="2"/>
    </row>
    <row r="75" spans="2:9" x14ac:dyDescent="0.25">
      <c r="B75" s="2"/>
      <c r="C75" s="56" t="s">
        <v>300</v>
      </c>
      <c r="D75" s="51"/>
      <c r="E75" s="65"/>
      <c r="F75" s="65"/>
      <c r="G75" s="65"/>
      <c r="H75" s="61">
        <v>0</v>
      </c>
      <c r="I75" s="2"/>
    </row>
    <row r="76" spans="2:9" x14ac:dyDescent="0.25">
      <c r="B76" s="2"/>
      <c r="C76" s="56" t="s">
        <v>301</v>
      </c>
      <c r="D76" s="51"/>
      <c r="E76" s="65"/>
      <c r="F76" s="65"/>
      <c r="G76" s="65"/>
      <c r="H76" s="61">
        <v>0</v>
      </c>
      <c r="I76" s="2"/>
    </row>
    <row r="77" spans="2:9" x14ac:dyDescent="0.25">
      <c r="B77" s="2"/>
      <c r="C77" s="56" t="s">
        <v>302</v>
      </c>
      <c r="D77" s="51"/>
      <c r="E77" s="65"/>
      <c r="F77" s="65"/>
      <c r="G77" s="65"/>
      <c r="H77" s="61">
        <v>0</v>
      </c>
      <c r="I77" s="2"/>
    </row>
    <row r="78" spans="2:9" x14ac:dyDescent="0.25">
      <c r="B78" s="2"/>
      <c r="C78" s="56" t="s">
        <v>303</v>
      </c>
      <c r="D78" s="51"/>
      <c r="E78" s="65"/>
      <c r="F78" s="65"/>
      <c r="G78" s="65"/>
      <c r="H78" s="61">
        <v>0</v>
      </c>
      <c r="I78" s="2"/>
    </row>
    <row r="79" spans="2:9" x14ac:dyDescent="0.25">
      <c r="B79" s="2"/>
      <c r="C79" s="56" t="s">
        <v>304</v>
      </c>
      <c r="D79" s="51"/>
      <c r="E79" s="65"/>
      <c r="F79" s="65"/>
      <c r="G79" s="65"/>
      <c r="H79" s="61">
        <v>0</v>
      </c>
      <c r="I79" s="2"/>
    </row>
    <row r="80" spans="2:9" x14ac:dyDescent="0.25">
      <c r="B80" s="2"/>
      <c r="C80" s="56" t="s">
        <v>305</v>
      </c>
      <c r="D80" s="51"/>
      <c r="E80" s="65"/>
      <c r="F80" s="65"/>
      <c r="G80" s="65"/>
      <c r="H80" s="61">
        <v>0</v>
      </c>
      <c r="I80" s="2"/>
    </row>
    <row r="81" spans="2:9" x14ac:dyDescent="0.25">
      <c r="B81" s="2"/>
      <c r="C81" s="56" t="s">
        <v>306</v>
      </c>
      <c r="D81" s="51"/>
      <c r="E81" s="65"/>
      <c r="F81" s="65"/>
      <c r="G81" s="65"/>
      <c r="H81" s="61">
        <v>0</v>
      </c>
      <c r="I81" s="2"/>
    </row>
    <row r="82" spans="2:9" x14ac:dyDescent="0.25">
      <c r="B82" s="2"/>
      <c r="C82" s="56" t="s">
        <v>307</v>
      </c>
      <c r="D82" s="51"/>
      <c r="E82" s="65"/>
      <c r="F82" s="65"/>
      <c r="G82" s="65"/>
      <c r="H82" s="61">
        <v>0</v>
      </c>
      <c r="I82" s="2"/>
    </row>
    <row r="83" spans="2:9" x14ac:dyDescent="0.25">
      <c r="B83" s="2"/>
      <c r="C83" s="56" t="s">
        <v>308</v>
      </c>
      <c r="D83" s="51"/>
      <c r="E83" s="65"/>
      <c r="F83" s="65"/>
      <c r="G83" s="65"/>
      <c r="H83" s="61">
        <v>0</v>
      </c>
      <c r="I83" s="2"/>
    </row>
    <row r="84" spans="2:9" x14ac:dyDescent="0.25">
      <c r="B84" s="2"/>
      <c r="C84" s="56" t="s">
        <v>309</v>
      </c>
      <c r="D84" s="51"/>
      <c r="E84" s="65"/>
      <c r="F84" s="65"/>
      <c r="G84" s="65"/>
      <c r="H84" s="61">
        <v>0</v>
      </c>
      <c r="I84" s="2"/>
    </row>
    <row r="85" spans="2:9" x14ac:dyDescent="0.25">
      <c r="B85" s="2"/>
      <c r="C85" s="56" t="s">
        <v>310</v>
      </c>
      <c r="D85" s="51"/>
      <c r="E85" s="65"/>
      <c r="F85" s="65"/>
      <c r="G85" s="65"/>
      <c r="H85" s="61">
        <v>0</v>
      </c>
      <c r="I85" s="2"/>
    </row>
    <row r="86" spans="2:9" x14ac:dyDescent="0.25">
      <c r="B86" s="2"/>
      <c r="C86" s="56" t="s">
        <v>311</v>
      </c>
      <c r="D86" s="51"/>
      <c r="E86" s="65"/>
      <c r="F86" s="65"/>
      <c r="G86" s="65"/>
      <c r="H86" s="61">
        <v>0</v>
      </c>
      <c r="I86" s="2"/>
    </row>
    <row r="87" spans="2:9" x14ac:dyDescent="0.25">
      <c r="B87" s="2"/>
      <c r="C87" s="56" t="s">
        <v>312</v>
      </c>
      <c r="D87" s="51"/>
      <c r="E87" s="65"/>
      <c r="F87" s="65"/>
      <c r="G87" s="65"/>
      <c r="H87" s="61">
        <v>0</v>
      </c>
      <c r="I87" s="2"/>
    </row>
    <row r="88" spans="2:9" x14ac:dyDescent="0.25">
      <c r="B88" s="2"/>
      <c r="C88" s="56" t="s">
        <v>313</v>
      </c>
      <c r="D88" s="51"/>
      <c r="E88" s="65"/>
      <c r="F88" s="65"/>
      <c r="G88" s="65"/>
      <c r="H88" s="61">
        <v>0</v>
      </c>
      <c r="I88" s="2"/>
    </row>
    <row r="89" spans="2:9" x14ac:dyDescent="0.25">
      <c r="B89" s="2"/>
      <c r="C89" s="56" t="s">
        <v>314</v>
      </c>
      <c r="D89" s="51"/>
      <c r="E89" s="65"/>
      <c r="F89" s="65"/>
      <c r="G89" s="65"/>
      <c r="H89" s="61">
        <v>0</v>
      </c>
      <c r="I89" s="2"/>
    </row>
    <row r="90" spans="2:9" x14ac:dyDescent="0.25">
      <c r="B90" s="2"/>
      <c r="C90" s="56" t="s">
        <v>315</v>
      </c>
      <c r="D90" s="51"/>
      <c r="E90" s="65"/>
      <c r="F90" s="65"/>
      <c r="G90" s="65"/>
      <c r="H90" s="61">
        <v>0</v>
      </c>
      <c r="I90" s="2"/>
    </row>
    <row r="91" spans="2:9" x14ac:dyDescent="0.25">
      <c r="B91" s="2"/>
      <c r="C91" s="56" t="s">
        <v>316</v>
      </c>
      <c r="D91" s="51"/>
      <c r="E91" s="65"/>
      <c r="F91" s="65"/>
      <c r="G91" s="65"/>
      <c r="H91" s="61">
        <v>0</v>
      </c>
      <c r="I91" s="2"/>
    </row>
    <row r="92" spans="2:9" x14ac:dyDescent="0.25">
      <c r="B92" s="2"/>
      <c r="C92" s="56" t="s">
        <v>317</v>
      </c>
      <c r="D92" s="51"/>
      <c r="E92" s="65"/>
      <c r="F92" s="65"/>
      <c r="G92" s="65"/>
      <c r="H92" s="61">
        <v>0</v>
      </c>
      <c r="I92" s="2"/>
    </row>
    <row r="93" spans="2:9" x14ac:dyDescent="0.25">
      <c r="B93" s="2"/>
      <c r="C93" s="56" t="s">
        <v>318</v>
      </c>
      <c r="D93" s="51"/>
      <c r="E93" s="65"/>
      <c r="F93" s="65"/>
      <c r="G93" s="65"/>
      <c r="H93" s="61">
        <v>0</v>
      </c>
      <c r="I93" s="2"/>
    </row>
    <row r="94" spans="2:9" x14ac:dyDescent="0.25">
      <c r="B94" s="2"/>
      <c r="C94" s="56" t="s">
        <v>319</v>
      </c>
      <c r="D94" s="51"/>
      <c r="E94" s="65"/>
      <c r="F94" s="65"/>
      <c r="G94" s="65"/>
      <c r="H94" s="61">
        <v>0</v>
      </c>
      <c r="I94" s="2"/>
    </row>
    <row r="95" spans="2:9" x14ac:dyDescent="0.25">
      <c r="B95" s="2"/>
      <c r="C95" s="56" t="s">
        <v>320</v>
      </c>
      <c r="D95" s="51"/>
      <c r="E95" s="65"/>
      <c r="F95" s="65"/>
      <c r="G95" s="65"/>
      <c r="H95" s="61">
        <v>0</v>
      </c>
      <c r="I95" s="2"/>
    </row>
    <row r="96" spans="2:9" x14ac:dyDescent="0.25">
      <c r="B96" s="2"/>
      <c r="C96" s="56" t="s">
        <v>321</v>
      </c>
      <c r="D96" s="51"/>
      <c r="E96" s="65"/>
      <c r="F96" s="65"/>
      <c r="G96" s="65"/>
      <c r="H96" s="61">
        <v>0</v>
      </c>
      <c r="I96" s="2"/>
    </row>
    <row r="97" spans="2:9" x14ac:dyDescent="0.25">
      <c r="B97" s="2"/>
      <c r="C97" s="56" t="s">
        <v>322</v>
      </c>
      <c r="D97" s="51"/>
      <c r="E97" s="65"/>
      <c r="F97" s="65"/>
      <c r="G97" s="65"/>
      <c r="H97" s="61">
        <v>0</v>
      </c>
      <c r="I97" s="2"/>
    </row>
    <row r="98" spans="2:9" x14ac:dyDescent="0.25">
      <c r="B98" s="2"/>
      <c r="C98" s="56" t="s">
        <v>323</v>
      </c>
      <c r="D98" s="51"/>
      <c r="E98" s="65"/>
      <c r="F98" s="65"/>
      <c r="G98" s="65"/>
      <c r="H98" s="61">
        <v>0</v>
      </c>
      <c r="I98" s="2"/>
    </row>
    <row r="99" spans="2:9" x14ac:dyDescent="0.25">
      <c r="B99" s="2"/>
      <c r="C99" s="56" t="s">
        <v>324</v>
      </c>
      <c r="D99" s="51"/>
      <c r="E99" s="65"/>
      <c r="F99" s="65"/>
      <c r="G99" s="65"/>
      <c r="H99" s="61">
        <v>0</v>
      </c>
      <c r="I99" s="2"/>
    </row>
    <row r="100" spans="2:9" x14ac:dyDescent="0.25">
      <c r="B100" s="2"/>
      <c r="C100" s="56" t="s">
        <v>325</v>
      </c>
      <c r="D100" s="51"/>
      <c r="E100" s="65"/>
      <c r="F100" s="65"/>
      <c r="G100" s="65"/>
      <c r="H100" s="61">
        <v>0</v>
      </c>
      <c r="I100" s="2"/>
    </row>
    <row r="101" spans="2:9" x14ac:dyDescent="0.25">
      <c r="B101" s="2"/>
      <c r="C101" s="56" t="s">
        <v>326</v>
      </c>
      <c r="D101" s="51"/>
      <c r="E101" s="65"/>
      <c r="F101" s="65"/>
      <c r="G101" s="65"/>
      <c r="H101" s="61">
        <v>0</v>
      </c>
      <c r="I101" s="2"/>
    </row>
    <row r="102" spans="2:9" x14ac:dyDescent="0.25">
      <c r="B102" s="2"/>
      <c r="C102" s="56" t="s">
        <v>327</v>
      </c>
      <c r="D102" s="51"/>
      <c r="E102" s="65"/>
      <c r="F102" s="65"/>
      <c r="G102" s="65"/>
      <c r="H102" s="61">
        <v>0</v>
      </c>
      <c r="I102" s="2"/>
    </row>
    <row r="103" spans="2:9" x14ac:dyDescent="0.25">
      <c r="B103" s="2"/>
      <c r="C103" s="56" t="s">
        <v>328</v>
      </c>
      <c r="D103" s="51"/>
      <c r="E103" s="65"/>
      <c r="F103" s="65"/>
      <c r="G103" s="65"/>
      <c r="H103" s="61">
        <v>0</v>
      </c>
      <c r="I103" s="2"/>
    </row>
    <row r="104" spans="2:9" x14ac:dyDescent="0.25">
      <c r="B104" s="2"/>
      <c r="C104" s="56" t="s">
        <v>329</v>
      </c>
      <c r="D104" s="51"/>
      <c r="E104" s="65"/>
      <c r="F104" s="65"/>
      <c r="G104" s="65"/>
      <c r="H104" s="61">
        <v>0</v>
      </c>
      <c r="I104" s="2"/>
    </row>
    <row r="105" spans="2:9" x14ac:dyDescent="0.25">
      <c r="B105" s="2"/>
      <c r="C105" s="56" t="s">
        <v>330</v>
      </c>
      <c r="D105" s="51"/>
      <c r="E105" s="65"/>
      <c r="F105" s="65"/>
      <c r="G105" s="65"/>
      <c r="H105" s="61">
        <v>0</v>
      </c>
      <c r="I105" s="2"/>
    </row>
    <row r="106" spans="2:9" x14ac:dyDescent="0.25">
      <c r="B106" s="2"/>
      <c r="C106" s="56" t="s">
        <v>331</v>
      </c>
      <c r="D106" s="51"/>
      <c r="E106" s="65"/>
      <c r="F106" s="65"/>
      <c r="G106" s="65"/>
      <c r="H106" s="61">
        <v>0</v>
      </c>
      <c r="I106" s="2"/>
    </row>
    <row r="107" spans="2:9" x14ac:dyDescent="0.25">
      <c r="B107" s="2"/>
      <c r="C107" s="56" t="s">
        <v>332</v>
      </c>
      <c r="D107" s="51"/>
      <c r="E107" s="65"/>
      <c r="F107" s="65"/>
      <c r="G107" s="65"/>
      <c r="H107" s="61">
        <v>0</v>
      </c>
      <c r="I107" s="2"/>
    </row>
    <row r="108" spans="2:9" x14ac:dyDescent="0.25">
      <c r="B108" s="2"/>
      <c r="C108" s="56" t="s">
        <v>333</v>
      </c>
      <c r="D108" s="51"/>
      <c r="E108" s="65"/>
      <c r="F108" s="65"/>
      <c r="G108" s="65"/>
      <c r="H108" s="61">
        <v>0</v>
      </c>
      <c r="I108" s="2"/>
    </row>
    <row r="109" spans="2:9" x14ac:dyDescent="0.25">
      <c r="B109" s="2"/>
      <c r="C109" s="56" t="s">
        <v>334</v>
      </c>
      <c r="D109" s="51"/>
      <c r="E109" s="65"/>
      <c r="F109" s="65"/>
      <c r="G109" s="65"/>
      <c r="H109" s="61">
        <v>0</v>
      </c>
      <c r="I109" s="2"/>
    </row>
    <row r="110" spans="2:9" x14ac:dyDescent="0.25">
      <c r="B110" s="2"/>
      <c r="C110" s="56" t="s">
        <v>335</v>
      </c>
      <c r="D110" s="51"/>
      <c r="E110" s="65"/>
      <c r="F110" s="65"/>
      <c r="G110" s="65"/>
      <c r="H110" s="61">
        <v>0</v>
      </c>
      <c r="I110" s="2"/>
    </row>
    <row r="111" spans="2:9" x14ac:dyDescent="0.25">
      <c r="B111" s="2"/>
      <c r="C111" s="56" t="s">
        <v>336</v>
      </c>
      <c r="D111" s="51"/>
      <c r="E111" s="65"/>
      <c r="F111" s="65"/>
      <c r="G111" s="65"/>
      <c r="H111" s="61">
        <v>0</v>
      </c>
      <c r="I111" s="2"/>
    </row>
    <row r="112" spans="2:9" x14ac:dyDescent="0.25">
      <c r="B112" s="2"/>
      <c r="C112" s="56" t="s">
        <v>337</v>
      </c>
      <c r="D112" s="51"/>
      <c r="E112" s="65"/>
      <c r="F112" s="65"/>
      <c r="G112" s="65"/>
      <c r="H112" s="61">
        <v>0</v>
      </c>
      <c r="I112" s="2"/>
    </row>
    <row r="113" spans="2:9" x14ac:dyDescent="0.25">
      <c r="B113" s="2"/>
      <c r="C113" s="56" t="s">
        <v>338</v>
      </c>
      <c r="D113" s="51"/>
      <c r="E113" s="65"/>
      <c r="F113" s="65"/>
      <c r="G113" s="65"/>
      <c r="H113" s="61">
        <v>0</v>
      </c>
      <c r="I113" s="2"/>
    </row>
    <row r="114" spans="2:9" x14ac:dyDescent="0.25">
      <c r="B114" s="2"/>
      <c r="C114" s="56" t="s">
        <v>339</v>
      </c>
      <c r="D114" s="51"/>
      <c r="E114" s="65"/>
      <c r="F114" s="65"/>
      <c r="G114" s="65"/>
      <c r="H114" s="61">
        <v>0</v>
      </c>
      <c r="I114" s="2"/>
    </row>
    <row r="115" spans="2:9" x14ac:dyDescent="0.25">
      <c r="B115" s="2"/>
      <c r="C115" s="56" t="s">
        <v>340</v>
      </c>
      <c r="D115" s="51"/>
      <c r="E115" s="65"/>
      <c r="F115" s="65"/>
      <c r="G115" s="65"/>
      <c r="H115" s="61">
        <v>0</v>
      </c>
      <c r="I115" s="2"/>
    </row>
    <row r="116" spans="2:9" x14ac:dyDescent="0.25">
      <c r="B116" s="2"/>
      <c r="C116" s="2"/>
      <c r="D116" s="2"/>
      <c r="E116" s="2"/>
      <c r="F116" s="2"/>
      <c r="G116" s="2"/>
      <c r="H116" s="2"/>
      <c r="I116" s="2"/>
    </row>
    <row r="117" spans="2:9" ht="4.9000000000000004" customHeight="1" x14ac:dyDescent="0.25">
      <c r="B117" s="2"/>
      <c r="C117" s="2"/>
      <c r="D117" s="2"/>
      <c r="E117" s="2"/>
      <c r="F117" s="2"/>
      <c r="G117" s="2"/>
      <c r="H117" s="2"/>
      <c r="I117" s="2"/>
    </row>
  </sheetData>
  <sheetProtection password="BBAF" sheet="1" formatColumns="0" selectLockedCells="1"/>
  <mergeCells count="502">
    <mergeCell ref="C115:D115"/>
    <mergeCell ref="E115"/>
    <mergeCell ref="F115"/>
    <mergeCell ref="G115"/>
    <mergeCell ref="H115"/>
    <mergeCell ref="C114:D114"/>
    <mergeCell ref="E114"/>
    <mergeCell ref="F114"/>
    <mergeCell ref="G114"/>
    <mergeCell ref="H114"/>
    <mergeCell ref="C113:D113"/>
    <mergeCell ref="E113"/>
    <mergeCell ref="F113"/>
    <mergeCell ref="G113"/>
    <mergeCell ref="H113"/>
    <mergeCell ref="C112:D112"/>
    <mergeCell ref="E112"/>
    <mergeCell ref="F112"/>
    <mergeCell ref="G112"/>
    <mergeCell ref="H112"/>
    <mergeCell ref="C111:D111"/>
    <mergeCell ref="E111"/>
    <mergeCell ref="F111"/>
    <mergeCell ref="G111"/>
    <mergeCell ref="H111"/>
    <mergeCell ref="C110:D110"/>
    <mergeCell ref="E110"/>
    <mergeCell ref="F110"/>
    <mergeCell ref="G110"/>
    <mergeCell ref="H110"/>
    <mergeCell ref="C109:D109"/>
    <mergeCell ref="E109"/>
    <mergeCell ref="F109"/>
    <mergeCell ref="G109"/>
    <mergeCell ref="H109"/>
    <mergeCell ref="C108:D108"/>
    <mergeCell ref="E108"/>
    <mergeCell ref="F108"/>
    <mergeCell ref="G108"/>
    <mergeCell ref="H108"/>
    <mergeCell ref="C107:D107"/>
    <mergeCell ref="E107"/>
    <mergeCell ref="F107"/>
    <mergeCell ref="G107"/>
    <mergeCell ref="H107"/>
    <mergeCell ref="C106:D106"/>
    <mergeCell ref="E106"/>
    <mergeCell ref="F106"/>
    <mergeCell ref="G106"/>
    <mergeCell ref="H106"/>
    <mergeCell ref="C105:D105"/>
    <mergeCell ref="E105"/>
    <mergeCell ref="F105"/>
    <mergeCell ref="G105"/>
    <mergeCell ref="H105"/>
    <mergeCell ref="C104:D104"/>
    <mergeCell ref="E104"/>
    <mergeCell ref="F104"/>
    <mergeCell ref="G104"/>
    <mergeCell ref="H104"/>
    <mergeCell ref="C103:D103"/>
    <mergeCell ref="E103"/>
    <mergeCell ref="F103"/>
    <mergeCell ref="G103"/>
    <mergeCell ref="H103"/>
    <mergeCell ref="C102:D102"/>
    <mergeCell ref="E102"/>
    <mergeCell ref="F102"/>
    <mergeCell ref="G102"/>
    <mergeCell ref="H102"/>
    <mergeCell ref="C101:D101"/>
    <mergeCell ref="E101"/>
    <mergeCell ref="F101"/>
    <mergeCell ref="G101"/>
    <mergeCell ref="H101"/>
    <mergeCell ref="C100:D100"/>
    <mergeCell ref="E100"/>
    <mergeCell ref="F100"/>
    <mergeCell ref="G100"/>
    <mergeCell ref="H100"/>
    <mergeCell ref="C99:D99"/>
    <mergeCell ref="E99"/>
    <mergeCell ref="F99"/>
    <mergeCell ref="G99"/>
    <mergeCell ref="H99"/>
    <mergeCell ref="C98:D98"/>
    <mergeCell ref="E98"/>
    <mergeCell ref="F98"/>
    <mergeCell ref="G98"/>
    <mergeCell ref="H98"/>
    <mergeCell ref="C97:D97"/>
    <mergeCell ref="E97"/>
    <mergeCell ref="F97"/>
    <mergeCell ref="G97"/>
    <mergeCell ref="H97"/>
    <mergeCell ref="C96:D96"/>
    <mergeCell ref="E96"/>
    <mergeCell ref="F96"/>
    <mergeCell ref="G96"/>
    <mergeCell ref="H96"/>
    <mergeCell ref="C95:D95"/>
    <mergeCell ref="E95"/>
    <mergeCell ref="F95"/>
    <mergeCell ref="G95"/>
    <mergeCell ref="H95"/>
    <mergeCell ref="C94:D94"/>
    <mergeCell ref="E94"/>
    <mergeCell ref="F94"/>
    <mergeCell ref="G94"/>
    <mergeCell ref="H94"/>
    <mergeCell ref="C93:D93"/>
    <mergeCell ref="E93"/>
    <mergeCell ref="F93"/>
    <mergeCell ref="G93"/>
    <mergeCell ref="H93"/>
    <mergeCell ref="C92:D92"/>
    <mergeCell ref="E92"/>
    <mergeCell ref="F92"/>
    <mergeCell ref="G92"/>
    <mergeCell ref="H92"/>
    <mergeCell ref="C91:D91"/>
    <mergeCell ref="E91"/>
    <mergeCell ref="F91"/>
    <mergeCell ref="G91"/>
    <mergeCell ref="H91"/>
    <mergeCell ref="C90:D90"/>
    <mergeCell ref="E90"/>
    <mergeCell ref="F90"/>
    <mergeCell ref="G90"/>
    <mergeCell ref="H90"/>
    <mergeCell ref="C89:D89"/>
    <mergeCell ref="E89"/>
    <mergeCell ref="F89"/>
    <mergeCell ref="G89"/>
    <mergeCell ref="H89"/>
    <mergeCell ref="C88:D88"/>
    <mergeCell ref="E88"/>
    <mergeCell ref="F88"/>
    <mergeCell ref="G88"/>
    <mergeCell ref="H88"/>
    <mergeCell ref="C87:D87"/>
    <mergeCell ref="E87"/>
    <mergeCell ref="F87"/>
    <mergeCell ref="G87"/>
    <mergeCell ref="H87"/>
    <mergeCell ref="C86:D86"/>
    <mergeCell ref="E86"/>
    <mergeCell ref="F86"/>
    <mergeCell ref="G86"/>
    <mergeCell ref="H86"/>
    <mergeCell ref="C85:D85"/>
    <mergeCell ref="E85"/>
    <mergeCell ref="F85"/>
    <mergeCell ref="G85"/>
    <mergeCell ref="H85"/>
    <mergeCell ref="C84:D84"/>
    <mergeCell ref="E84"/>
    <mergeCell ref="F84"/>
    <mergeCell ref="G84"/>
    <mergeCell ref="H84"/>
    <mergeCell ref="C83:D83"/>
    <mergeCell ref="E83"/>
    <mergeCell ref="F83"/>
    <mergeCell ref="G83"/>
    <mergeCell ref="H83"/>
    <mergeCell ref="C82:D82"/>
    <mergeCell ref="E82"/>
    <mergeCell ref="F82"/>
    <mergeCell ref="G82"/>
    <mergeCell ref="H82"/>
    <mergeCell ref="C81:D81"/>
    <mergeCell ref="E81"/>
    <mergeCell ref="F81"/>
    <mergeCell ref="G81"/>
    <mergeCell ref="H81"/>
    <mergeCell ref="C80:D80"/>
    <mergeCell ref="E80"/>
    <mergeCell ref="F80"/>
    <mergeCell ref="G80"/>
    <mergeCell ref="H80"/>
    <mergeCell ref="C79:D79"/>
    <mergeCell ref="E79"/>
    <mergeCell ref="F79"/>
    <mergeCell ref="G79"/>
    <mergeCell ref="H79"/>
    <mergeCell ref="C78:D78"/>
    <mergeCell ref="E78"/>
    <mergeCell ref="F78"/>
    <mergeCell ref="G78"/>
    <mergeCell ref="H78"/>
    <mergeCell ref="C77:D77"/>
    <mergeCell ref="E77"/>
    <mergeCell ref="F77"/>
    <mergeCell ref="G77"/>
    <mergeCell ref="H77"/>
    <mergeCell ref="C76:D76"/>
    <mergeCell ref="E76"/>
    <mergeCell ref="F76"/>
    <mergeCell ref="G76"/>
    <mergeCell ref="H76"/>
    <mergeCell ref="C75:D75"/>
    <mergeCell ref="E75"/>
    <mergeCell ref="F75"/>
    <mergeCell ref="G75"/>
    <mergeCell ref="H75"/>
    <mergeCell ref="C74:D74"/>
    <mergeCell ref="E74"/>
    <mergeCell ref="F74"/>
    <mergeCell ref="G74"/>
    <mergeCell ref="H74"/>
    <mergeCell ref="C73:D73"/>
    <mergeCell ref="E73"/>
    <mergeCell ref="F73"/>
    <mergeCell ref="G73"/>
    <mergeCell ref="H73"/>
    <mergeCell ref="C72:D72"/>
    <mergeCell ref="E72"/>
    <mergeCell ref="F72"/>
    <mergeCell ref="G72"/>
    <mergeCell ref="H72"/>
    <mergeCell ref="C71:D71"/>
    <mergeCell ref="E71"/>
    <mergeCell ref="F71"/>
    <mergeCell ref="G71"/>
    <mergeCell ref="H71"/>
    <mergeCell ref="C70:D70"/>
    <mergeCell ref="E70"/>
    <mergeCell ref="F70"/>
    <mergeCell ref="G70"/>
    <mergeCell ref="H70"/>
    <mergeCell ref="C69:D69"/>
    <mergeCell ref="E69"/>
    <mergeCell ref="F69"/>
    <mergeCell ref="G69"/>
    <mergeCell ref="H69"/>
    <mergeCell ref="C68:D68"/>
    <mergeCell ref="E68"/>
    <mergeCell ref="F68"/>
    <mergeCell ref="G68"/>
    <mergeCell ref="H68"/>
    <mergeCell ref="C67:D67"/>
    <mergeCell ref="E67"/>
    <mergeCell ref="F67"/>
    <mergeCell ref="G67"/>
    <mergeCell ref="H67"/>
    <mergeCell ref="C66:D66"/>
    <mergeCell ref="E66"/>
    <mergeCell ref="F66"/>
    <mergeCell ref="G66"/>
    <mergeCell ref="H66"/>
    <mergeCell ref="C65:D65"/>
    <mergeCell ref="E65"/>
    <mergeCell ref="F65"/>
    <mergeCell ref="G65"/>
    <mergeCell ref="H65"/>
    <mergeCell ref="C64:D64"/>
    <mergeCell ref="E64"/>
    <mergeCell ref="F64"/>
    <mergeCell ref="G64"/>
    <mergeCell ref="H64"/>
    <mergeCell ref="C63:D63"/>
    <mergeCell ref="E63"/>
    <mergeCell ref="F63"/>
    <mergeCell ref="G63"/>
    <mergeCell ref="H63"/>
    <mergeCell ref="C62:D62"/>
    <mergeCell ref="E62"/>
    <mergeCell ref="F62"/>
    <mergeCell ref="G62"/>
    <mergeCell ref="H62"/>
    <mergeCell ref="C61:D61"/>
    <mergeCell ref="E61"/>
    <mergeCell ref="F61"/>
    <mergeCell ref="G61"/>
    <mergeCell ref="H61"/>
    <mergeCell ref="C60:D60"/>
    <mergeCell ref="E60"/>
    <mergeCell ref="F60"/>
    <mergeCell ref="G60"/>
    <mergeCell ref="H60"/>
    <mergeCell ref="C59:D59"/>
    <mergeCell ref="E59"/>
    <mergeCell ref="F59"/>
    <mergeCell ref="G59"/>
    <mergeCell ref="H59"/>
    <mergeCell ref="C58:D58"/>
    <mergeCell ref="E58"/>
    <mergeCell ref="F58"/>
    <mergeCell ref="G58"/>
    <mergeCell ref="H58"/>
    <mergeCell ref="C57:D57"/>
    <mergeCell ref="E57"/>
    <mergeCell ref="F57"/>
    <mergeCell ref="G57"/>
    <mergeCell ref="H57"/>
    <mergeCell ref="C56:D56"/>
    <mergeCell ref="E56"/>
    <mergeCell ref="F56"/>
    <mergeCell ref="G56"/>
    <mergeCell ref="H56"/>
    <mergeCell ref="C55:D55"/>
    <mergeCell ref="E55"/>
    <mergeCell ref="F55"/>
    <mergeCell ref="G55"/>
    <mergeCell ref="H55"/>
    <mergeCell ref="C54:D54"/>
    <mergeCell ref="E54"/>
    <mergeCell ref="F54"/>
    <mergeCell ref="G54"/>
    <mergeCell ref="H54"/>
    <mergeCell ref="C53:D53"/>
    <mergeCell ref="E53"/>
    <mergeCell ref="F53"/>
    <mergeCell ref="G53"/>
    <mergeCell ref="H53"/>
    <mergeCell ref="C52:D52"/>
    <mergeCell ref="E52"/>
    <mergeCell ref="F52"/>
    <mergeCell ref="G52"/>
    <mergeCell ref="H52"/>
    <mergeCell ref="C51:D51"/>
    <mergeCell ref="E51"/>
    <mergeCell ref="F51"/>
    <mergeCell ref="G51"/>
    <mergeCell ref="H51"/>
    <mergeCell ref="C50:D50"/>
    <mergeCell ref="E50"/>
    <mergeCell ref="F50"/>
    <mergeCell ref="G50"/>
    <mergeCell ref="H50"/>
    <mergeCell ref="C49:D49"/>
    <mergeCell ref="E49"/>
    <mergeCell ref="F49"/>
    <mergeCell ref="G49"/>
    <mergeCell ref="H49"/>
    <mergeCell ref="C48:D48"/>
    <mergeCell ref="E48"/>
    <mergeCell ref="F48"/>
    <mergeCell ref="G48"/>
    <mergeCell ref="H48"/>
    <mergeCell ref="C47:D47"/>
    <mergeCell ref="E47"/>
    <mergeCell ref="F47"/>
    <mergeCell ref="G47"/>
    <mergeCell ref="H47"/>
    <mergeCell ref="C46:D46"/>
    <mergeCell ref="E46"/>
    <mergeCell ref="F46"/>
    <mergeCell ref="G46"/>
    <mergeCell ref="H46"/>
    <mergeCell ref="C45:D45"/>
    <mergeCell ref="E45"/>
    <mergeCell ref="F45"/>
    <mergeCell ref="G45"/>
    <mergeCell ref="H45"/>
    <mergeCell ref="C44:D44"/>
    <mergeCell ref="E44"/>
    <mergeCell ref="F44"/>
    <mergeCell ref="G44"/>
    <mergeCell ref="H44"/>
    <mergeCell ref="C43:D43"/>
    <mergeCell ref="E43"/>
    <mergeCell ref="F43"/>
    <mergeCell ref="G43"/>
    <mergeCell ref="H43"/>
    <mergeCell ref="C42:D42"/>
    <mergeCell ref="E42"/>
    <mergeCell ref="F42"/>
    <mergeCell ref="G42"/>
    <mergeCell ref="H42"/>
    <mergeCell ref="C41:D41"/>
    <mergeCell ref="E41"/>
    <mergeCell ref="F41"/>
    <mergeCell ref="G41"/>
    <mergeCell ref="H41"/>
    <mergeCell ref="C40:D40"/>
    <mergeCell ref="E40"/>
    <mergeCell ref="F40"/>
    <mergeCell ref="G40"/>
    <mergeCell ref="H40"/>
    <mergeCell ref="C39:D39"/>
    <mergeCell ref="E39"/>
    <mergeCell ref="F39"/>
    <mergeCell ref="G39"/>
    <mergeCell ref="H39"/>
    <mergeCell ref="C38:D38"/>
    <mergeCell ref="E38"/>
    <mergeCell ref="F38"/>
    <mergeCell ref="G38"/>
    <mergeCell ref="H38"/>
    <mergeCell ref="C37:D37"/>
    <mergeCell ref="E37"/>
    <mergeCell ref="F37"/>
    <mergeCell ref="G37"/>
    <mergeCell ref="H37"/>
    <mergeCell ref="C36:D36"/>
    <mergeCell ref="E36"/>
    <mergeCell ref="F36"/>
    <mergeCell ref="G36"/>
    <mergeCell ref="H36"/>
    <mergeCell ref="C35:D35"/>
    <mergeCell ref="E35"/>
    <mergeCell ref="F35"/>
    <mergeCell ref="G35"/>
    <mergeCell ref="H35"/>
    <mergeCell ref="C34:D34"/>
    <mergeCell ref="E34"/>
    <mergeCell ref="F34"/>
    <mergeCell ref="G34"/>
    <mergeCell ref="H34"/>
    <mergeCell ref="C33:D33"/>
    <mergeCell ref="E33"/>
    <mergeCell ref="F33"/>
    <mergeCell ref="G33"/>
    <mergeCell ref="H33"/>
    <mergeCell ref="C32:D32"/>
    <mergeCell ref="E32"/>
    <mergeCell ref="F32"/>
    <mergeCell ref="G32"/>
    <mergeCell ref="H32"/>
    <mergeCell ref="C31:D31"/>
    <mergeCell ref="E31"/>
    <mergeCell ref="F31"/>
    <mergeCell ref="G31"/>
    <mergeCell ref="H31"/>
    <mergeCell ref="C30:D30"/>
    <mergeCell ref="E30"/>
    <mergeCell ref="F30"/>
    <mergeCell ref="G30"/>
    <mergeCell ref="H30"/>
    <mergeCell ref="C29:D29"/>
    <mergeCell ref="E29"/>
    <mergeCell ref="F29"/>
    <mergeCell ref="G29"/>
    <mergeCell ref="H29"/>
    <mergeCell ref="C28:D28"/>
    <mergeCell ref="E28"/>
    <mergeCell ref="F28"/>
    <mergeCell ref="G28"/>
    <mergeCell ref="H28"/>
    <mergeCell ref="C27:D27"/>
    <mergeCell ref="E27"/>
    <mergeCell ref="F27"/>
    <mergeCell ref="G27"/>
    <mergeCell ref="H27"/>
    <mergeCell ref="C26:D26"/>
    <mergeCell ref="E26"/>
    <mergeCell ref="F26"/>
    <mergeCell ref="G26"/>
    <mergeCell ref="H26"/>
    <mergeCell ref="C25:D25"/>
    <mergeCell ref="E25"/>
    <mergeCell ref="F25"/>
    <mergeCell ref="G25"/>
    <mergeCell ref="H25"/>
    <mergeCell ref="C24:D24"/>
    <mergeCell ref="E24"/>
    <mergeCell ref="F24"/>
    <mergeCell ref="G24"/>
    <mergeCell ref="H24"/>
    <mergeCell ref="C23:D23"/>
    <mergeCell ref="E23"/>
    <mergeCell ref="F23"/>
    <mergeCell ref="G23"/>
    <mergeCell ref="H23"/>
    <mergeCell ref="C22:D22"/>
    <mergeCell ref="E22"/>
    <mergeCell ref="F22"/>
    <mergeCell ref="G22"/>
    <mergeCell ref="H22"/>
    <mergeCell ref="C21:D21"/>
    <mergeCell ref="E21"/>
    <mergeCell ref="F21"/>
    <mergeCell ref="G21"/>
    <mergeCell ref="H21"/>
    <mergeCell ref="C20:D20"/>
    <mergeCell ref="E20"/>
    <mergeCell ref="F20"/>
    <mergeCell ref="G20"/>
    <mergeCell ref="H20"/>
    <mergeCell ref="C17:D17"/>
    <mergeCell ref="C16:D16"/>
    <mergeCell ref="C19:D19"/>
    <mergeCell ref="E19"/>
    <mergeCell ref="F19"/>
    <mergeCell ref="G19"/>
    <mergeCell ref="H19"/>
    <mergeCell ref="C18:D18"/>
    <mergeCell ref="E18"/>
    <mergeCell ref="F18"/>
    <mergeCell ref="G18"/>
    <mergeCell ref="H18"/>
    <mergeCell ref="C14:D15"/>
    <mergeCell ref="E14:E15"/>
    <mergeCell ref="F14:F15"/>
    <mergeCell ref="G14:G15"/>
    <mergeCell ref="H14:H15"/>
    <mergeCell ref="C7:H7"/>
    <mergeCell ref="C9:H9"/>
    <mergeCell ref="C10:H10"/>
    <mergeCell ref="C11:H11"/>
    <mergeCell ref="C13:H13"/>
  </mergeCells>
  <dataValidations count="100"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H26">
      <formula1>-1000000000000000000</formula1>
      <formula2>1000000000000000000</formula2>
    </dataValidation>
    <dataValidation type="decimal" showErrorMessage="1" errorTitle="Kesalahan Jenis Data" error="Data yang dimasukkan harus berupa Angka!" sqref="H27">
      <formula1>-1000000000000000000</formula1>
      <formula2>1000000000000000000</formula2>
    </dataValidation>
    <dataValidation type="decimal" showErrorMessage="1" errorTitle="Kesalahan Jenis Data" error="Data yang dimasukkan harus berupa Angka!" sqref="H28">
      <formula1>-1000000000000000000</formula1>
      <formula2>1000000000000000000</formula2>
    </dataValidation>
    <dataValidation type="decimal" showErrorMessage="1" errorTitle="Kesalahan Jenis Data" error="Data yang dimasukkan harus berupa Angka!" sqref="H29">
      <formula1>-1000000000000000000</formula1>
      <formula2>1000000000000000000</formula2>
    </dataValidation>
    <dataValidation type="decimal" showErrorMessage="1" errorTitle="Kesalahan Jenis Data" error="Data yang dimasukkan harus berupa Angka!" sqref="H30">
      <formula1>-1000000000000000000</formula1>
      <formula2>1000000000000000000</formula2>
    </dataValidation>
    <dataValidation type="decimal" showErrorMessage="1" errorTitle="Kesalahan Jenis Data" error="Data yang dimasukkan harus berupa Angka!" sqref="H31">
      <formula1>-1000000000000000000</formula1>
      <formula2>1000000000000000000</formula2>
    </dataValidation>
    <dataValidation type="decimal" showErrorMessage="1" errorTitle="Kesalahan Jenis Data" error="Data yang dimasukkan harus berupa Angka!" sqref="H32">
      <formula1>-1000000000000000000</formula1>
      <formula2>1000000000000000000</formula2>
    </dataValidation>
    <dataValidation type="decimal" showErrorMessage="1" errorTitle="Kesalahan Jenis Data" error="Data yang dimasukkan harus berupa Angka!" sqref="H33">
      <formula1>-1000000000000000000</formula1>
      <formula2>1000000000000000000</formula2>
    </dataValidation>
    <dataValidation type="decimal" showErrorMessage="1" errorTitle="Kesalahan Jenis Data" error="Data yang dimasukkan harus berupa Angka!" sqref="H34">
      <formula1>-1000000000000000000</formula1>
      <formula2>1000000000000000000</formula2>
    </dataValidation>
    <dataValidation type="decimal" showErrorMessage="1" errorTitle="Kesalahan Jenis Data" error="Data yang dimasukkan harus berupa Angka!" sqref="H35">
      <formula1>-1000000000000000000</formula1>
      <formula2>1000000000000000000</formula2>
    </dataValidation>
    <dataValidation type="decimal" showErrorMessage="1" errorTitle="Kesalahan Jenis Data" error="Data yang dimasukkan harus berupa Angka!" sqref="H36">
      <formula1>-1000000000000000000</formula1>
      <formula2>1000000000000000000</formula2>
    </dataValidation>
    <dataValidation type="decimal" showErrorMessage="1" errorTitle="Kesalahan Jenis Data" error="Data yang dimasukkan harus berupa Angka!" sqref="H37">
      <formula1>-1000000000000000000</formula1>
      <formula2>1000000000000000000</formula2>
    </dataValidation>
    <dataValidation type="decimal" showErrorMessage="1" errorTitle="Kesalahan Jenis Data" error="Data yang dimasukkan harus berupa Angka!" sqref="H38">
      <formula1>-1000000000000000000</formula1>
      <formula2>1000000000000000000</formula2>
    </dataValidation>
    <dataValidation type="decimal" showErrorMessage="1" errorTitle="Kesalahan Jenis Data" error="Data yang dimasukkan harus berupa Angka!" sqref="H39">
      <formula1>-1000000000000000000</formula1>
      <formula2>1000000000000000000</formula2>
    </dataValidation>
    <dataValidation type="decimal" showErrorMessage="1" errorTitle="Kesalahan Jenis Data" error="Data yang dimasukkan harus berupa Angka!" sqref="H40">
      <formula1>-1000000000000000000</formula1>
      <formula2>1000000000000000000</formula2>
    </dataValidation>
    <dataValidation type="decimal" showErrorMessage="1" errorTitle="Kesalahan Jenis Data" error="Data yang dimasukkan harus berupa Angka!" sqref="H41">
      <formula1>-1000000000000000000</formula1>
      <formula2>1000000000000000000</formula2>
    </dataValidation>
    <dataValidation type="decimal" showErrorMessage="1" errorTitle="Kesalahan Jenis Data" error="Data yang dimasukkan harus berupa Angka!" sqref="H42">
      <formula1>-1000000000000000000</formula1>
      <formula2>1000000000000000000</formula2>
    </dataValidation>
    <dataValidation type="decimal" showErrorMessage="1" errorTitle="Kesalahan Jenis Data" error="Data yang dimasukkan harus berupa Angka!" sqref="H43">
      <formula1>-1000000000000000000</formula1>
      <formula2>1000000000000000000</formula2>
    </dataValidation>
    <dataValidation type="decimal" showErrorMessage="1" errorTitle="Kesalahan Jenis Data" error="Data yang dimasukkan harus berupa Angka!" sqref="H44">
      <formula1>-1000000000000000000</formula1>
      <formula2>1000000000000000000</formula2>
    </dataValidation>
    <dataValidation type="decimal" showErrorMessage="1" errorTitle="Kesalahan Jenis Data" error="Data yang dimasukkan harus berupa Angka!" sqref="H45">
      <formula1>-1000000000000000000</formula1>
      <formula2>1000000000000000000</formula2>
    </dataValidation>
    <dataValidation type="decimal" showErrorMessage="1" errorTitle="Kesalahan Jenis Data" error="Data yang dimasukkan harus berupa Angka!" sqref="H46">
      <formula1>-1000000000000000000</formula1>
      <formula2>1000000000000000000</formula2>
    </dataValidation>
    <dataValidation type="decimal" showErrorMessage="1" errorTitle="Kesalahan Jenis Data" error="Data yang dimasukkan harus berupa Angka!" sqref="H47">
      <formula1>-1000000000000000000</formula1>
      <formula2>1000000000000000000</formula2>
    </dataValidation>
    <dataValidation type="decimal" showErrorMessage="1" errorTitle="Kesalahan Jenis Data" error="Data yang dimasukkan harus berupa Angka!" sqref="H48">
      <formula1>-1000000000000000000</formula1>
      <formula2>1000000000000000000</formula2>
    </dataValidation>
    <dataValidation type="decimal" showErrorMessage="1" errorTitle="Kesalahan Jenis Data" error="Data yang dimasukkan harus berupa Angka!" sqref="H49">
      <formula1>-1000000000000000000</formula1>
      <formula2>1000000000000000000</formula2>
    </dataValidation>
    <dataValidation type="decimal" showErrorMessage="1" errorTitle="Kesalahan Jenis Data" error="Data yang dimasukkan harus berupa Angka!" sqref="H50">
      <formula1>-1000000000000000000</formula1>
      <formula2>1000000000000000000</formula2>
    </dataValidation>
    <dataValidation type="decimal" showErrorMessage="1" errorTitle="Kesalahan Jenis Data" error="Data yang dimasukkan harus berupa Angka!" sqref="H51">
      <formula1>-1000000000000000000</formula1>
      <formula2>1000000000000000000</formula2>
    </dataValidation>
    <dataValidation type="decimal" showErrorMessage="1" errorTitle="Kesalahan Jenis Data" error="Data yang dimasukkan harus berupa Angka!" sqref="H52">
      <formula1>-1000000000000000000</formula1>
      <formula2>1000000000000000000</formula2>
    </dataValidation>
    <dataValidation type="decimal" showErrorMessage="1" errorTitle="Kesalahan Jenis Data" error="Data yang dimasukkan harus berupa Angka!" sqref="H53">
      <formula1>-1000000000000000000</formula1>
      <formula2>1000000000000000000</formula2>
    </dataValidation>
    <dataValidation type="decimal" showErrorMessage="1" errorTitle="Kesalahan Jenis Data" error="Data yang dimasukkan harus berupa Angka!" sqref="H54">
      <formula1>-1000000000000000000</formula1>
      <formula2>1000000000000000000</formula2>
    </dataValidation>
    <dataValidation type="decimal" showErrorMessage="1" errorTitle="Kesalahan Jenis Data" error="Data yang dimasukkan harus berupa Angka!" sqref="H55">
      <formula1>-1000000000000000000</formula1>
      <formula2>1000000000000000000</formula2>
    </dataValidation>
    <dataValidation type="decimal" showErrorMessage="1" errorTitle="Kesalahan Jenis Data" error="Data yang dimasukkan harus berupa Angka!" sqref="H56">
      <formula1>-1000000000000000000</formula1>
      <formula2>1000000000000000000</formula2>
    </dataValidation>
    <dataValidation type="decimal" showErrorMessage="1" errorTitle="Kesalahan Jenis Data" error="Data yang dimasukkan harus berupa Angka!" sqref="H57">
      <formula1>-1000000000000000000</formula1>
      <formula2>1000000000000000000</formula2>
    </dataValidation>
    <dataValidation type="decimal" showErrorMessage="1" errorTitle="Kesalahan Jenis Data" error="Data yang dimasukkan harus berupa Angka!" sqref="H58">
      <formula1>-1000000000000000000</formula1>
      <formula2>1000000000000000000</formula2>
    </dataValidation>
    <dataValidation type="decimal" showErrorMessage="1" errorTitle="Kesalahan Jenis Data" error="Data yang dimasukkan harus berupa Angka!" sqref="H59">
      <formula1>-1000000000000000000</formula1>
      <formula2>1000000000000000000</formula2>
    </dataValidation>
    <dataValidation type="decimal" showErrorMessage="1" errorTitle="Kesalahan Jenis Data" error="Data yang dimasukkan harus berupa Angka!" sqref="H60">
      <formula1>-1000000000000000000</formula1>
      <formula2>1000000000000000000</formula2>
    </dataValidation>
    <dataValidation type="decimal" showErrorMessage="1" errorTitle="Kesalahan Jenis Data" error="Data yang dimasukkan harus berupa Angka!" sqref="H61">
      <formula1>-1000000000000000000</formula1>
      <formula2>1000000000000000000</formula2>
    </dataValidation>
    <dataValidation type="decimal" showErrorMessage="1" errorTitle="Kesalahan Jenis Data" error="Data yang dimasukkan harus berupa Angka!" sqref="H62">
      <formula1>-1000000000000000000</formula1>
      <formula2>1000000000000000000</formula2>
    </dataValidation>
    <dataValidation type="decimal" showErrorMessage="1" errorTitle="Kesalahan Jenis Data" error="Data yang dimasukkan harus berupa Angka!" sqref="H63">
      <formula1>-1000000000000000000</formula1>
      <formula2>1000000000000000000</formula2>
    </dataValidation>
    <dataValidation type="decimal" showErrorMessage="1" errorTitle="Kesalahan Jenis Data" error="Data yang dimasukkan harus berupa Angka!" sqref="H64">
      <formula1>-1000000000000000000</formula1>
      <formula2>1000000000000000000</formula2>
    </dataValidation>
    <dataValidation type="decimal" showErrorMessage="1" errorTitle="Kesalahan Jenis Data" error="Data yang dimasukkan harus berupa Angka!" sqref="H65">
      <formula1>-1000000000000000000</formula1>
      <formula2>1000000000000000000</formula2>
    </dataValidation>
    <dataValidation type="decimal" showErrorMessage="1" errorTitle="Kesalahan Jenis Data" error="Data yang dimasukkan harus berupa Angka!" sqref="H66">
      <formula1>-1000000000000000000</formula1>
      <formula2>1000000000000000000</formula2>
    </dataValidation>
    <dataValidation type="decimal" showErrorMessage="1" errorTitle="Kesalahan Jenis Data" error="Data yang dimasukkan harus berupa Angka!" sqref="H67">
      <formula1>-1000000000000000000</formula1>
      <formula2>1000000000000000000</formula2>
    </dataValidation>
    <dataValidation type="decimal" showErrorMessage="1" errorTitle="Kesalahan Jenis Data" error="Data yang dimasukkan harus berupa Angka!" sqref="H68">
      <formula1>-1000000000000000000</formula1>
      <formula2>1000000000000000000</formula2>
    </dataValidation>
    <dataValidation type="decimal" showErrorMessage="1" errorTitle="Kesalahan Jenis Data" error="Data yang dimasukkan harus berupa Angka!" sqref="H69">
      <formula1>-1000000000000000000</formula1>
      <formula2>1000000000000000000</formula2>
    </dataValidation>
    <dataValidation type="decimal" showErrorMessage="1" errorTitle="Kesalahan Jenis Data" error="Data yang dimasukkan harus berupa Angka!" sqref="H70">
      <formula1>-1000000000000000000</formula1>
      <formula2>1000000000000000000</formula2>
    </dataValidation>
    <dataValidation type="decimal" showErrorMessage="1" errorTitle="Kesalahan Jenis Data" error="Data yang dimasukkan harus berupa Angka!" sqref="H71">
      <formula1>-1000000000000000000</formula1>
      <formula2>1000000000000000000</formula2>
    </dataValidation>
    <dataValidation type="decimal" showErrorMessage="1" errorTitle="Kesalahan Jenis Data" error="Data yang dimasukkan harus berupa Angka!" sqref="H72">
      <formula1>-1000000000000000000</formula1>
      <formula2>1000000000000000000</formula2>
    </dataValidation>
    <dataValidation type="decimal" showErrorMessage="1" errorTitle="Kesalahan Jenis Data" error="Data yang dimasukkan harus berupa Angka!" sqref="H73">
      <formula1>-1000000000000000000</formula1>
      <formula2>1000000000000000000</formula2>
    </dataValidation>
    <dataValidation type="decimal" showErrorMessage="1" errorTitle="Kesalahan Jenis Data" error="Data yang dimasukkan harus berupa Angka!" sqref="H74">
      <formula1>-1000000000000000000</formula1>
      <formula2>1000000000000000000</formula2>
    </dataValidation>
    <dataValidation type="decimal" showErrorMessage="1" errorTitle="Kesalahan Jenis Data" error="Data yang dimasukkan harus berupa Angka!" sqref="H75">
      <formula1>-1000000000000000000</formula1>
      <formula2>1000000000000000000</formula2>
    </dataValidation>
    <dataValidation type="decimal" showErrorMessage="1" errorTitle="Kesalahan Jenis Data" error="Data yang dimasukkan harus berupa Angka!" sqref="H76">
      <formula1>-1000000000000000000</formula1>
      <formula2>1000000000000000000</formula2>
    </dataValidation>
    <dataValidation type="decimal" showErrorMessage="1" errorTitle="Kesalahan Jenis Data" error="Data yang dimasukkan harus berupa Angka!" sqref="H77">
      <formula1>-1000000000000000000</formula1>
      <formula2>1000000000000000000</formula2>
    </dataValidation>
    <dataValidation type="decimal" showErrorMessage="1" errorTitle="Kesalahan Jenis Data" error="Data yang dimasukkan harus berupa Angka!" sqref="H78">
      <formula1>-1000000000000000000</formula1>
      <formula2>1000000000000000000</formula2>
    </dataValidation>
    <dataValidation type="decimal" showErrorMessage="1" errorTitle="Kesalahan Jenis Data" error="Data yang dimasukkan harus berupa Angka!" sqref="H79">
      <formula1>-1000000000000000000</formula1>
      <formula2>1000000000000000000</formula2>
    </dataValidation>
    <dataValidation type="decimal" showErrorMessage="1" errorTitle="Kesalahan Jenis Data" error="Data yang dimasukkan harus berupa Angka!" sqref="H80">
      <formula1>-1000000000000000000</formula1>
      <formula2>1000000000000000000</formula2>
    </dataValidation>
    <dataValidation type="decimal" showErrorMessage="1" errorTitle="Kesalahan Jenis Data" error="Data yang dimasukkan harus berupa Angka!" sqref="H81">
      <formula1>-1000000000000000000</formula1>
      <formula2>1000000000000000000</formula2>
    </dataValidation>
    <dataValidation type="decimal" showErrorMessage="1" errorTitle="Kesalahan Jenis Data" error="Data yang dimasukkan harus berupa Angka!" sqref="H82">
      <formula1>-1000000000000000000</formula1>
      <formula2>1000000000000000000</formula2>
    </dataValidation>
    <dataValidation type="decimal" showErrorMessage="1" errorTitle="Kesalahan Jenis Data" error="Data yang dimasukkan harus berupa Angka!" sqref="H83">
      <formula1>-1000000000000000000</formula1>
      <formula2>1000000000000000000</formula2>
    </dataValidation>
    <dataValidation type="decimal" showErrorMessage="1" errorTitle="Kesalahan Jenis Data" error="Data yang dimasukkan harus berupa Angka!" sqref="H84">
      <formula1>-1000000000000000000</formula1>
      <formula2>1000000000000000000</formula2>
    </dataValidation>
    <dataValidation type="decimal" showErrorMessage="1" errorTitle="Kesalahan Jenis Data" error="Data yang dimasukkan harus berupa Angka!" sqref="H85">
      <formula1>-1000000000000000000</formula1>
      <formula2>1000000000000000000</formula2>
    </dataValidation>
    <dataValidation type="decimal" showErrorMessage="1" errorTitle="Kesalahan Jenis Data" error="Data yang dimasukkan harus berupa Angka!" sqref="H86">
      <formula1>-1000000000000000000</formula1>
      <formula2>1000000000000000000</formula2>
    </dataValidation>
    <dataValidation type="decimal" showErrorMessage="1" errorTitle="Kesalahan Jenis Data" error="Data yang dimasukkan harus berupa Angka!" sqref="H87">
      <formula1>-1000000000000000000</formula1>
      <formula2>1000000000000000000</formula2>
    </dataValidation>
    <dataValidation type="decimal" showErrorMessage="1" errorTitle="Kesalahan Jenis Data" error="Data yang dimasukkan harus berupa Angka!" sqref="H88">
      <formula1>-1000000000000000000</formula1>
      <formula2>1000000000000000000</formula2>
    </dataValidation>
    <dataValidation type="decimal" showErrorMessage="1" errorTitle="Kesalahan Jenis Data" error="Data yang dimasukkan harus berupa Angka!" sqref="H89">
      <formula1>-1000000000000000000</formula1>
      <formula2>1000000000000000000</formula2>
    </dataValidation>
    <dataValidation type="decimal" showErrorMessage="1" errorTitle="Kesalahan Jenis Data" error="Data yang dimasukkan harus berupa Angka!" sqref="H90">
      <formula1>-1000000000000000000</formula1>
      <formula2>1000000000000000000</formula2>
    </dataValidation>
    <dataValidation type="decimal" showErrorMessage="1" errorTitle="Kesalahan Jenis Data" error="Data yang dimasukkan harus berupa Angka!" sqref="H91">
      <formula1>-1000000000000000000</formula1>
      <formula2>1000000000000000000</formula2>
    </dataValidation>
    <dataValidation type="decimal" showErrorMessage="1" errorTitle="Kesalahan Jenis Data" error="Data yang dimasukkan harus berupa Angka!" sqref="H92">
      <formula1>-1000000000000000000</formula1>
      <formula2>1000000000000000000</formula2>
    </dataValidation>
    <dataValidation type="decimal" showErrorMessage="1" errorTitle="Kesalahan Jenis Data" error="Data yang dimasukkan harus berupa Angka!" sqref="H93">
      <formula1>-1000000000000000000</formula1>
      <formula2>1000000000000000000</formula2>
    </dataValidation>
    <dataValidation type="decimal" showErrorMessage="1" errorTitle="Kesalahan Jenis Data" error="Data yang dimasukkan harus berupa Angka!" sqref="H94">
      <formula1>-1000000000000000000</formula1>
      <formula2>1000000000000000000</formula2>
    </dataValidation>
    <dataValidation type="decimal" showErrorMessage="1" errorTitle="Kesalahan Jenis Data" error="Data yang dimasukkan harus berupa Angka!" sqref="H95">
      <formula1>-1000000000000000000</formula1>
      <formula2>1000000000000000000</formula2>
    </dataValidation>
    <dataValidation type="decimal" showErrorMessage="1" errorTitle="Kesalahan Jenis Data" error="Data yang dimasukkan harus berupa Angka!" sqref="H96">
      <formula1>-1000000000000000000</formula1>
      <formula2>1000000000000000000</formula2>
    </dataValidation>
    <dataValidation type="decimal" showErrorMessage="1" errorTitle="Kesalahan Jenis Data" error="Data yang dimasukkan harus berupa Angka!" sqref="H97">
      <formula1>-1000000000000000000</formula1>
      <formula2>1000000000000000000</formula2>
    </dataValidation>
    <dataValidation type="decimal" showErrorMessage="1" errorTitle="Kesalahan Jenis Data" error="Data yang dimasukkan harus berupa Angka!" sqref="H98">
      <formula1>-1000000000000000000</formula1>
      <formula2>1000000000000000000</formula2>
    </dataValidation>
    <dataValidation type="decimal" showErrorMessage="1" errorTitle="Kesalahan Jenis Data" error="Data yang dimasukkan harus berupa Angka!" sqref="H99">
      <formula1>-1000000000000000000</formula1>
      <formula2>1000000000000000000</formula2>
    </dataValidation>
    <dataValidation type="decimal" showErrorMessage="1" errorTitle="Kesalahan Jenis Data" error="Data yang dimasukkan harus berupa Angka!" sqref="H100">
      <formula1>-1000000000000000000</formula1>
      <formula2>1000000000000000000</formula2>
    </dataValidation>
    <dataValidation type="decimal" showErrorMessage="1" errorTitle="Kesalahan Jenis Data" error="Data yang dimasukkan harus berupa Angka!" sqref="H101">
      <formula1>-1000000000000000000</formula1>
      <formula2>1000000000000000000</formula2>
    </dataValidation>
    <dataValidation type="decimal" showErrorMessage="1" errorTitle="Kesalahan Jenis Data" error="Data yang dimasukkan harus berupa Angka!" sqref="H102">
      <formula1>-1000000000000000000</formula1>
      <formula2>1000000000000000000</formula2>
    </dataValidation>
    <dataValidation type="decimal" showErrorMessage="1" errorTitle="Kesalahan Jenis Data" error="Data yang dimasukkan harus berupa Angka!" sqref="H103">
      <formula1>-1000000000000000000</formula1>
      <formula2>1000000000000000000</formula2>
    </dataValidation>
    <dataValidation type="decimal" showErrorMessage="1" errorTitle="Kesalahan Jenis Data" error="Data yang dimasukkan harus berupa Angka!" sqref="H104">
      <formula1>-1000000000000000000</formula1>
      <formula2>1000000000000000000</formula2>
    </dataValidation>
    <dataValidation type="decimal" showErrorMessage="1" errorTitle="Kesalahan Jenis Data" error="Data yang dimasukkan harus berupa Angka!" sqref="H105">
      <formula1>-1000000000000000000</formula1>
      <formula2>1000000000000000000</formula2>
    </dataValidation>
    <dataValidation type="decimal" showErrorMessage="1" errorTitle="Kesalahan Jenis Data" error="Data yang dimasukkan harus berupa Angka!" sqref="H106">
      <formula1>-1000000000000000000</formula1>
      <formula2>1000000000000000000</formula2>
    </dataValidation>
    <dataValidation type="decimal" showErrorMessage="1" errorTitle="Kesalahan Jenis Data" error="Data yang dimasukkan harus berupa Angka!" sqref="H107">
      <formula1>-1000000000000000000</formula1>
      <formula2>1000000000000000000</formula2>
    </dataValidation>
    <dataValidation type="decimal" showErrorMessage="1" errorTitle="Kesalahan Jenis Data" error="Data yang dimasukkan harus berupa Angka!" sqref="H108">
      <formula1>-1000000000000000000</formula1>
      <formula2>1000000000000000000</formula2>
    </dataValidation>
    <dataValidation type="decimal" showErrorMessage="1" errorTitle="Kesalahan Jenis Data" error="Data yang dimasukkan harus berupa Angka!" sqref="H109">
      <formula1>-1000000000000000000</formula1>
      <formula2>1000000000000000000</formula2>
    </dataValidation>
    <dataValidation type="decimal" showErrorMessage="1" errorTitle="Kesalahan Jenis Data" error="Data yang dimasukkan harus berupa Angka!" sqref="H110">
      <formula1>-1000000000000000000</formula1>
      <formula2>1000000000000000000</formula2>
    </dataValidation>
    <dataValidation type="decimal" showErrorMessage="1" errorTitle="Kesalahan Jenis Data" error="Data yang dimasukkan harus berupa Angka!" sqref="H111">
      <formula1>-1000000000000000000</formula1>
      <formula2>1000000000000000000</formula2>
    </dataValidation>
    <dataValidation type="decimal" showErrorMessage="1" errorTitle="Kesalahan Jenis Data" error="Data yang dimasukkan harus berupa Angka!" sqref="H112">
      <formula1>-1000000000000000000</formula1>
      <formula2>1000000000000000000</formula2>
    </dataValidation>
    <dataValidation type="decimal" showErrorMessage="1" errorTitle="Kesalahan Jenis Data" error="Data yang dimasukkan harus berupa Angka!" sqref="H113">
      <formula1>-1000000000000000000</formula1>
      <formula2>1000000000000000000</formula2>
    </dataValidation>
    <dataValidation type="decimal" showErrorMessage="1" errorTitle="Kesalahan Jenis Data" error="Data yang dimasukkan harus berupa Angka!" sqref="H114">
      <formula1>-1000000000000000000</formula1>
      <formula2>1000000000000000000</formula2>
    </dataValidation>
    <dataValidation type="decimal" showErrorMessage="1" errorTitle="Kesalahan Jenis Data" error="Data yang dimasukkan harus berupa Angka!" sqref="H115">
      <formula1>-1000000000000000000</formula1>
      <formula2>1000000000000000000</formula2>
    </dataValidation>
  </dataValidations>
  <pageMargins left="0.7" right="0.7" top="0.75" bottom="0.75" header="0.3" footer="0.3"/>
  <pageSetup paperSize="9" scale="51" orientation="portrait" horizontalDpi="4294967294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showGridLines="0" view="pageBreakPreview" zoomScaleNormal="40" zoomScaleSheetLayoutView="100" workbookViewId="0">
      <pane xSplit="4" ySplit="15" topLeftCell="F34" activePane="bottomRight" state="frozen"/>
      <selection pane="topRight" activeCell="E1" sqref="E1"/>
      <selection pane="bottomLeft" activeCell="A16" sqref="A16"/>
      <selection pane="bottomRight" activeCell="L20" sqref="L20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40" style="1" customWidth="1"/>
    <col min="4" max="4" width="19.42578125" style="1" customWidth="1"/>
    <col min="5" max="5" width="6" style="1" bestFit="1" customWidth="1"/>
    <col min="6" max="6" width="18.28515625" style="1" bestFit="1" customWidth="1"/>
    <col min="7" max="7" width="5.7109375" style="1" bestFit="1" customWidth="1"/>
    <col min="8" max="8" width="14.85546875" style="1" bestFit="1" customWidth="1"/>
    <col min="9" max="9" width="5.7109375" style="1" bestFit="1" customWidth="1"/>
    <col min="10" max="10" width="17.85546875" style="1" customWidth="1"/>
    <col min="11" max="11" width="5.7109375" style="1" bestFit="1" customWidth="1"/>
    <col min="12" max="12" width="14.85546875" style="1" bestFit="1" customWidth="1"/>
    <col min="13" max="13" width="5.7109375" style="1" bestFit="1" customWidth="1"/>
    <col min="14" max="14" width="16.5703125" style="1" bestFit="1" customWidth="1"/>
    <col min="15" max="15" width="5.7109375" style="1" bestFit="1" customWidth="1"/>
    <col min="16" max="16" width="14.85546875" style="1" bestFit="1" customWidth="1"/>
    <col min="17" max="17" width="1" style="1" customWidth="1"/>
    <col min="18" max="18" width="9.140625" style="1" customWidth="1"/>
    <col min="19" max="16384" width="9.140625" style="1"/>
  </cols>
  <sheetData>
    <row r="2" spans="2:17" ht="4.9000000000000004" customHeight="1" x14ac:dyDescent="0.25">
      <c r="B2" s="9" t="s">
        <v>341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2"/>
    </row>
    <row r="8" spans="2:1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x14ac:dyDescent="0.25">
      <c r="B9" s="2"/>
      <c r="C9" s="47" t="s">
        <v>342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2"/>
    </row>
    <row r="10" spans="2:17" x14ac:dyDescent="0.25">
      <c r="B10" s="2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2"/>
    </row>
    <row r="11" spans="2:17" x14ac:dyDescent="0.25">
      <c r="B11" s="2"/>
      <c r="C11" s="48" t="str">
        <f>"Periode "&amp;CONCATENATE("Bulan ", 'Data Umum'!D12, " Tahun ", TEXT('Data Umum'!D11, "YYYY"))</f>
        <v>Periode Bulan Agustus Tahun 2016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2"/>
    </row>
    <row r="12" spans="2:1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x14ac:dyDescent="0.25">
      <c r="B13" s="2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2"/>
    </row>
    <row r="14" spans="2:17" x14ac:dyDescent="0.25">
      <c r="B14" s="2"/>
      <c r="C14" s="50" t="s">
        <v>227</v>
      </c>
      <c r="D14" s="51"/>
      <c r="E14" s="50" t="str">
        <f>"Usaha Produktif"</f>
        <v>Usaha Produktif</v>
      </c>
      <c r="F14" s="68"/>
      <c r="G14" s="68"/>
      <c r="H14" s="51"/>
      <c r="I14" s="50" t="str">
        <f>"Usaha Non Produktif"</f>
        <v>Usaha Non Produktif</v>
      </c>
      <c r="J14" s="68"/>
      <c r="K14" s="68"/>
      <c r="L14" s="51"/>
      <c r="M14" s="50" t="str">
        <f>"Jumlah"</f>
        <v>Jumlah</v>
      </c>
      <c r="N14" s="68"/>
      <c r="O14" s="68"/>
      <c r="P14" s="51"/>
      <c r="Q14" s="2"/>
    </row>
    <row r="15" spans="2:17" x14ac:dyDescent="0.25">
      <c r="B15" s="2"/>
      <c r="C15" s="52"/>
      <c r="D15" s="53"/>
      <c r="E15" s="54" t="str">
        <f>"Sandi"</f>
        <v>Sandi</v>
      </c>
      <c r="F15" s="54" t="str">
        <f>"Nilai Klaim"</f>
        <v>Nilai Klaim</v>
      </c>
      <c r="G15" s="54" t="str">
        <f>"Sandi"</f>
        <v>Sandi</v>
      </c>
      <c r="H15" s="54" t="str">
        <f>"Jumlah Terjamin"</f>
        <v>Jumlah Terjamin</v>
      </c>
      <c r="I15" s="54" t="str">
        <f>"Sandi"</f>
        <v>Sandi</v>
      </c>
      <c r="J15" s="54" t="str">
        <f>"Nilai Klaim"</f>
        <v>Nilai Klaim</v>
      </c>
      <c r="K15" s="54" t="str">
        <f>"Sandi"</f>
        <v>Sandi</v>
      </c>
      <c r="L15" s="54" t="str">
        <f>"Jumlah Terjamin"</f>
        <v>Jumlah Terjamin</v>
      </c>
      <c r="M15" s="54" t="str">
        <f>"Sandi"</f>
        <v>Sandi</v>
      </c>
      <c r="N15" s="54" t="str">
        <f>"Nilai Klaim"</f>
        <v>Nilai Klaim</v>
      </c>
      <c r="O15" s="54" t="str">
        <f>"Sandi"</f>
        <v>Sandi</v>
      </c>
      <c r="P15" s="54" t="str">
        <f>"Jumlah Terjamin"</f>
        <v>Jumlah Terjamin</v>
      </c>
      <c r="Q15" s="2"/>
    </row>
    <row r="16" spans="2:17" x14ac:dyDescent="0.25">
      <c r="B16" s="2"/>
      <c r="C16" s="56" t="s">
        <v>343</v>
      </c>
      <c r="D16" s="51"/>
      <c r="E16" s="13"/>
      <c r="F16" s="16">
        <f>IFERROR(F17, 0)+IFERROR(F18, 0)+IFERROR(F19, 0)+IFERROR(F20, 0)+IFERROR(F21, 0)+IFERROR(F22, 0)</f>
        <v>0</v>
      </c>
      <c r="G16" s="13"/>
      <c r="H16" s="16">
        <f>IFERROR(H17, 0)+IFERROR(H18, 0)+IFERROR(H19, 0)+IFERROR(H20, 0)+IFERROR(H21, 0)+IFERROR(H22, 0)</f>
        <v>0</v>
      </c>
      <c r="I16" s="13"/>
      <c r="J16" s="16">
        <f>IFERROR(J17, 0)+IFERROR(J18, 0)+IFERROR(J19, 0)+IFERROR(J20, 0)+IFERROR(J21, 0)+IFERROR(J22, 0)</f>
        <v>0</v>
      </c>
      <c r="K16" s="13"/>
      <c r="L16" s="16">
        <f>IFERROR(L17, 0)+IFERROR(L18, 0)+IFERROR(L19, 0)+IFERROR(L20, 0)+IFERROR(L21, 0)+IFERROR(L22, 0)</f>
        <v>0</v>
      </c>
      <c r="M16" s="13"/>
      <c r="N16" s="13" t="str">
        <f>""</f>
        <v/>
      </c>
      <c r="O16" s="13"/>
      <c r="P16" s="13" t="str">
        <f>""</f>
        <v/>
      </c>
      <c r="Q16" s="2"/>
    </row>
    <row r="17" spans="2:17" x14ac:dyDescent="0.25">
      <c r="B17" s="2"/>
      <c r="C17" s="57" t="s">
        <v>344</v>
      </c>
      <c r="D17" s="58"/>
      <c r="E17" s="13">
        <f>9110</f>
        <v>9110</v>
      </c>
      <c r="F17" s="29"/>
      <c r="G17" s="13">
        <f>9150</f>
        <v>9150</v>
      </c>
      <c r="H17" s="29"/>
      <c r="I17" s="13">
        <f>9210</f>
        <v>9210</v>
      </c>
      <c r="J17" s="29"/>
      <c r="K17" s="13">
        <f>9250</f>
        <v>9250</v>
      </c>
      <c r="L17" s="29"/>
      <c r="M17" s="13">
        <f>9310</f>
        <v>9310</v>
      </c>
      <c r="N17" s="14">
        <f t="shared" ref="N17:N22" si="0">F17+J17</f>
        <v>0</v>
      </c>
      <c r="O17" s="13">
        <f>9350</f>
        <v>9350</v>
      </c>
      <c r="P17" s="14">
        <f t="shared" ref="P17:P22" si="1">H17+L17</f>
        <v>0</v>
      </c>
      <c r="Q17" s="2"/>
    </row>
    <row r="18" spans="2:17" x14ac:dyDescent="0.25">
      <c r="B18" s="2"/>
      <c r="C18" s="57" t="s">
        <v>345</v>
      </c>
      <c r="D18" s="58"/>
      <c r="E18" s="13">
        <f>9111</f>
        <v>9111</v>
      </c>
      <c r="F18" s="29"/>
      <c r="G18" s="13">
        <f>9151</f>
        <v>9151</v>
      </c>
      <c r="H18" s="29"/>
      <c r="I18" s="13">
        <f>9211</f>
        <v>9211</v>
      </c>
      <c r="J18" s="29"/>
      <c r="K18" s="13">
        <f>9251</f>
        <v>9251</v>
      </c>
      <c r="L18" s="29"/>
      <c r="M18" s="13">
        <f>9311</f>
        <v>9311</v>
      </c>
      <c r="N18" s="14">
        <f t="shared" si="0"/>
        <v>0</v>
      </c>
      <c r="O18" s="13">
        <f>9351</f>
        <v>9351</v>
      </c>
      <c r="P18" s="14">
        <f t="shared" si="1"/>
        <v>0</v>
      </c>
      <c r="Q18" s="2"/>
    </row>
    <row r="19" spans="2:17" x14ac:dyDescent="0.25">
      <c r="B19" s="2"/>
      <c r="C19" s="57" t="s">
        <v>346</v>
      </c>
      <c r="D19" s="58"/>
      <c r="E19" s="13">
        <f>9112</f>
        <v>9112</v>
      </c>
      <c r="F19" s="29"/>
      <c r="G19" s="13">
        <f>9152</f>
        <v>9152</v>
      </c>
      <c r="H19" s="29"/>
      <c r="I19" s="13">
        <f>9212</f>
        <v>9212</v>
      </c>
      <c r="J19" s="29"/>
      <c r="K19" s="13">
        <f>9252</f>
        <v>9252</v>
      </c>
      <c r="L19" s="29"/>
      <c r="M19" s="13">
        <f>9312</f>
        <v>9312</v>
      </c>
      <c r="N19" s="14">
        <f t="shared" si="0"/>
        <v>0</v>
      </c>
      <c r="O19" s="13">
        <f>9352</f>
        <v>9352</v>
      </c>
      <c r="P19" s="14">
        <f t="shared" si="1"/>
        <v>0</v>
      </c>
      <c r="Q19" s="2"/>
    </row>
    <row r="20" spans="2:17" x14ac:dyDescent="0.25">
      <c r="B20" s="2"/>
      <c r="C20" s="57" t="s">
        <v>347</v>
      </c>
      <c r="D20" s="58"/>
      <c r="E20" s="13">
        <f>9113</f>
        <v>9113</v>
      </c>
      <c r="F20" s="29"/>
      <c r="G20" s="13">
        <f>9153</f>
        <v>9153</v>
      </c>
      <c r="H20" s="29"/>
      <c r="I20" s="13">
        <f>9213</f>
        <v>9213</v>
      </c>
      <c r="J20" s="29"/>
      <c r="K20" s="13">
        <f>9253</f>
        <v>9253</v>
      </c>
      <c r="L20" s="29"/>
      <c r="M20" s="13">
        <f>9313</f>
        <v>9313</v>
      </c>
      <c r="N20" s="14">
        <f t="shared" si="0"/>
        <v>0</v>
      </c>
      <c r="O20" s="13">
        <f>9353</f>
        <v>9353</v>
      </c>
      <c r="P20" s="14">
        <f t="shared" si="1"/>
        <v>0</v>
      </c>
      <c r="Q20" s="2"/>
    </row>
    <row r="21" spans="2:17" x14ac:dyDescent="0.25">
      <c r="B21" s="2"/>
      <c r="C21" s="57" t="s">
        <v>348</v>
      </c>
      <c r="D21" s="58"/>
      <c r="E21" s="13">
        <f>9114</f>
        <v>9114</v>
      </c>
      <c r="F21" s="17">
        <v>0</v>
      </c>
      <c r="G21" s="13">
        <f>9154</f>
        <v>9154</v>
      </c>
      <c r="H21" s="61">
        <v>0</v>
      </c>
      <c r="I21" s="13">
        <f>9214</f>
        <v>9214</v>
      </c>
      <c r="J21" s="61">
        <v>0</v>
      </c>
      <c r="K21" s="13">
        <f>9254</f>
        <v>9254</v>
      </c>
      <c r="L21" s="61">
        <v>0</v>
      </c>
      <c r="M21" s="13">
        <f>9314</f>
        <v>9314</v>
      </c>
      <c r="N21" s="14">
        <f t="shared" si="0"/>
        <v>0</v>
      </c>
      <c r="O21" s="13">
        <f>9354</f>
        <v>9354</v>
      </c>
      <c r="P21" s="14">
        <f t="shared" si="1"/>
        <v>0</v>
      </c>
      <c r="Q21" s="2"/>
    </row>
    <row r="22" spans="2:17" x14ac:dyDescent="0.25">
      <c r="B22" s="2"/>
      <c r="C22" s="57" t="s">
        <v>349</v>
      </c>
      <c r="D22" s="58"/>
      <c r="E22" s="13">
        <f>9115</f>
        <v>9115</v>
      </c>
      <c r="F22" s="17">
        <v>0</v>
      </c>
      <c r="G22" s="13">
        <f>9155</f>
        <v>9155</v>
      </c>
      <c r="H22" s="61">
        <v>0</v>
      </c>
      <c r="I22" s="13">
        <f>9215</f>
        <v>9215</v>
      </c>
      <c r="J22" s="61">
        <v>0</v>
      </c>
      <c r="K22" s="13">
        <f>9255</f>
        <v>9255</v>
      </c>
      <c r="L22" s="61">
        <v>0</v>
      </c>
      <c r="M22" s="13">
        <f>9315</f>
        <v>9315</v>
      </c>
      <c r="N22" s="14">
        <f t="shared" si="0"/>
        <v>0</v>
      </c>
      <c r="O22" s="13">
        <f>9355</f>
        <v>9355</v>
      </c>
      <c r="P22" s="14">
        <f t="shared" si="1"/>
        <v>0</v>
      </c>
      <c r="Q22" s="2"/>
    </row>
    <row r="23" spans="2:17" x14ac:dyDescent="0.25">
      <c r="B23" s="2"/>
      <c r="C23" s="56" t="s">
        <v>350</v>
      </c>
      <c r="D23" s="51"/>
      <c r="E23" s="13"/>
      <c r="F23" s="16">
        <f>IFERROR(F24, 0)+IFERROR(F25, 0)+IFERROR(F26, 0)+IFERROR(F27, 0)+IFERROR(F28, 0)+IFERROR(F29, 0)</f>
        <v>0</v>
      </c>
      <c r="G23" s="13"/>
      <c r="H23" s="16">
        <f>IFERROR(H24, 0)+IFERROR(H25, 0)+IFERROR(H26, 0)+IFERROR(H27, 0)+IFERROR(H28, 0)+IFERROR(H29, 0)</f>
        <v>0</v>
      </c>
      <c r="I23" s="13"/>
      <c r="J23" s="16">
        <f>IFERROR(J24, 0)+IFERROR(J25, 0)+IFERROR(J26, 0)+IFERROR(J27, 0)+IFERROR(J28, 0)+IFERROR(J29, 0)</f>
        <v>0</v>
      </c>
      <c r="K23" s="13"/>
      <c r="L23" s="16">
        <f>IFERROR(L24, 0)+IFERROR(L25, 0)+IFERROR(L26, 0)+IFERROR(L27, 0)+IFERROR(L28, 0)+IFERROR(L29, 0)</f>
        <v>0</v>
      </c>
      <c r="M23" s="13"/>
      <c r="N23" s="13" t="str">
        <f>""</f>
        <v/>
      </c>
      <c r="O23" s="13"/>
      <c r="P23" s="13" t="str">
        <f>""</f>
        <v/>
      </c>
      <c r="Q23" s="2"/>
    </row>
    <row r="24" spans="2:17" x14ac:dyDescent="0.25">
      <c r="B24" s="2"/>
      <c r="C24" s="57" t="s">
        <v>344</v>
      </c>
      <c r="D24" s="58"/>
      <c r="E24" s="13">
        <f>9120</f>
        <v>9120</v>
      </c>
      <c r="F24" s="61">
        <v>0</v>
      </c>
      <c r="G24" s="13">
        <f>9160</f>
        <v>9160</v>
      </c>
      <c r="H24" s="61">
        <v>0</v>
      </c>
      <c r="I24" s="13">
        <f>9220</f>
        <v>9220</v>
      </c>
      <c r="J24" s="61">
        <v>0</v>
      </c>
      <c r="K24" s="13">
        <f>9260</f>
        <v>9260</v>
      </c>
      <c r="L24" s="61">
        <v>0</v>
      </c>
      <c r="M24" s="13">
        <f>9320</f>
        <v>9320</v>
      </c>
      <c r="N24" s="14">
        <f t="shared" ref="N24:N29" si="2">F24+J24</f>
        <v>0</v>
      </c>
      <c r="O24" s="13">
        <f>9360</f>
        <v>9360</v>
      </c>
      <c r="P24" s="14">
        <f t="shared" ref="P24:P29" si="3">H24+L24</f>
        <v>0</v>
      </c>
      <c r="Q24" s="2"/>
    </row>
    <row r="25" spans="2:17" x14ac:dyDescent="0.25">
      <c r="B25" s="2"/>
      <c r="C25" s="57" t="s">
        <v>345</v>
      </c>
      <c r="D25" s="58"/>
      <c r="E25" s="13">
        <f>9121</f>
        <v>9121</v>
      </c>
      <c r="F25" s="61">
        <v>0</v>
      </c>
      <c r="G25" s="13">
        <f>9161</f>
        <v>9161</v>
      </c>
      <c r="H25" s="61">
        <v>0</v>
      </c>
      <c r="I25" s="13">
        <f>9221</f>
        <v>9221</v>
      </c>
      <c r="J25" s="61">
        <v>0</v>
      </c>
      <c r="K25" s="13">
        <f>9261</f>
        <v>9261</v>
      </c>
      <c r="L25" s="61">
        <v>0</v>
      </c>
      <c r="M25" s="13">
        <f>9321</f>
        <v>9321</v>
      </c>
      <c r="N25" s="14">
        <f t="shared" si="2"/>
        <v>0</v>
      </c>
      <c r="O25" s="13">
        <f>9361</f>
        <v>9361</v>
      </c>
      <c r="P25" s="14">
        <f t="shared" si="3"/>
        <v>0</v>
      </c>
      <c r="Q25" s="2"/>
    </row>
    <row r="26" spans="2:17" x14ac:dyDescent="0.25">
      <c r="B26" s="2"/>
      <c r="C26" s="57" t="s">
        <v>346</v>
      </c>
      <c r="D26" s="58"/>
      <c r="E26" s="13">
        <f>9122</f>
        <v>9122</v>
      </c>
      <c r="F26" s="61">
        <v>0</v>
      </c>
      <c r="G26" s="13">
        <f>9162</f>
        <v>9162</v>
      </c>
      <c r="H26" s="61">
        <v>0</v>
      </c>
      <c r="I26" s="13">
        <f>9222</f>
        <v>9222</v>
      </c>
      <c r="J26" s="61">
        <v>0</v>
      </c>
      <c r="K26" s="13">
        <f>9262</f>
        <v>9262</v>
      </c>
      <c r="L26" s="61">
        <v>0</v>
      </c>
      <c r="M26" s="13">
        <f>9322</f>
        <v>9322</v>
      </c>
      <c r="N26" s="14">
        <f t="shared" si="2"/>
        <v>0</v>
      </c>
      <c r="O26" s="13">
        <f>9362</f>
        <v>9362</v>
      </c>
      <c r="P26" s="14">
        <f t="shared" si="3"/>
        <v>0</v>
      </c>
      <c r="Q26" s="2"/>
    </row>
    <row r="27" spans="2:17" x14ac:dyDescent="0.25">
      <c r="B27" s="2"/>
      <c r="C27" s="57" t="s">
        <v>347</v>
      </c>
      <c r="D27" s="58"/>
      <c r="E27" s="13">
        <f>9123</f>
        <v>9123</v>
      </c>
      <c r="F27" s="61">
        <v>0</v>
      </c>
      <c r="G27" s="13">
        <f>9163</f>
        <v>9163</v>
      </c>
      <c r="H27" s="61">
        <v>0</v>
      </c>
      <c r="I27" s="13">
        <f>9223</f>
        <v>9223</v>
      </c>
      <c r="J27" s="61">
        <v>0</v>
      </c>
      <c r="K27" s="13">
        <f>9263</f>
        <v>9263</v>
      </c>
      <c r="L27" s="61">
        <v>0</v>
      </c>
      <c r="M27" s="13">
        <f>9323</f>
        <v>9323</v>
      </c>
      <c r="N27" s="14">
        <f t="shared" si="2"/>
        <v>0</v>
      </c>
      <c r="O27" s="13">
        <f>9363</f>
        <v>9363</v>
      </c>
      <c r="P27" s="14">
        <f t="shared" si="3"/>
        <v>0</v>
      </c>
      <c r="Q27" s="2"/>
    </row>
    <row r="28" spans="2:17" x14ac:dyDescent="0.25">
      <c r="B28" s="2"/>
      <c r="C28" s="57" t="s">
        <v>348</v>
      </c>
      <c r="D28" s="58"/>
      <c r="E28" s="13">
        <f>9124</f>
        <v>9124</v>
      </c>
      <c r="F28" s="61">
        <v>0</v>
      </c>
      <c r="G28" s="13">
        <f>9164</f>
        <v>9164</v>
      </c>
      <c r="H28" s="61">
        <v>0</v>
      </c>
      <c r="I28" s="13">
        <f>9224</f>
        <v>9224</v>
      </c>
      <c r="J28" s="61">
        <v>0</v>
      </c>
      <c r="K28" s="13">
        <f>9264</f>
        <v>9264</v>
      </c>
      <c r="L28" s="61">
        <v>0</v>
      </c>
      <c r="M28" s="13">
        <f>9324</f>
        <v>9324</v>
      </c>
      <c r="N28" s="14">
        <f t="shared" si="2"/>
        <v>0</v>
      </c>
      <c r="O28" s="13">
        <f>9364</f>
        <v>9364</v>
      </c>
      <c r="P28" s="14">
        <f t="shared" si="3"/>
        <v>0</v>
      </c>
      <c r="Q28" s="2"/>
    </row>
    <row r="29" spans="2:17" x14ac:dyDescent="0.25">
      <c r="B29" s="2"/>
      <c r="C29" s="57" t="s">
        <v>349</v>
      </c>
      <c r="D29" s="58"/>
      <c r="E29" s="13">
        <f>9125</f>
        <v>9125</v>
      </c>
      <c r="F29" s="61">
        <v>0</v>
      </c>
      <c r="G29" s="13">
        <f>9165</f>
        <v>9165</v>
      </c>
      <c r="H29" s="61">
        <v>0</v>
      </c>
      <c r="I29" s="13">
        <f>9225</f>
        <v>9225</v>
      </c>
      <c r="J29" s="61">
        <v>0</v>
      </c>
      <c r="K29" s="13">
        <f>9265</f>
        <v>9265</v>
      </c>
      <c r="L29" s="61">
        <v>0</v>
      </c>
      <c r="M29" s="13">
        <f>9325</f>
        <v>9325</v>
      </c>
      <c r="N29" s="14">
        <f t="shared" si="2"/>
        <v>0</v>
      </c>
      <c r="O29" s="13">
        <f>9365</f>
        <v>9365</v>
      </c>
      <c r="P29" s="14">
        <f t="shared" si="3"/>
        <v>0</v>
      </c>
      <c r="Q29" s="2"/>
    </row>
    <row r="30" spans="2:17" x14ac:dyDescent="0.25">
      <c r="B30" s="2"/>
      <c r="C30" s="56" t="s">
        <v>351</v>
      </c>
      <c r="D30" s="51"/>
      <c r="E30" s="13"/>
      <c r="F30" s="16">
        <f>IFERROR(F31, 0)+IFERROR(F32, 0)+IFERROR(F33, 0)+IFERROR(F34, 0)+IFERROR(F35, 0)+IFERROR(F36, 0)</f>
        <v>0</v>
      </c>
      <c r="G30" s="13"/>
      <c r="H30" s="16">
        <f>IFERROR(H31, 0)+IFERROR(H32, 0)+IFERROR(H33, 0)+IFERROR(H34, 0)+IFERROR(H35, 0)+IFERROR(H36, 0)</f>
        <v>0</v>
      </c>
      <c r="I30" s="13"/>
      <c r="J30" s="16">
        <f>IFERROR(J31, 0)+IFERROR(J32, 0)+IFERROR(J33, 0)+IFERROR(J34, 0)+IFERROR(J35, 0)+IFERROR(J36, 0)</f>
        <v>0</v>
      </c>
      <c r="K30" s="13"/>
      <c r="L30" s="16">
        <f>IFERROR(L31, 0)+IFERROR(L32, 0)+IFERROR(L33, 0)+IFERROR(L34, 0)+IFERROR(L35, 0)+IFERROR(L36, 0)</f>
        <v>0</v>
      </c>
      <c r="M30" s="13"/>
      <c r="N30" s="13" t="str">
        <f>""</f>
        <v/>
      </c>
      <c r="O30" s="13"/>
      <c r="P30" s="13" t="str">
        <f>""</f>
        <v/>
      </c>
      <c r="Q30" s="2"/>
    </row>
    <row r="31" spans="2:17" x14ac:dyDescent="0.25">
      <c r="B31" s="2"/>
      <c r="C31" s="57" t="s">
        <v>344</v>
      </c>
      <c r="D31" s="58"/>
      <c r="E31" s="13">
        <f>9130</f>
        <v>9130</v>
      </c>
      <c r="F31" s="61">
        <v>0</v>
      </c>
      <c r="G31" s="13">
        <f>9170</f>
        <v>9170</v>
      </c>
      <c r="H31" s="61">
        <v>0</v>
      </c>
      <c r="I31" s="13">
        <f>9230</f>
        <v>9230</v>
      </c>
      <c r="J31" s="61">
        <v>0</v>
      </c>
      <c r="K31" s="13">
        <f>9270</f>
        <v>9270</v>
      </c>
      <c r="L31" s="61">
        <v>0</v>
      </c>
      <c r="M31" s="13">
        <f>9330</f>
        <v>9330</v>
      </c>
      <c r="N31" s="14">
        <f t="shared" ref="N31:N36" si="4">F31+J31</f>
        <v>0</v>
      </c>
      <c r="O31" s="13">
        <f>9370</f>
        <v>9370</v>
      </c>
      <c r="P31" s="14">
        <f t="shared" ref="P31:P36" si="5">H31+L31</f>
        <v>0</v>
      </c>
      <c r="Q31" s="2"/>
    </row>
    <row r="32" spans="2:17" x14ac:dyDescent="0.25">
      <c r="B32" s="2"/>
      <c r="C32" s="57" t="s">
        <v>345</v>
      </c>
      <c r="D32" s="58"/>
      <c r="E32" s="13">
        <f>9131</f>
        <v>9131</v>
      </c>
      <c r="F32" s="61">
        <v>0</v>
      </c>
      <c r="G32" s="13">
        <f>9171</f>
        <v>9171</v>
      </c>
      <c r="H32" s="61">
        <v>0</v>
      </c>
      <c r="I32" s="13">
        <f>9231</f>
        <v>9231</v>
      </c>
      <c r="J32" s="61">
        <v>0</v>
      </c>
      <c r="K32" s="13">
        <f>9271</f>
        <v>9271</v>
      </c>
      <c r="L32" s="61">
        <v>0</v>
      </c>
      <c r="M32" s="13">
        <f>9331</f>
        <v>9331</v>
      </c>
      <c r="N32" s="14">
        <f t="shared" si="4"/>
        <v>0</v>
      </c>
      <c r="O32" s="13">
        <f>9371</f>
        <v>9371</v>
      </c>
      <c r="P32" s="14">
        <f t="shared" si="5"/>
        <v>0</v>
      </c>
      <c r="Q32" s="2"/>
    </row>
    <row r="33" spans="2:17" x14ac:dyDescent="0.25">
      <c r="B33" s="2"/>
      <c r="C33" s="57" t="s">
        <v>346</v>
      </c>
      <c r="D33" s="58"/>
      <c r="E33" s="13">
        <f>9132</f>
        <v>9132</v>
      </c>
      <c r="F33" s="61">
        <v>0</v>
      </c>
      <c r="G33" s="13">
        <f>9172</f>
        <v>9172</v>
      </c>
      <c r="H33" s="61">
        <v>0</v>
      </c>
      <c r="I33" s="13">
        <f>9232</f>
        <v>9232</v>
      </c>
      <c r="J33" s="61">
        <v>0</v>
      </c>
      <c r="K33" s="13">
        <f>9272</f>
        <v>9272</v>
      </c>
      <c r="L33" s="61">
        <v>0</v>
      </c>
      <c r="M33" s="13">
        <f>9332</f>
        <v>9332</v>
      </c>
      <c r="N33" s="14">
        <f t="shared" si="4"/>
        <v>0</v>
      </c>
      <c r="O33" s="13">
        <f>9372</f>
        <v>9372</v>
      </c>
      <c r="P33" s="14">
        <f t="shared" si="5"/>
        <v>0</v>
      </c>
      <c r="Q33" s="2"/>
    </row>
    <row r="34" spans="2:17" x14ac:dyDescent="0.25">
      <c r="B34" s="2"/>
      <c r="C34" s="57" t="s">
        <v>347</v>
      </c>
      <c r="D34" s="58"/>
      <c r="E34" s="13">
        <f>9133</f>
        <v>9133</v>
      </c>
      <c r="F34" s="61">
        <v>0</v>
      </c>
      <c r="G34" s="13">
        <f>9173</f>
        <v>9173</v>
      </c>
      <c r="H34" s="61">
        <v>0</v>
      </c>
      <c r="I34" s="13">
        <f>9233</f>
        <v>9233</v>
      </c>
      <c r="J34" s="61">
        <v>0</v>
      </c>
      <c r="K34" s="13">
        <f>9273</f>
        <v>9273</v>
      </c>
      <c r="L34" s="61">
        <v>0</v>
      </c>
      <c r="M34" s="13">
        <f>9333</f>
        <v>9333</v>
      </c>
      <c r="N34" s="14">
        <f t="shared" si="4"/>
        <v>0</v>
      </c>
      <c r="O34" s="13">
        <f>9373</f>
        <v>9373</v>
      </c>
      <c r="P34" s="14">
        <f t="shared" si="5"/>
        <v>0</v>
      </c>
      <c r="Q34" s="2"/>
    </row>
    <row r="35" spans="2:17" x14ac:dyDescent="0.25">
      <c r="B35" s="2"/>
      <c r="C35" s="57" t="s">
        <v>348</v>
      </c>
      <c r="D35" s="58"/>
      <c r="E35" s="13">
        <f>9134</f>
        <v>9134</v>
      </c>
      <c r="F35" s="61">
        <v>0</v>
      </c>
      <c r="G35" s="13">
        <f>9174</f>
        <v>9174</v>
      </c>
      <c r="H35" s="61">
        <v>0</v>
      </c>
      <c r="I35" s="13">
        <f>9234</f>
        <v>9234</v>
      </c>
      <c r="J35" s="61">
        <v>0</v>
      </c>
      <c r="K35" s="13">
        <f>9274</f>
        <v>9274</v>
      </c>
      <c r="L35" s="61">
        <v>0</v>
      </c>
      <c r="M35" s="13">
        <f>9334</f>
        <v>9334</v>
      </c>
      <c r="N35" s="14">
        <f t="shared" si="4"/>
        <v>0</v>
      </c>
      <c r="O35" s="13">
        <f>9374</f>
        <v>9374</v>
      </c>
      <c r="P35" s="14">
        <f t="shared" si="5"/>
        <v>0</v>
      </c>
      <c r="Q35" s="2"/>
    </row>
    <row r="36" spans="2:17" x14ac:dyDescent="0.25">
      <c r="B36" s="2"/>
      <c r="C36" s="57" t="s">
        <v>349</v>
      </c>
      <c r="D36" s="58"/>
      <c r="E36" s="13">
        <f>9135</f>
        <v>9135</v>
      </c>
      <c r="F36" s="61">
        <v>0</v>
      </c>
      <c r="G36" s="13">
        <f>9175</f>
        <v>9175</v>
      </c>
      <c r="H36" s="61">
        <v>0</v>
      </c>
      <c r="I36" s="13">
        <f>9235</f>
        <v>9235</v>
      </c>
      <c r="J36" s="61">
        <v>0</v>
      </c>
      <c r="K36" s="13">
        <f>9275</f>
        <v>9275</v>
      </c>
      <c r="L36" s="61">
        <v>0</v>
      </c>
      <c r="M36" s="13">
        <f>9335</f>
        <v>9335</v>
      </c>
      <c r="N36" s="14">
        <f t="shared" si="4"/>
        <v>0</v>
      </c>
      <c r="O36" s="13">
        <f>9375</f>
        <v>9375</v>
      </c>
      <c r="P36" s="14">
        <f t="shared" si="5"/>
        <v>0</v>
      </c>
      <c r="Q36" s="2"/>
    </row>
    <row r="37" spans="2:17" x14ac:dyDescent="0.25">
      <c r="B37" s="2"/>
      <c r="C37" s="56" t="s">
        <v>352</v>
      </c>
      <c r="D37" s="51"/>
      <c r="E37" s="13"/>
      <c r="F37" s="16">
        <f>IFERROR(F38, 0)+IFERROR(F39, 0)+IFERROR(F40, 0)+IFERROR(F41, 0)+IFERROR(F42, 0)+IFERROR(F43, 0)</f>
        <v>0</v>
      </c>
      <c r="G37" s="13"/>
      <c r="H37" s="16">
        <f>IFERROR(H38, 0)+IFERROR(H39, 0)+IFERROR(H40, 0)+IFERROR(H41, 0)+IFERROR(H42, 0)+IFERROR(H43, 0)</f>
        <v>0</v>
      </c>
      <c r="I37" s="13"/>
      <c r="J37" s="16">
        <f>IFERROR(J38, 0)+IFERROR(J39, 0)+IFERROR(J40, 0)+IFERROR(J41, 0)+IFERROR(J42, 0)+IFERROR(J43, 0)</f>
        <v>0</v>
      </c>
      <c r="K37" s="13"/>
      <c r="L37" s="16">
        <f>IFERROR(L38, 0)+IFERROR(L39, 0)+IFERROR(L40, 0)+IFERROR(L41, 0)+IFERROR(L42, 0)+IFERROR(L43, 0)</f>
        <v>0</v>
      </c>
      <c r="M37" s="13"/>
      <c r="N37" s="13" t="str">
        <f>""</f>
        <v/>
      </c>
      <c r="O37" s="13"/>
      <c r="P37" s="13" t="str">
        <f>""</f>
        <v/>
      </c>
      <c r="Q37" s="2"/>
    </row>
    <row r="38" spans="2:17" x14ac:dyDescent="0.25">
      <c r="B38" s="2"/>
      <c r="C38" s="57" t="s">
        <v>344</v>
      </c>
      <c r="D38" s="58"/>
      <c r="E38" s="13">
        <f>9140</f>
        <v>9140</v>
      </c>
      <c r="F38" s="14">
        <f t="shared" ref="F38:F43" si="6">F17+F24+F31</f>
        <v>0</v>
      </c>
      <c r="G38" s="13">
        <f>9180</f>
        <v>9180</v>
      </c>
      <c r="H38" s="14">
        <f t="shared" ref="H38:H43" si="7">H17+H24+H31</f>
        <v>0</v>
      </c>
      <c r="I38" s="13">
        <f>9240</f>
        <v>9240</v>
      </c>
      <c r="J38" s="14">
        <f t="shared" ref="J38:J43" si="8">J17+J24+J31</f>
        <v>0</v>
      </c>
      <c r="K38" s="13">
        <f>9280</f>
        <v>9280</v>
      </c>
      <c r="L38" s="14">
        <f t="shared" ref="L38:L43" si="9">L17+L24+L31</f>
        <v>0</v>
      </c>
      <c r="M38" s="13">
        <f>9340</f>
        <v>9340</v>
      </c>
      <c r="N38" s="14">
        <f t="shared" ref="N38:N43" si="10">N17+N24+N31</f>
        <v>0</v>
      </c>
      <c r="O38" s="13">
        <f>9380</f>
        <v>9380</v>
      </c>
      <c r="P38" s="14">
        <f t="shared" ref="P38:P43" si="11">P17+P24+P31</f>
        <v>0</v>
      </c>
      <c r="Q38" s="2"/>
    </row>
    <row r="39" spans="2:17" x14ac:dyDescent="0.25">
      <c r="B39" s="2"/>
      <c r="C39" s="57" t="s">
        <v>345</v>
      </c>
      <c r="D39" s="58"/>
      <c r="E39" s="13">
        <f>9141</f>
        <v>9141</v>
      </c>
      <c r="F39" s="14">
        <f t="shared" si="6"/>
        <v>0</v>
      </c>
      <c r="G39" s="13">
        <f>9181</f>
        <v>9181</v>
      </c>
      <c r="H39" s="14">
        <f t="shared" si="7"/>
        <v>0</v>
      </c>
      <c r="I39" s="13">
        <f>9241</f>
        <v>9241</v>
      </c>
      <c r="J39" s="14">
        <f t="shared" si="8"/>
        <v>0</v>
      </c>
      <c r="K39" s="13">
        <f>9281</f>
        <v>9281</v>
      </c>
      <c r="L39" s="14">
        <f t="shared" si="9"/>
        <v>0</v>
      </c>
      <c r="M39" s="13">
        <f>9341</f>
        <v>9341</v>
      </c>
      <c r="N39" s="14">
        <f t="shared" si="10"/>
        <v>0</v>
      </c>
      <c r="O39" s="13">
        <f>9381</f>
        <v>9381</v>
      </c>
      <c r="P39" s="14">
        <f t="shared" si="11"/>
        <v>0</v>
      </c>
      <c r="Q39" s="2"/>
    </row>
    <row r="40" spans="2:17" x14ac:dyDescent="0.25">
      <c r="B40" s="2"/>
      <c r="C40" s="57" t="s">
        <v>346</v>
      </c>
      <c r="D40" s="58"/>
      <c r="E40" s="13">
        <f>9142</f>
        <v>9142</v>
      </c>
      <c r="F40" s="14">
        <f t="shared" si="6"/>
        <v>0</v>
      </c>
      <c r="G40" s="13">
        <f>9182</f>
        <v>9182</v>
      </c>
      <c r="H40" s="14">
        <f t="shared" si="7"/>
        <v>0</v>
      </c>
      <c r="I40" s="13">
        <f>9242</f>
        <v>9242</v>
      </c>
      <c r="J40" s="14">
        <f t="shared" si="8"/>
        <v>0</v>
      </c>
      <c r="K40" s="13">
        <f>9282</f>
        <v>9282</v>
      </c>
      <c r="L40" s="14">
        <f t="shared" si="9"/>
        <v>0</v>
      </c>
      <c r="M40" s="13">
        <f>9342</f>
        <v>9342</v>
      </c>
      <c r="N40" s="14">
        <f t="shared" si="10"/>
        <v>0</v>
      </c>
      <c r="O40" s="13">
        <f>9382</f>
        <v>9382</v>
      </c>
      <c r="P40" s="14">
        <f t="shared" si="11"/>
        <v>0</v>
      </c>
      <c r="Q40" s="2"/>
    </row>
    <row r="41" spans="2:17" x14ac:dyDescent="0.25">
      <c r="B41" s="2"/>
      <c r="C41" s="57" t="s">
        <v>347</v>
      </c>
      <c r="D41" s="58"/>
      <c r="E41" s="13">
        <f>9143</f>
        <v>9143</v>
      </c>
      <c r="F41" s="14">
        <f t="shared" si="6"/>
        <v>0</v>
      </c>
      <c r="G41" s="13">
        <f>9183</f>
        <v>9183</v>
      </c>
      <c r="H41" s="14">
        <f t="shared" si="7"/>
        <v>0</v>
      </c>
      <c r="I41" s="13">
        <f>9243</f>
        <v>9243</v>
      </c>
      <c r="J41" s="14">
        <f t="shared" si="8"/>
        <v>0</v>
      </c>
      <c r="K41" s="13">
        <f>9283</f>
        <v>9283</v>
      </c>
      <c r="L41" s="14">
        <f t="shared" si="9"/>
        <v>0</v>
      </c>
      <c r="M41" s="13">
        <f>9343</f>
        <v>9343</v>
      </c>
      <c r="N41" s="14">
        <f t="shared" si="10"/>
        <v>0</v>
      </c>
      <c r="O41" s="13">
        <f>9383</f>
        <v>9383</v>
      </c>
      <c r="P41" s="14">
        <f t="shared" si="11"/>
        <v>0</v>
      </c>
      <c r="Q41" s="2"/>
    </row>
    <row r="42" spans="2:17" x14ac:dyDescent="0.25">
      <c r="B42" s="2"/>
      <c r="C42" s="57" t="s">
        <v>348</v>
      </c>
      <c r="D42" s="58"/>
      <c r="E42" s="13">
        <f>9144</f>
        <v>9144</v>
      </c>
      <c r="F42" s="14">
        <f t="shared" si="6"/>
        <v>0</v>
      </c>
      <c r="G42" s="13">
        <f>9184</f>
        <v>9184</v>
      </c>
      <c r="H42" s="14">
        <f t="shared" si="7"/>
        <v>0</v>
      </c>
      <c r="I42" s="13">
        <f>9244</f>
        <v>9244</v>
      </c>
      <c r="J42" s="14">
        <f t="shared" si="8"/>
        <v>0</v>
      </c>
      <c r="K42" s="13">
        <f>9284</f>
        <v>9284</v>
      </c>
      <c r="L42" s="14">
        <f t="shared" si="9"/>
        <v>0</v>
      </c>
      <c r="M42" s="13">
        <f>9344</f>
        <v>9344</v>
      </c>
      <c r="N42" s="14">
        <f t="shared" si="10"/>
        <v>0</v>
      </c>
      <c r="O42" s="13">
        <f>9384</f>
        <v>9384</v>
      </c>
      <c r="P42" s="14">
        <f t="shared" si="11"/>
        <v>0</v>
      </c>
      <c r="Q42" s="2"/>
    </row>
    <row r="43" spans="2:17" x14ac:dyDescent="0.25">
      <c r="B43" s="2"/>
      <c r="C43" s="57" t="s">
        <v>349</v>
      </c>
      <c r="D43" s="58"/>
      <c r="E43" s="13">
        <f>9145</f>
        <v>9145</v>
      </c>
      <c r="F43" s="14">
        <f t="shared" si="6"/>
        <v>0</v>
      </c>
      <c r="G43" s="13">
        <f>9185</f>
        <v>9185</v>
      </c>
      <c r="H43" s="14">
        <f t="shared" si="7"/>
        <v>0</v>
      </c>
      <c r="I43" s="13">
        <f>9245</f>
        <v>9245</v>
      </c>
      <c r="J43" s="14">
        <f t="shared" si="8"/>
        <v>0</v>
      </c>
      <c r="K43" s="13">
        <f>9285</f>
        <v>9285</v>
      </c>
      <c r="L43" s="14">
        <f t="shared" si="9"/>
        <v>0</v>
      </c>
      <c r="M43" s="13">
        <f>9345</f>
        <v>9345</v>
      </c>
      <c r="N43" s="14">
        <f t="shared" si="10"/>
        <v>0</v>
      </c>
      <c r="O43" s="13">
        <f>9385</f>
        <v>9385</v>
      </c>
      <c r="P43" s="14">
        <f t="shared" si="11"/>
        <v>0</v>
      </c>
      <c r="Q43" s="2"/>
    </row>
    <row r="44" spans="2:1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2:17" ht="4.9000000000000004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</sheetData>
  <sheetProtection password="BBAF" sheet="1" formatColumns="0" selectLockedCells="1"/>
  <mergeCells count="103">
    <mergeCell ref="C42:D42"/>
    <mergeCell ref="C43:D43"/>
    <mergeCell ref="C37:D37"/>
    <mergeCell ref="C38:D38"/>
    <mergeCell ref="C39:D39"/>
    <mergeCell ref="C40:D40"/>
    <mergeCell ref="C41:D41"/>
    <mergeCell ref="C36:D36"/>
    <mergeCell ref="F36"/>
    <mergeCell ref="H36"/>
    <mergeCell ref="J36"/>
    <mergeCell ref="L36"/>
    <mergeCell ref="C35:D35"/>
    <mergeCell ref="F35"/>
    <mergeCell ref="H35"/>
    <mergeCell ref="J35"/>
    <mergeCell ref="L35"/>
    <mergeCell ref="C34:D34"/>
    <mergeCell ref="F34"/>
    <mergeCell ref="H34"/>
    <mergeCell ref="J34"/>
    <mergeCell ref="L34"/>
    <mergeCell ref="C33:D33"/>
    <mergeCell ref="F33"/>
    <mergeCell ref="H33"/>
    <mergeCell ref="J33"/>
    <mergeCell ref="L33"/>
    <mergeCell ref="L31"/>
    <mergeCell ref="C32:D32"/>
    <mergeCell ref="F32"/>
    <mergeCell ref="H32"/>
    <mergeCell ref="J32"/>
    <mergeCell ref="L32"/>
    <mergeCell ref="C30:D30"/>
    <mergeCell ref="C31:D31"/>
    <mergeCell ref="F31"/>
    <mergeCell ref="H31"/>
    <mergeCell ref="J31"/>
    <mergeCell ref="C29:D29"/>
    <mergeCell ref="F29"/>
    <mergeCell ref="H29"/>
    <mergeCell ref="J29"/>
    <mergeCell ref="L29"/>
    <mergeCell ref="C28:D28"/>
    <mergeCell ref="F28"/>
    <mergeCell ref="H28"/>
    <mergeCell ref="J28"/>
    <mergeCell ref="L28"/>
    <mergeCell ref="C27:D27"/>
    <mergeCell ref="F27"/>
    <mergeCell ref="H27"/>
    <mergeCell ref="J27"/>
    <mergeCell ref="L27"/>
    <mergeCell ref="C26:D26"/>
    <mergeCell ref="F26"/>
    <mergeCell ref="H26"/>
    <mergeCell ref="J26"/>
    <mergeCell ref="L26"/>
    <mergeCell ref="L24"/>
    <mergeCell ref="C25:D25"/>
    <mergeCell ref="F25"/>
    <mergeCell ref="H25"/>
    <mergeCell ref="J25"/>
    <mergeCell ref="L25"/>
    <mergeCell ref="C23:D23"/>
    <mergeCell ref="C24:D24"/>
    <mergeCell ref="F24"/>
    <mergeCell ref="H24"/>
    <mergeCell ref="J24"/>
    <mergeCell ref="C22:D22"/>
    <mergeCell ref="H22"/>
    <mergeCell ref="J22"/>
    <mergeCell ref="L22"/>
    <mergeCell ref="C18:D18"/>
    <mergeCell ref="C16:D16"/>
    <mergeCell ref="C17:D17"/>
    <mergeCell ref="C21:D21"/>
    <mergeCell ref="H21"/>
    <mergeCell ref="J21"/>
    <mergeCell ref="L21"/>
    <mergeCell ref="C20:D20"/>
    <mergeCell ref="C19:D19"/>
    <mergeCell ref="C14:D15"/>
    <mergeCell ref="E15"/>
    <mergeCell ref="F15"/>
    <mergeCell ref="G15"/>
    <mergeCell ref="H15"/>
    <mergeCell ref="E14:H14"/>
    <mergeCell ref="C7:P7"/>
    <mergeCell ref="C9:P9"/>
    <mergeCell ref="C10:P10"/>
    <mergeCell ref="C11:P11"/>
    <mergeCell ref="C13:P13"/>
    <mergeCell ref="M15"/>
    <mergeCell ref="N15"/>
    <mergeCell ref="O15"/>
    <mergeCell ref="M14:P14"/>
    <mergeCell ref="P15"/>
    <mergeCell ref="I15"/>
    <mergeCell ref="J15"/>
    <mergeCell ref="K15"/>
    <mergeCell ref="L15"/>
    <mergeCell ref="I14:L14"/>
  </mergeCells>
  <dataValidations count="72"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L17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L18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L19">
      <formula1>-1000000000000000000</formula1>
      <formula2>1000000000000000000</formula2>
    </dataValidation>
    <dataValidation type="decimal" showErrorMessage="1" errorTitle="Kesalahan Jenis Data" error="Data yang dimasukkan harus berupa Angka!" sqref="F20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L20">
      <formula1>-1000000000000000000</formula1>
      <formula2>1000000000000000000</formula2>
    </dataValidation>
    <dataValidation type="decimal" showErrorMessage="1" errorTitle="Kesalahan Jenis Data" error="Data yang dimasukkan harus berupa Angka!" sqref="F21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L21">
      <formula1>-1000000000000000000</formula1>
      <formula2>1000000000000000000</formula2>
    </dataValidation>
    <dataValidation type="decimal" showErrorMessage="1" errorTitle="Kesalahan Jenis Data" error="Data yang dimasukkan harus berupa Angka!" sqref="F22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L22">
      <formula1>-1000000000000000000</formula1>
      <formula2>1000000000000000000</formula2>
    </dataValidation>
    <dataValidation type="decimal" showErrorMessage="1" errorTitle="Kesalahan Jenis Data" error="Data yang dimasukkan harus berupa Angka!" sqref="F24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L24">
      <formula1>-1000000000000000000</formula1>
      <formula2>1000000000000000000</formula2>
    </dataValidation>
    <dataValidation type="decimal" showErrorMessage="1" errorTitle="Kesalahan Jenis Data" error="Data yang dimasukkan harus berupa Angka!" sqref="F25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L25">
      <formula1>-1000000000000000000</formula1>
      <formula2>1000000000000000000</formula2>
    </dataValidation>
    <dataValidation type="decimal" showErrorMessage="1" errorTitle="Kesalahan Jenis Data" error="Data yang dimasukkan harus berupa Angka!" sqref="F26">
      <formula1>-1000000000000000000</formula1>
      <formula2>1000000000000000000</formula2>
    </dataValidation>
    <dataValidation type="decimal" showErrorMessage="1" errorTitle="Kesalahan Jenis Data" error="Data yang dimasukkan harus berupa Angka!" sqref="H26">
      <formula1>-1000000000000000000</formula1>
      <formula2>1000000000000000000</formula2>
    </dataValidation>
    <dataValidation type="decimal" showErrorMessage="1" errorTitle="Kesalahan Jenis Data" error="Data yang dimasukkan harus berupa Angka!" sqref="J26">
      <formula1>-1000000000000000000</formula1>
      <formula2>1000000000000000000</formula2>
    </dataValidation>
    <dataValidation type="decimal" showErrorMessage="1" errorTitle="Kesalahan Jenis Data" error="Data yang dimasukkan harus berupa Angka!" sqref="L26">
      <formula1>-1000000000000000000</formula1>
      <formula2>1000000000000000000</formula2>
    </dataValidation>
    <dataValidation type="decimal" showErrorMessage="1" errorTitle="Kesalahan Jenis Data" error="Data yang dimasukkan harus berupa Angka!" sqref="F27">
      <formula1>-1000000000000000000</formula1>
      <formula2>1000000000000000000</formula2>
    </dataValidation>
    <dataValidation type="decimal" showErrorMessage="1" errorTitle="Kesalahan Jenis Data" error="Data yang dimasukkan harus berupa Angka!" sqref="H27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L27">
      <formula1>-1000000000000000000</formula1>
      <formula2>1000000000000000000</formula2>
    </dataValidation>
    <dataValidation type="decimal" showErrorMessage="1" errorTitle="Kesalahan Jenis Data" error="Data yang dimasukkan harus berupa Angka!" sqref="F28">
      <formula1>-1000000000000000000</formula1>
      <formula2>1000000000000000000</formula2>
    </dataValidation>
    <dataValidation type="decimal" showErrorMessage="1" errorTitle="Kesalahan Jenis Data" error="Data yang dimasukkan harus berupa Angka!" sqref="H28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L28">
      <formula1>-1000000000000000000</formula1>
      <formula2>1000000000000000000</formula2>
    </dataValidation>
    <dataValidation type="decimal" showErrorMessage="1" errorTitle="Kesalahan Jenis Data" error="Data yang dimasukkan harus berupa Angka!" sqref="F29">
      <formula1>-1000000000000000000</formula1>
      <formula2>1000000000000000000</formula2>
    </dataValidation>
    <dataValidation type="decimal" showErrorMessage="1" errorTitle="Kesalahan Jenis Data" error="Data yang dimasukkan harus berupa Angka!" sqref="H29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L29">
      <formula1>-1000000000000000000</formula1>
      <formula2>1000000000000000000</formula2>
    </dataValidation>
    <dataValidation type="decimal" showErrorMessage="1" errorTitle="Kesalahan Jenis Data" error="Data yang dimasukkan harus berupa Angka!" sqref="F31">
      <formula1>-1000000000000000000</formula1>
      <formula2>1000000000000000000</formula2>
    </dataValidation>
    <dataValidation type="decimal" showErrorMessage="1" errorTitle="Kesalahan Jenis Data" error="Data yang dimasukkan harus berupa Angka!" sqref="H31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L31">
      <formula1>-1000000000000000000</formula1>
      <formula2>1000000000000000000</formula2>
    </dataValidation>
    <dataValidation type="decimal" showErrorMessage="1" errorTitle="Kesalahan Jenis Data" error="Data yang dimasukkan harus berupa Angka!" sqref="F32">
      <formula1>-1000000000000000000</formula1>
      <formula2>1000000000000000000</formula2>
    </dataValidation>
    <dataValidation type="decimal" showErrorMessage="1" errorTitle="Kesalahan Jenis Data" error="Data yang dimasukkan harus berupa Angka!" sqref="H32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L32">
      <formula1>-1000000000000000000</formula1>
      <formula2>1000000000000000000</formula2>
    </dataValidation>
    <dataValidation type="decimal" showErrorMessage="1" errorTitle="Kesalahan Jenis Data" error="Data yang dimasukkan harus berupa Angka!" sqref="F33">
      <formula1>-1000000000000000000</formula1>
      <formula2>1000000000000000000</formula2>
    </dataValidation>
    <dataValidation type="decimal" showErrorMessage="1" errorTitle="Kesalahan Jenis Data" error="Data yang dimasukkan harus berupa Angka!" sqref="H33">
      <formula1>-1000000000000000000</formula1>
      <formula2>1000000000000000000</formula2>
    </dataValidation>
    <dataValidation type="decimal" showErrorMessage="1" errorTitle="Kesalahan Jenis Data" error="Data yang dimasukkan harus berupa Angka!" sqref="J33">
      <formula1>-1000000000000000000</formula1>
      <formula2>1000000000000000000</formula2>
    </dataValidation>
    <dataValidation type="decimal" showErrorMessage="1" errorTitle="Kesalahan Jenis Data" error="Data yang dimasukkan harus berupa Angka!" sqref="L33">
      <formula1>-1000000000000000000</formula1>
      <formula2>1000000000000000000</formula2>
    </dataValidation>
    <dataValidation type="decimal" showErrorMessage="1" errorTitle="Kesalahan Jenis Data" error="Data yang dimasukkan harus berupa Angka!" sqref="F34">
      <formula1>-1000000000000000000</formula1>
      <formula2>1000000000000000000</formula2>
    </dataValidation>
    <dataValidation type="decimal" showErrorMessage="1" errorTitle="Kesalahan Jenis Data" error="Data yang dimasukkan harus berupa Angka!" sqref="H34">
      <formula1>-1000000000000000000</formula1>
      <formula2>1000000000000000000</formula2>
    </dataValidation>
    <dataValidation type="decimal" showErrorMessage="1" errorTitle="Kesalahan Jenis Data" error="Data yang dimasukkan harus berupa Angka!" sqref="J34">
      <formula1>-1000000000000000000</formula1>
      <formula2>1000000000000000000</formula2>
    </dataValidation>
    <dataValidation type="decimal" showErrorMessage="1" errorTitle="Kesalahan Jenis Data" error="Data yang dimasukkan harus berupa Angka!" sqref="L34">
      <formula1>-1000000000000000000</formula1>
      <formula2>1000000000000000000</formula2>
    </dataValidation>
    <dataValidation type="decimal" showErrorMessage="1" errorTitle="Kesalahan Jenis Data" error="Data yang dimasukkan harus berupa Angka!" sqref="F35">
      <formula1>-1000000000000000000</formula1>
      <formula2>1000000000000000000</formula2>
    </dataValidation>
    <dataValidation type="decimal" showErrorMessage="1" errorTitle="Kesalahan Jenis Data" error="Data yang dimasukkan harus berupa Angka!" sqref="H35">
      <formula1>-1000000000000000000</formula1>
      <formula2>1000000000000000000</formula2>
    </dataValidation>
    <dataValidation type="decimal" showErrorMessage="1" errorTitle="Kesalahan Jenis Data" error="Data yang dimasukkan harus berupa Angka!" sqref="J35">
      <formula1>-1000000000000000000</formula1>
      <formula2>1000000000000000000</formula2>
    </dataValidation>
    <dataValidation type="decimal" showErrorMessage="1" errorTitle="Kesalahan Jenis Data" error="Data yang dimasukkan harus berupa Angka!" sqref="L35">
      <formula1>-1000000000000000000</formula1>
      <formula2>1000000000000000000</formula2>
    </dataValidation>
    <dataValidation type="decimal" showErrorMessage="1" errorTitle="Kesalahan Jenis Data" error="Data yang dimasukkan harus berupa Angka!" sqref="F36">
      <formula1>-1000000000000000000</formula1>
      <formula2>1000000000000000000</formula2>
    </dataValidation>
    <dataValidation type="decimal" showErrorMessage="1" errorTitle="Kesalahan Jenis Data" error="Data yang dimasukkan harus berupa Angka!" sqref="H36">
      <formula1>-1000000000000000000</formula1>
      <formula2>1000000000000000000</formula2>
    </dataValidation>
    <dataValidation type="decimal" showErrorMessage="1" errorTitle="Kesalahan Jenis Data" error="Data yang dimasukkan harus berupa Angka!" sqref="J36">
      <formula1>-1000000000000000000</formula1>
      <formula2>1000000000000000000</formula2>
    </dataValidation>
    <dataValidation type="decimal" showErrorMessage="1" errorTitle="Kesalahan Jenis Data" error="Data yang dimasukkan harus berupa Angka!" sqref="L36">
      <formula1>-1000000000000000000</formula1>
      <formula2>1000000000000000000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60" orientation="landscape" horizont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view="pageBreakPreview" zoomScale="90" zoomScaleSheetLayoutView="9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F18" sqref="F18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40" style="1" customWidth="1"/>
    <col min="4" max="4" width="30" style="1" customWidth="1"/>
    <col min="5" max="5" width="10" style="1" bestFit="1" customWidth="1"/>
    <col min="6" max="6" width="30" style="1" customWidth="1"/>
    <col min="7" max="7" width="1" style="1" customWidth="1"/>
    <col min="8" max="8" width="9.140625" style="1" customWidth="1"/>
    <col min="9" max="16384" width="9.140625" style="1"/>
  </cols>
  <sheetData>
    <row r="2" spans="2:7" ht="4.9000000000000004" customHeight="1" x14ac:dyDescent="0.25">
      <c r="B2" s="9" t="s">
        <v>353</v>
      </c>
      <c r="C2" s="2"/>
      <c r="D2" s="2"/>
      <c r="E2" s="2"/>
      <c r="F2" s="2"/>
      <c r="G2" s="2"/>
    </row>
    <row r="3" spans="2:7" x14ac:dyDescent="0.25">
      <c r="B3" s="9" t="s">
        <v>6</v>
      </c>
      <c r="C3" s="2"/>
      <c r="D3" s="2"/>
      <c r="E3" s="2"/>
      <c r="F3" s="2"/>
      <c r="G3" s="2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2"/>
      <c r="C5" s="2"/>
      <c r="D5" s="2"/>
      <c r="E5" s="2"/>
      <c r="F5" s="2"/>
      <c r="G5" s="2"/>
    </row>
    <row r="6" spans="2:7" x14ac:dyDescent="0.25">
      <c r="B6" s="2"/>
      <c r="C6" s="2"/>
      <c r="D6" s="2"/>
      <c r="E6" s="2"/>
      <c r="F6" s="2"/>
      <c r="G6" s="2"/>
    </row>
    <row r="7" spans="2:7" ht="17.25" x14ac:dyDescent="0.25">
      <c r="B7" s="2"/>
      <c r="C7" s="46" t="str">
        <f>UPPER('Data Umum'!D7)</f>
        <v>PT. JAMKRIDA SULSEL</v>
      </c>
      <c r="D7" s="46"/>
      <c r="E7" s="46"/>
      <c r="F7" s="46"/>
      <c r="G7" s="2"/>
    </row>
    <row r="8" spans="2:7" x14ac:dyDescent="0.25">
      <c r="B8" s="2"/>
      <c r="C8" s="2"/>
      <c r="D8" s="2"/>
      <c r="E8" s="2"/>
      <c r="F8" s="2"/>
      <c r="G8" s="2"/>
    </row>
    <row r="9" spans="2:7" x14ac:dyDescent="0.25">
      <c r="B9" s="2"/>
      <c r="C9" s="47" t="s">
        <v>354</v>
      </c>
      <c r="D9" s="47"/>
      <c r="E9" s="47"/>
      <c r="F9" s="47"/>
      <c r="G9" s="2"/>
    </row>
    <row r="10" spans="2:7" x14ac:dyDescent="0.25">
      <c r="B10" s="2"/>
      <c r="C10" s="47"/>
      <c r="D10" s="47"/>
      <c r="E10" s="47"/>
      <c r="F10" s="47"/>
      <c r="G10" s="2"/>
    </row>
    <row r="11" spans="2:7" x14ac:dyDescent="0.25">
      <c r="B11" s="2"/>
      <c r="C11" s="48" t="str">
        <f>"Periode "&amp;CONCATENATE("Bulan ", 'Data Umum'!D12, " Tahun ", TEXT('Data Umum'!D11, "YYYY"))</f>
        <v>Periode Bulan Agustus Tahun 2016</v>
      </c>
      <c r="D11" s="48"/>
      <c r="E11" s="48"/>
      <c r="F11" s="48"/>
      <c r="G11" s="2"/>
    </row>
    <row r="12" spans="2:7" x14ac:dyDescent="0.25">
      <c r="B12" s="2"/>
      <c r="C12" s="2"/>
      <c r="D12" s="2"/>
      <c r="E12" s="2"/>
      <c r="F12" s="2"/>
      <c r="G12" s="2"/>
    </row>
    <row r="13" spans="2:7" x14ac:dyDescent="0.25">
      <c r="B13" s="2"/>
      <c r="C13" s="49"/>
      <c r="D13" s="49"/>
      <c r="E13" s="49"/>
      <c r="F13" s="49"/>
      <c r="G13" s="2"/>
    </row>
    <row r="14" spans="2:7" x14ac:dyDescent="0.25">
      <c r="B14" s="2"/>
      <c r="C14" s="50" t="s">
        <v>49</v>
      </c>
      <c r="D14" s="51"/>
      <c r="E14" s="54" t="str">
        <f>"Sandi"</f>
        <v>Sandi</v>
      </c>
      <c r="F14" s="54" t="str">
        <f>"Saldo"</f>
        <v>Saldo</v>
      </c>
      <c r="G14" s="2"/>
    </row>
    <row r="15" spans="2:7" x14ac:dyDescent="0.25">
      <c r="B15" s="2"/>
      <c r="C15" s="52"/>
      <c r="D15" s="53"/>
      <c r="E15" s="55"/>
      <c r="F15" s="55"/>
      <c r="G15" s="2"/>
    </row>
    <row r="16" spans="2:7" x14ac:dyDescent="0.25">
      <c r="B16" s="2"/>
      <c r="C16" s="56" t="s">
        <v>355</v>
      </c>
      <c r="D16" s="51"/>
      <c r="E16" s="13" t="str">
        <f>"9991"</f>
        <v>9991</v>
      </c>
      <c r="F16" s="29"/>
      <c r="G16" s="2"/>
    </row>
    <row r="17" spans="2:7" x14ac:dyDescent="0.25">
      <c r="B17" s="2"/>
      <c r="C17" s="56" t="s">
        <v>356</v>
      </c>
      <c r="D17" s="51"/>
      <c r="E17" s="16">
        <f>IFERROR(E18, 0)+IFERROR(E19, 0)</f>
        <v>19985</v>
      </c>
      <c r="F17" s="16">
        <f>IFERROR(F18, 0)+IFERROR(F19, 0)</f>
        <v>0</v>
      </c>
      <c r="G17" s="2"/>
    </row>
    <row r="18" spans="2:7" x14ac:dyDescent="0.25">
      <c r="B18" s="2"/>
      <c r="C18" s="57" t="s">
        <v>357</v>
      </c>
      <c r="D18" s="58"/>
      <c r="E18" s="13" t="str">
        <f>"9992"</f>
        <v>9992</v>
      </c>
      <c r="F18" s="29"/>
      <c r="G18" s="2"/>
    </row>
    <row r="19" spans="2:7" x14ac:dyDescent="0.25">
      <c r="B19" s="2"/>
      <c r="C19" s="57" t="s">
        <v>358</v>
      </c>
      <c r="D19" s="58"/>
      <c r="E19" s="13" t="str">
        <f>"9993"</f>
        <v>9993</v>
      </c>
      <c r="F19" s="29"/>
      <c r="G19" s="2"/>
    </row>
    <row r="20" spans="2:7" x14ac:dyDescent="0.25">
      <c r="B20" s="2"/>
      <c r="C20" s="56" t="s">
        <v>359</v>
      </c>
      <c r="D20" s="51"/>
      <c r="E20" s="13" t="str">
        <f>"9995"</f>
        <v>9995</v>
      </c>
      <c r="F20" s="14">
        <f>F16+F18-F19</f>
        <v>0</v>
      </c>
      <c r="G20" s="2"/>
    </row>
    <row r="21" spans="2:7" x14ac:dyDescent="0.25">
      <c r="B21" s="2"/>
      <c r="C21" s="2"/>
      <c r="D21" s="2"/>
      <c r="E21" s="2"/>
      <c r="F21" s="2"/>
      <c r="G21" s="2"/>
    </row>
    <row r="22" spans="2:7" ht="4.9000000000000004" customHeight="1" x14ac:dyDescent="0.25">
      <c r="B22" s="2"/>
      <c r="C22" s="2"/>
      <c r="D22" s="2"/>
      <c r="E22" s="2"/>
      <c r="F22" s="2"/>
      <c r="G22" s="2"/>
    </row>
  </sheetData>
  <sheetProtection password="BBAF" sheet="1" formatColumns="0" selectLockedCells="1"/>
  <mergeCells count="13">
    <mergeCell ref="C14:D15"/>
    <mergeCell ref="E14:E15"/>
    <mergeCell ref="F14:F15"/>
    <mergeCell ref="C16:D16"/>
    <mergeCell ref="C20:D20"/>
    <mergeCell ref="C17:D17"/>
    <mergeCell ref="C18:D18"/>
    <mergeCell ref="C19:D19"/>
    <mergeCell ref="C7:F7"/>
    <mergeCell ref="C9:F9"/>
    <mergeCell ref="C10:F10"/>
    <mergeCell ref="C11:F11"/>
    <mergeCell ref="C13:F13"/>
  </mergeCells>
  <dataValidations count="3">
    <dataValidation type="decimal" showErrorMessage="1" errorTitle="Kesalahan Jenis Data" error="Data yang dimasukkan harus berupa Angka!" sqref="F16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</dataValidations>
  <pageMargins left="0.7" right="0.7" top="0.75" bottom="0.75" header="0.3" footer="0.3"/>
  <pageSetup paperSize="9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"/>
  <sheetViews>
    <sheetView showGridLines="0" view="pageBreakPreview" topLeftCell="A13" zoomScale="60" workbookViewId="0"/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50" style="1" customWidth="1"/>
    <col min="4" max="5" width="25" style="1" customWidth="1"/>
    <col min="6" max="6" width="1" style="1" customWidth="1"/>
    <col min="7" max="7" width="9.140625" style="1" customWidth="1"/>
    <col min="8" max="16384" width="9.140625" style="1"/>
  </cols>
  <sheetData>
    <row r="2" spans="2:6" ht="4.9000000000000004" customHeight="1" x14ac:dyDescent="0.25">
      <c r="B2" s="2"/>
      <c r="C2" s="2"/>
      <c r="D2" s="2"/>
      <c r="E2" s="2"/>
      <c r="F2" s="2"/>
    </row>
    <row r="3" spans="2:6" x14ac:dyDescent="0.25">
      <c r="B3" s="2"/>
      <c r="C3" s="2"/>
      <c r="D3" s="2"/>
      <c r="E3" s="2"/>
      <c r="F3" s="2"/>
    </row>
    <row r="4" spans="2:6" x14ac:dyDescent="0.25">
      <c r="B4" s="2"/>
      <c r="C4" s="2"/>
      <c r="D4" s="2"/>
      <c r="E4" s="2"/>
      <c r="F4" s="2"/>
    </row>
    <row r="5" spans="2:6" x14ac:dyDescent="0.25">
      <c r="B5" s="2"/>
      <c r="C5" s="2"/>
      <c r="D5" s="2"/>
      <c r="E5" s="2"/>
      <c r="F5" s="2"/>
    </row>
    <row r="6" spans="2:6" x14ac:dyDescent="0.25">
      <c r="B6" s="2"/>
      <c r="C6" s="2"/>
      <c r="D6" s="2"/>
      <c r="E6" s="2"/>
      <c r="F6" s="2"/>
    </row>
    <row r="7" spans="2:6" ht="15.75" x14ac:dyDescent="0.25">
      <c r="B7" s="2"/>
      <c r="C7" s="10" t="s">
        <v>29</v>
      </c>
      <c r="D7" s="2"/>
      <c r="E7" s="2"/>
      <c r="F7" s="2"/>
    </row>
    <row r="8" spans="2:6" x14ac:dyDescent="0.25">
      <c r="B8" s="2"/>
      <c r="C8" s="2"/>
      <c r="D8" s="2"/>
      <c r="E8" s="2"/>
      <c r="F8" s="2"/>
    </row>
    <row r="9" spans="2:6" ht="17.25" x14ac:dyDescent="0.25">
      <c r="B9" s="2"/>
      <c r="C9" s="11" t="s">
        <v>30</v>
      </c>
      <c r="D9" s="2"/>
      <c r="E9" s="2"/>
      <c r="F9" s="2"/>
    </row>
    <row r="10" spans="2:6" ht="15.75" x14ac:dyDescent="0.25">
      <c r="B10" s="2"/>
      <c r="C10" s="10" t="s">
        <v>31</v>
      </c>
      <c r="D10" s="2"/>
      <c r="E10" s="2"/>
      <c r="F10" s="2"/>
    </row>
    <row r="11" spans="2:6" ht="15.75" x14ac:dyDescent="0.25">
      <c r="B11" s="2"/>
      <c r="C11" s="10" t="s">
        <v>32</v>
      </c>
      <c r="D11" s="2"/>
      <c r="E11" s="2"/>
      <c r="F11" s="2"/>
    </row>
    <row r="12" spans="2:6" ht="15.75" x14ac:dyDescent="0.25">
      <c r="B12" s="2"/>
      <c r="C12" s="10" t="s">
        <v>33</v>
      </c>
      <c r="D12" s="2"/>
      <c r="E12" s="2"/>
      <c r="F12" s="2"/>
    </row>
    <row r="13" spans="2:6" ht="15.75" x14ac:dyDescent="0.25">
      <c r="B13" s="2"/>
      <c r="C13" s="10" t="s">
        <v>34</v>
      </c>
      <c r="D13" s="2"/>
      <c r="E13" s="2"/>
      <c r="F13" s="2"/>
    </row>
    <row r="14" spans="2:6" x14ac:dyDescent="0.25">
      <c r="B14" s="2"/>
      <c r="C14" s="2"/>
      <c r="D14" s="2"/>
      <c r="E14" s="2"/>
      <c r="F14" s="2"/>
    </row>
    <row r="15" spans="2:6" x14ac:dyDescent="0.25">
      <c r="B15" s="2"/>
      <c r="C15" s="2"/>
      <c r="D15" s="2"/>
      <c r="E15" s="2"/>
      <c r="F15" s="2"/>
    </row>
    <row r="16" spans="2:6" x14ac:dyDescent="0.25">
      <c r="B16" s="2"/>
      <c r="C16" s="2"/>
      <c r="D16" s="2"/>
      <c r="E16" s="2"/>
      <c r="F16" s="2"/>
    </row>
    <row r="17" spans="2:6" x14ac:dyDescent="0.25">
      <c r="B17" s="2"/>
      <c r="C17" s="2"/>
      <c r="D17" s="2"/>
      <c r="E17" s="2"/>
      <c r="F17" s="2"/>
    </row>
    <row r="18" spans="2:6" x14ac:dyDescent="0.25">
      <c r="B18" s="2"/>
      <c r="C18" s="2"/>
      <c r="D18" s="2"/>
      <c r="E18" s="2"/>
      <c r="F18" s="2"/>
    </row>
    <row r="19" spans="2:6" x14ac:dyDescent="0.25">
      <c r="B19" s="2"/>
      <c r="C19" s="2"/>
      <c r="D19" s="2"/>
      <c r="E19" s="2"/>
      <c r="F19" s="2"/>
    </row>
    <row r="20" spans="2:6" ht="26.25" x14ac:dyDescent="0.25">
      <c r="B20" s="2"/>
      <c r="C20" s="44" t="s">
        <v>35</v>
      </c>
      <c r="D20" s="44"/>
      <c r="E20" s="44"/>
      <c r="F20" s="2"/>
    </row>
    <row r="21" spans="2:6" x14ac:dyDescent="0.25">
      <c r="B21" s="2"/>
      <c r="C21" s="2"/>
      <c r="D21" s="2"/>
      <c r="E21" s="2"/>
      <c r="F21" s="2"/>
    </row>
    <row r="22" spans="2:6" ht="18.75" x14ac:dyDescent="0.25">
      <c r="B22" s="2"/>
      <c r="C22" s="45" t="str">
        <f>""</f>
        <v/>
      </c>
      <c r="D22" s="45"/>
      <c r="E22" s="45"/>
      <c r="F22" s="2"/>
    </row>
    <row r="23" spans="2:6" x14ac:dyDescent="0.25">
      <c r="B23" s="2"/>
      <c r="C23" s="2"/>
      <c r="D23" s="2"/>
      <c r="E23" s="2"/>
      <c r="F23" s="2"/>
    </row>
    <row r="24" spans="2:6" x14ac:dyDescent="0.25">
      <c r="B24" s="2"/>
      <c r="C24" s="2"/>
      <c r="D24" s="2"/>
      <c r="E24" s="2"/>
      <c r="F24" s="2"/>
    </row>
    <row r="25" spans="2:6" x14ac:dyDescent="0.25">
      <c r="B25" s="2"/>
      <c r="C25" s="2"/>
      <c r="D25" s="2"/>
      <c r="E25" s="2"/>
      <c r="F25" s="2"/>
    </row>
    <row r="26" spans="2:6" x14ac:dyDescent="0.25">
      <c r="B26" s="2"/>
      <c r="C26" s="2"/>
      <c r="D26" s="2"/>
      <c r="E26" s="2"/>
      <c r="F26" s="2"/>
    </row>
    <row r="27" spans="2:6" x14ac:dyDescent="0.25">
      <c r="B27" s="2"/>
      <c r="C27" s="2"/>
      <c r="D27" s="2"/>
      <c r="E27" s="2"/>
      <c r="F27" s="2"/>
    </row>
    <row r="28" spans="2:6" x14ac:dyDescent="0.25">
      <c r="B28" s="2"/>
      <c r="C28" s="2"/>
      <c r="D28" s="2"/>
      <c r="E28" s="2"/>
      <c r="F28" s="2"/>
    </row>
    <row r="29" spans="2:6" x14ac:dyDescent="0.25">
      <c r="B29" s="2"/>
      <c r="C29" s="2"/>
      <c r="D29" s="2"/>
      <c r="E29" s="2"/>
      <c r="F29" s="2"/>
    </row>
    <row r="30" spans="2:6" ht="15.75" x14ac:dyDescent="0.25">
      <c r="B30" s="2"/>
      <c r="C30" s="43" t="str">
        <f xml:space="preserve"> UPPER('Data Umum'!D7)</f>
        <v>PT. JAMKRIDA SULSEL</v>
      </c>
      <c r="D30" s="43"/>
      <c r="E30" s="43"/>
      <c r="F30" s="2"/>
    </row>
    <row r="31" spans="2:6" ht="15.75" x14ac:dyDescent="0.25">
      <c r="B31" s="2"/>
      <c r="C31" s="43" t="str">
        <f>IF('Data Umum'!D8=0, "", 'Data Umum'!D8)</f>
        <v>Ruko Latimojong Square Jl. Niko Blok H No. 21</v>
      </c>
      <c r="D31" s="43"/>
      <c r="E31" s="43"/>
      <c r="F31" s="2"/>
    </row>
    <row r="32" spans="2:6" ht="15.75" x14ac:dyDescent="0.25">
      <c r="B32" s="2"/>
      <c r="C32" s="43" t="str">
        <f>IF('Data Umum'!D9=0, "", 'Data Umum'!D9)</f>
        <v>Makassar</v>
      </c>
      <c r="D32" s="43"/>
      <c r="E32" s="43"/>
      <c r="F32" s="2"/>
    </row>
    <row r="33" spans="2:6" ht="15.75" x14ac:dyDescent="0.25">
      <c r="B33" s="2"/>
      <c r="C33" s="43" t="str">
        <f>IF('Data Umum'!D10=0, "", 'Data Umum'!D10)</f>
        <v/>
      </c>
      <c r="D33" s="43"/>
      <c r="E33" s="43"/>
      <c r="F33" s="2"/>
    </row>
    <row r="34" spans="2:6" x14ac:dyDescent="0.25">
      <c r="B34" s="2"/>
      <c r="C34" s="2"/>
      <c r="D34" s="2"/>
      <c r="E34" s="2"/>
      <c r="F34" s="2"/>
    </row>
    <row r="35" spans="2:6" x14ac:dyDescent="0.25">
      <c r="B35" s="2"/>
      <c r="C35" s="2"/>
      <c r="D35" s="2"/>
      <c r="E35" s="2"/>
      <c r="F35" s="2"/>
    </row>
    <row r="36" spans="2:6" x14ac:dyDescent="0.25">
      <c r="B36" s="2"/>
      <c r="C36" s="2"/>
      <c r="D36" s="2"/>
      <c r="E36" s="2"/>
      <c r="F36" s="2"/>
    </row>
    <row r="37" spans="2:6" x14ac:dyDescent="0.25">
      <c r="B37" s="2"/>
      <c r="C37" s="2"/>
      <c r="D37" s="2"/>
      <c r="E37" s="2"/>
      <c r="F37" s="2"/>
    </row>
    <row r="38" spans="2:6" x14ac:dyDescent="0.25">
      <c r="B38" s="2"/>
      <c r="C38" s="2"/>
      <c r="D38" s="2"/>
      <c r="E38" s="2"/>
      <c r="F38" s="2"/>
    </row>
    <row r="39" spans="2:6" x14ac:dyDescent="0.25">
      <c r="B39" s="2"/>
      <c r="C39" s="2"/>
      <c r="D39" s="2"/>
      <c r="E39" s="2"/>
      <c r="F39" s="2"/>
    </row>
    <row r="40" spans="2:6" x14ac:dyDescent="0.25">
      <c r="B40" s="2"/>
      <c r="C40" s="2"/>
      <c r="D40" s="2"/>
      <c r="E40" s="2"/>
      <c r="F40" s="2"/>
    </row>
    <row r="41" spans="2:6" x14ac:dyDescent="0.25">
      <c r="B41" s="2"/>
      <c r="C41" s="2"/>
      <c r="D41" s="2"/>
      <c r="E41" s="2"/>
      <c r="F41" s="2"/>
    </row>
    <row r="42" spans="2:6" x14ac:dyDescent="0.25">
      <c r="B42" s="2"/>
      <c r="C42" s="2"/>
      <c r="D42" s="2"/>
      <c r="E42" s="2"/>
      <c r="F42" s="2"/>
    </row>
    <row r="43" spans="2:6" x14ac:dyDescent="0.25">
      <c r="B43" s="2"/>
      <c r="C43" s="2"/>
      <c r="D43" s="2"/>
      <c r="E43" s="2"/>
      <c r="F43" s="2"/>
    </row>
    <row r="44" spans="2:6" x14ac:dyDescent="0.25">
      <c r="B44" s="2"/>
      <c r="C44" s="2"/>
      <c r="D44" s="2"/>
      <c r="E44" s="2"/>
      <c r="F44" s="2"/>
    </row>
    <row r="45" spans="2:6" x14ac:dyDescent="0.25">
      <c r="B45" s="2"/>
      <c r="C45" s="2"/>
      <c r="D45" s="2"/>
      <c r="E45" s="2"/>
      <c r="F45" s="2"/>
    </row>
    <row r="46" spans="2:6" x14ac:dyDescent="0.25">
      <c r="B46" s="2"/>
      <c r="C46" s="2"/>
      <c r="D46" s="2"/>
      <c r="E46" s="2"/>
      <c r="F46" s="2"/>
    </row>
    <row r="47" spans="2:6" x14ac:dyDescent="0.25">
      <c r="B47" s="2"/>
      <c r="C47" s="2"/>
      <c r="D47" s="2"/>
      <c r="E47" s="2"/>
      <c r="F47" s="2"/>
    </row>
    <row r="48" spans="2:6" x14ac:dyDescent="0.25">
      <c r="B48" s="2"/>
      <c r="C48" s="2"/>
      <c r="D48" s="2"/>
      <c r="E48" s="2"/>
      <c r="F48" s="2"/>
    </row>
    <row r="49" spans="2:6" ht="4.9000000000000004" customHeight="1" x14ac:dyDescent="0.25">
      <c r="B49" s="2"/>
      <c r="C49" s="2"/>
      <c r="D49" s="2"/>
      <c r="E49" s="2"/>
      <c r="F49" s="2"/>
    </row>
  </sheetData>
  <sheetProtection password="BBAF" sheet="1" formatColumns="0" selectLockedCells="1"/>
  <mergeCells count="6">
    <mergeCell ref="C33:E33"/>
    <mergeCell ref="C20:E20"/>
    <mergeCell ref="C22:E22"/>
    <mergeCell ref="C30:E30"/>
    <mergeCell ref="C31:E31"/>
    <mergeCell ref="C32:E32"/>
  </mergeCells>
  <pageMargins left="0.7" right="0.7" top="0.75" bottom="0.75" header="0.3" footer="0.3"/>
  <pageSetup paperSize="9" scale="78" orientation="portrait" horizontalDpi="4294967294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showGridLines="0" view="pageBreakPreview" zoomScaleNormal="70" zoomScaleSheetLayoutView="10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H19" sqref="H19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40" style="1" customWidth="1"/>
    <col min="4" max="4" width="30" style="1" customWidth="1"/>
    <col min="5" max="5" width="19.7109375" style="1" customWidth="1"/>
    <col min="6" max="6" width="14.7109375" style="1" bestFit="1" customWidth="1"/>
    <col min="7" max="7" width="17" style="1" bestFit="1" customWidth="1"/>
    <col min="8" max="8" width="19" style="1" customWidth="1"/>
    <col min="9" max="9" width="7.7109375" style="1" bestFit="1" customWidth="1"/>
    <col min="10" max="10" width="16.85546875" style="1" customWidth="1"/>
    <col min="11" max="11" width="8" style="1" bestFit="1" customWidth="1"/>
    <col min="12" max="12" width="7.7109375" style="1" bestFit="1" customWidth="1"/>
    <col min="13" max="13" width="8" style="1" bestFit="1" customWidth="1"/>
    <col min="14" max="14" width="1" style="1" customWidth="1"/>
    <col min="15" max="15" width="9.140625" style="1" customWidth="1"/>
    <col min="16" max="16384" width="9.140625" style="1"/>
  </cols>
  <sheetData>
    <row r="2" spans="2:14" ht="4.9000000000000004" customHeight="1" x14ac:dyDescent="0.25">
      <c r="B2" s="9" t="s">
        <v>360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2:14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2"/>
    </row>
    <row r="8" spans="2:14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x14ac:dyDescent="0.25">
      <c r="B9" s="2"/>
      <c r="C9" s="47" t="s">
        <v>361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2"/>
    </row>
    <row r="10" spans="2:14" x14ac:dyDescent="0.25">
      <c r="B10" s="2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2"/>
    </row>
    <row r="11" spans="2:14" x14ac:dyDescent="0.25">
      <c r="B11" s="2"/>
      <c r="C11" s="48" t="str">
        <f>"Per "&amp;CONCATENATE("Bulan ", 'Data Umum'!D12, " Tahun ", TEXT('Data Umum'!D11, "YYYY"))</f>
        <v>Per Bulan Agustus Tahun 2016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2"/>
    </row>
    <row r="12" spans="2:14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 x14ac:dyDescent="0.25">
      <c r="B13" s="2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2"/>
    </row>
    <row r="14" spans="2:14" x14ac:dyDescent="0.25">
      <c r="B14" s="2"/>
      <c r="C14" s="50" t="s">
        <v>362</v>
      </c>
      <c r="D14" s="51"/>
      <c r="E14" s="50" t="str">
        <f>"Aset01)"</f>
        <v>Aset01)</v>
      </c>
      <c r="F14" s="68"/>
      <c r="G14" s="51"/>
      <c r="H14" s="50" t="str">
        <f>"Liabilitas01)"</f>
        <v>Liabilitas01)</v>
      </c>
      <c r="I14" s="68"/>
      <c r="J14" s="51"/>
      <c r="K14" s="50" t="str">
        <f>"Rasio Aset Terhadap Liabilitas2)"</f>
        <v>Rasio Aset Terhadap Liabilitas2)</v>
      </c>
      <c r="L14" s="68"/>
      <c r="M14" s="51"/>
      <c r="N14" s="2"/>
    </row>
    <row r="15" spans="2:14" x14ac:dyDescent="0.25">
      <c r="B15" s="2"/>
      <c r="C15" s="52"/>
      <c r="D15" s="53"/>
      <c r="E15" s="54" t="str">
        <f>"Rupiah"</f>
        <v>Rupiah</v>
      </c>
      <c r="F15" s="54" t="str">
        <f>"Valas3)"</f>
        <v>Valas3)</v>
      </c>
      <c r="G15" s="54" t="str">
        <f>"Total"</f>
        <v>Total</v>
      </c>
      <c r="H15" s="54" t="str">
        <f>"Rupiah"</f>
        <v>Rupiah</v>
      </c>
      <c r="I15" s="54" t="str">
        <f>"Valas3)"</f>
        <v>Valas3)</v>
      </c>
      <c r="J15" s="54" t="str">
        <f>"Total"</f>
        <v>Total</v>
      </c>
      <c r="K15" s="54" t="str">
        <f>"Rupiah"</f>
        <v>Rupiah</v>
      </c>
      <c r="L15" s="54" t="str">
        <f>"Valas3)"</f>
        <v>Valas3)</v>
      </c>
      <c r="M15" s="54" t="str">
        <f>"Total"</f>
        <v>Total</v>
      </c>
      <c r="N15" s="2"/>
    </row>
    <row r="16" spans="2:14" x14ac:dyDescent="0.25">
      <c r="B16" s="2"/>
      <c r="C16" s="56" t="s">
        <v>363</v>
      </c>
      <c r="D16" s="51"/>
      <c r="E16" s="29"/>
      <c r="F16" s="61">
        <v>0</v>
      </c>
      <c r="G16" s="14">
        <f>E16+F16</f>
        <v>0</v>
      </c>
      <c r="H16" s="29"/>
      <c r="I16" s="61">
        <v>0</v>
      </c>
      <c r="J16" s="14">
        <f>H16+I16</f>
        <v>0</v>
      </c>
      <c r="K16" s="14">
        <f t="shared" ref="K16:M19" si="0">IFERROR(TEXT((E16/H16),"0.00%"),0)</f>
        <v>0</v>
      </c>
      <c r="L16" s="14">
        <f t="shared" si="0"/>
        <v>0</v>
      </c>
      <c r="M16" s="14">
        <f t="shared" si="0"/>
        <v>0</v>
      </c>
      <c r="N16" s="2"/>
    </row>
    <row r="17" spans="2:14" x14ac:dyDescent="0.25">
      <c r="B17" s="2"/>
      <c r="C17" s="56" t="s">
        <v>364</v>
      </c>
      <c r="D17" s="51"/>
      <c r="E17" s="29"/>
      <c r="F17" s="61">
        <v>0</v>
      </c>
      <c r="G17" s="14">
        <f>E17+F17</f>
        <v>0</v>
      </c>
      <c r="H17" s="29"/>
      <c r="I17" s="61">
        <v>0</v>
      </c>
      <c r="J17" s="14">
        <f>H17+I17</f>
        <v>0</v>
      </c>
      <c r="K17" s="14">
        <f t="shared" si="0"/>
        <v>0</v>
      </c>
      <c r="L17" s="14">
        <f t="shared" si="0"/>
        <v>0</v>
      </c>
      <c r="M17" s="14">
        <f t="shared" si="0"/>
        <v>0</v>
      </c>
      <c r="N17" s="2"/>
    </row>
    <row r="18" spans="2:14" x14ac:dyDescent="0.25">
      <c r="B18" s="2"/>
      <c r="C18" s="56" t="s">
        <v>365</v>
      </c>
      <c r="D18" s="51"/>
      <c r="E18" s="29"/>
      <c r="F18" s="61">
        <v>0</v>
      </c>
      <c r="G18" s="14">
        <f>E18+F18</f>
        <v>0</v>
      </c>
      <c r="H18" s="29"/>
      <c r="I18" s="61">
        <v>0</v>
      </c>
      <c r="J18" s="14">
        <f>H18+I18</f>
        <v>0</v>
      </c>
      <c r="K18" s="14">
        <f t="shared" si="0"/>
        <v>0</v>
      </c>
      <c r="L18" s="14">
        <f t="shared" si="0"/>
        <v>0</v>
      </c>
      <c r="M18" s="14">
        <f t="shared" si="0"/>
        <v>0</v>
      </c>
      <c r="N18" s="2"/>
    </row>
    <row r="19" spans="2:14" x14ac:dyDescent="0.25">
      <c r="B19" s="2"/>
      <c r="C19" s="56" t="s">
        <v>366</v>
      </c>
      <c r="D19" s="51"/>
      <c r="E19" s="61"/>
      <c r="F19" s="61"/>
      <c r="G19" s="14">
        <f>E19+F19</f>
        <v>0</v>
      </c>
      <c r="H19" s="61"/>
      <c r="I19" s="61">
        <v>0</v>
      </c>
      <c r="J19" s="14">
        <f>H19+I19</f>
        <v>0</v>
      </c>
      <c r="K19" s="14">
        <f t="shared" si="0"/>
        <v>0</v>
      </c>
      <c r="L19" s="14">
        <f t="shared" si="0"/>
        <v>0</v>
      </c>
      <c r="M19" s="14">
        <f t="shared" si="0"/>
        <v>0</v>
      </c>
      <c r="N19" s="2"/>
    </row>
    <row r="20" spans="2:14" x14ac:dyDescent="0.25">
      <c r="B20" s="2"/>
      <c r="C20" s="56" t="s">
        <v>131</v>
      </c>
      <c r="D20" s="51"/>
      <c r="E20" s="14">
        <f t="shared" ref="E20:J20" si="1">SUM(E16:E19)</f>
        <v>0</v>
      </c>
      <c r="F20" s="14">
        <f t="shared" si="1"/>
        <v>0</v>
      </c>
      <c r="G20" s="14">
        <f t="shared" si="1"/>
        <v>0</v>
      </c>
      <c r="H20" s="14">
        <f t="shared" si="1"/>
        <v>0</v>
      </c>
      <c r="I20" s="14">
        <f t="shared" si="1"/>
        <v>0</v>
      </c>
      <c r="J20" s="14">
        <f t="shared" si="1"/>
        <v>0</v>
      </c>
      <c r="K20" s="14" t="str">
        <f>TEXT(IFERROR((E20/H20),0),"0.00%")</f>
        <v>000%</v>
      </c>
      <c r="L20" s="14" t="str">
        <f>TEXT(IFERROR((F20/I20),0),"0.00%")</f>
        <v>000%</v>
      </c>
      <c r="M20" s="14" t="str">
        <f>TEXT(IFERROR((G20/J20),0),"0.00%")</f>
        <v>000%</v>
      </c>
      <c r="N20" s="2"/>
    </row>
    <row r="21" spans="2:14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ht="4.9000000000000004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</sheetData>
  <sheetProtection password="BBAF" sheet="1" formatColumns="0" selectLockedCells="1"/>
  <mergeCells count="33">
    <mergeCell ref="C20:D20"/>
    <mergeCell ref="C19:D19"/>
    <mergeCell ref="E19"/>
    <mergeCell ref="F19"/>
    <mergeCell ref="H19"/>
    <mergeCell ref="I17"/>
    <mergeCell ref="I19"/>
    <mergeCell ref="C18:D18"/>
    <mergeCell ref="F18"/>
    <mergeCell ref="I18"/>
    <mergeCell ref="C17:D17"/>
    <mergeCell ref="F17"/>
    <mergeCell ref="C16:D16"/>
    <mergeCell ref="F16"/>
    <mergeCell ref="L15"/>
    <mergeCell ref="K14:M14"/>
    <mergeCell ref="M15"/>
    <mergeCell ref="H15"/>
    <mergeCell ref="I15"/>
    <mergeCell ref="J15"/>
    <mergeCell ref="H14:J14"/>
    <mergeCell ref="K15"/>
    <mergeCell ref="C14:D15"/>
    <mergeCell ref="I16"/>
    <mergeCell ref="G15"/>
    <mergeCell ref="E14:G14"/>
    <mergeCell ref="E15"/>
    <mergeCell ref="F15"/>
    <mergeCell ref="C7:M7"/>
    <mergeCell ref="C9:M9"/>
    <mergeCell ref="C10:M10"/>
    <mergeCell ref="C11:M11"/>
    <mergeCell ref="C13:M13"/>
  </mergeCells>
  <dataValidations count="16">
    <dataValidation type="decimal" showErrorMessage="1" errorTitle="Kesalahan Jenis Data" error="Data yang dimasukkan harus berupa Angka!" sqref="E16">
      <formula1>-1000000000000000000</formula1>
      <formula2>1000000000000000000</formula2>
    </dataValidation>
    <dataValidation type="decimal" showErrorMessage="1" errorTitle="Kesalahan Jenis Data" error="Data yang dimasukkan harus berupa Angka!" sqref="F16">
      <formula1>-1000000000000000000</formula1>
      <formula2>1000000000000000000</formula2>
    </dataValidation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E17">
      <formula1>-1000000000000000000</formula1>
      <formula2>1000000000000000000</formula2>
    </dataValidation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E18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E19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65" orientation="landscape" horizont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showGridLines="0" view="pageBreakPreview" zoomScale="85" zoomScaleSheetLayoutView="85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40" style="1" customWidth="1"/>
    <col min="4" max="4" width="30" style="1" customWidth="1"/>
    <col min="5" max="5" width="9.28515625" style="1" bestFit="1" customWidth="1"/>
    <col min="6" max="6" width="8.140625" style="1" bestFit="1" customWidth="1"/>
    <col min="7" max="7" width="7.7109375" style="1" bestFit="1" customWidth="1"/>
    <col min="8" max="8" width="1" style="1" customWidth="1"/>
    <col min="9" max="9" width="9.140625" style="1" customWidth="1"/>
    <col min="10" max="16384" width="9.140625" style="1"/>
  </cols>
  <sheetData>
    <row r="2" spans="2:8" ht="4.9000000000000004" customHeight="1" x14ac:dyDescent="0.25">
      <c r="B2" s="9" t="s">
        <v>367</v>
      </c>
      <c r="C2" s="2"/>
      <c r="D2" s="2"/>
      <c r="E2" s="2"/>
      <c r="F2" s="2"/>
      <c r="G2" s="2"/>
      <c r="H2" s="2"/>
    </row>
    <row r="3" spans="2:8" x14ac:dyDescent="0.25">
      <c r="B3" s="9" t="s">
        <v>6</v>
      </c>
      <c r="C3" s="2"/>
      <c r="D3" s="2"/>
      <c r="E3" s="2"/>
      <c r="F3" s="2"/>
      <c r="G3" s="2"/>
      <c r="H3" s="2"/>
    </row>
    <row r="4" spans="2:8" x14ac:dyDescent="0.25">
      <c r="B4" s="2"/>
      <c r="C4" s="2"/>
      <c r="D4" s="2"/>
      <c r="E4" s="2"/>
      <c r="F4" s="2"/>
      <c r="G4" s="2"/>
      <c r="H4" s="2"/>
    </row>
    <row r="5" spans="2:8" x14ac:dyDescent="0.25">
      <c r="B5" s="2"/>
      <c r="C5" s="2"/>
      <c r="D5" s="2"/>
      <c r="E5" s="2"/>
      <c r="F5" s="2"/>
      <c r="G5" s="2"/>
      <c r="H5" s="2"/>
    </row>
    <row r="6" spans="2:8" x14ac:dyDescent="0.25">
      <c r="B6" s="2"/>
      <c r="C6" s="2"/>
      <c r="D6" s="2"/>
      <c r="E6" s="2"/>
      <c r="F6" s="2"/>
      <c r="G6" s="2"/>
      <c r="H6" s="2"/>
    </row>
    <row r="7" spans="2:8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2"/>
    </row>
    <row r="8" spans="2:8" x14ac:dyDescent="0.25">
      <c r="B8" s="2"/>
      <c r="C8" s="2"/>
      <c r="D8" s="2"/>
      <c r="E8" s="2"/>
      <c r="F8" s="2"/>
      <c r="G8" s="2"/>
      <c r="H8" s="2"/>
    </row>
    <row r="9" spans="2:8" x14ac:dyDescent="0.25">
      <c r="B9" s="2"/>
      <c r="C9" s="47" t="s">
        <v>368</v>
      </c>
      <c r="D9" s="47"/>
      <c r="E9" s="47"/>
      <c r="F9" s="47"/>
      <c r="G9" s="47"/>
      <c r="H9" s="2"/>
    </row>
    <row r="10" spans="2:8" x14ac:dyDescent="0.25">
      <c r="B10" s="2"/>
      <c r="C10" s="47"/>
      <c r="D10" s="47"/>
      <c r="E10" s="47"/>
      <c r="F10" s="47"/>
      <c r="G10" s="47"/>
      <c r="H10" s="2"/>
    </row>
    <row r="11" spans="2:8" x14ac:dyDescent="0.25">
      <c r="B11" s="2"/>
      <c r="C11" s="48" t="str">
        <f>"Per "&amp;CONCATENATE("Bulan ", 'Data Umum'!D12, " Tahun ", TEXT('Data Umum'!D11, "YYYY"))</f>
        <v>Per Bulan Agustus Tahun 2016</v>
      </c>
      <c r="D11" s="48"/>
      <c r="E11" s="48"/>
      <c r="F11" s="48"/>
      <c r="G11" s="48"/>
      <c r="H11" s="2"/>
    </row>
    <row r="12" spans="2:8" x14ac:dyDescent="0.25">
      <c r="B12" s="2"/>
      <c r="C12" s="2"/>
      <c r="D12" s="2"/>
      <c r="E12" s="2"/>
      <c r="F12" s="2"/>
      <c r="G12" s="2"/>
      <c r="H12" s="2"/>
    </row>
    <row r="13" spans="2:8" x14ac:dyDescent="0.25">
      <c r="B13" s="2"/>
      <c r="C13" s="49"/>
      <c r="D13" s="49"/>
      <c r="E13" s="49"/>
      <c r="F13" s="49"/>
      <c r="G13" s="49"/>
      <c r="H13" s="2"/>
    </row>
    <row r="14" spans="2:8" x14ac:dyDescent="0.25">
      <c r="B14" s="2"/>
      <c r="C14" s="50" t="s">
        <v>49</v>
      </c>
      <c r="D14" s="51"/>
      <c r="E14" s="54" t="str">
        <f>"Rupiah 2)"</f>
        <v>Rupiah 2)</v>
      </c>
      <c r="F14" s="54" t="str">
        <f>"Valas 2)"</f>
        <v>Valas 2)</v>
      </c>
      <c r="G14" s="54" t="str">
        <f>"Total 2)"</f>
        <v>Total 2)</v>
      </c>
      <c r="H14" s="2"/>
    </row>
    <row r="15" spans="2:8" x14ac:dyDescent="0.25">
      <c r="B15" s="2"/>
      <c r="C15" s="52"/>
      <c r="D15" s="53"/>
      <c r="E15" s="55"/>
      <c r="F15" s="55"/>
      <c r="G15" s="55"/>
      <c r="H15" s="2"/>
    </row>
    <row r="16" spans="2:8" x14ac:dyDescent="0.25">
      <c r="B16" s="2"/>
      <c r="C16" s="56" t="s">
        <v>369</v>
      </c>
      <c r="D16" s="51"/>
      <c r="E16" s="15">
        <f>IFERROR(LAKALPJ!E16/SUM(LAKALPJ!E17:E19),0)</f>
        <v>0</v>
      </c>
      <c r="F16" s="15">
        <f>IFERROR(LAKALPJ!F16/SUM(LAKALPJ!F17:F19),0)</f>
        <v>0</v>
      </c>
      <c r="G16" s="14">
        <f>E16+F16</f>
        <v>0</v>
      </c>
      <c r="H16" s="2"/>
    </row>
    <row r="17" spans="2:8" x14ac:dyDescent="0.25">
      <c r="B17" s="2"/>
      <c r="C17" s="56" t="s">
        <v>370</v>
      </c>
      <c r="D17" s="51"/>
      <c r="E17" s="15">
        <f>IFERROR(LAKALPJ!H16/SUM(LAKALPJ!H17:H19),0)</f>
        <v>0</v>
      </c>
      <c r="F17" s="15">
        <f>IFERROR(LAKALPJ!I16/SUM(LAKALPJ!I17:I19),0)</f>
        <v>0</v>
      </c>
      <c r="G17" s="14">
        <f>E17+F17</f>
        <v>0</v>
      </c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ht="4.9000000000000004" customHeight="1" x14ac:dyDescent="0.25">
      <c r="B19" s="2"/>
      <c r="C19" s="2"/>
      <c r="D19" s="2"/>
      <c r="E19" s="2"/>
      <c r="F19" s="2"/>
      <c r="G19" s="2"/>
      <c r="H19" s="2"/>
    </row>
  </sheetData>
  <sheetProtection password="BBAF" sheet="1" formatColumns="0" selectLockedCells="1"/>
  <mergeCells count="11">
    <mergeCell ref="C17:D17"/>
    <mergeCell ref="C14:D15"/>
    <mergeCell ref="E14:E15"/>
    <mergeCell ref="F14:F15"/>
    <mergeCell ref="G14:G15"/>
    <mergeCell ref="C16:D16"/>
    <mergeCell ref="C7:G7"/>
    <mergeCell ref="C9:G9"/>
    <mergeCell ref="C10:G10"/>
    <mergeCell ref="C11:G11"/>
    <mergeCell ref="C13:G13"/>
  </mergeCells>
  <pageMargins left="0.7" right="0.7" top="0.75" bottom="0.75" header="0.3" footer="0.3"/>
  <pageSetup paperSize="9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showGridLines="0" view="pageBreakPreview" zoomScale="60" workbookViewId="0"/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10" style="1" customWidth="1"/>
    <col min="4" max="4" width="20" style="1" customWidth="1"/>
    <col min="5" max="6" width="50" style="1" customWidth="1"/>
    <col min="7" max="7" width="20" style="1" customWidth="1"/>
    <col min="8" max="8" width="1" style="1" customWidth="1"/>
    <col min="9" max="9" width="9.140625" style="1" customWidth="1"/>
    <col min="10" max="16384" width="9.140625" style="1"/>
  </cols>
  <sheetData>
    <row r="2" spans="2:8" ht="4.9000000000000004" customHeight="1" x14ac:dyDescent="0.25">
      <c r="B2" s="2"/>
      <c r="C2" s="2"/>
      <c r="D2" s="2"/>
      <c r="E2" s="2"/>
      <c r="F2" s="2"/>
      <c r="G2" s="2"/>
      <c r="H2" s="2"/>
    </row>
    <row r="3" spans="2:8" x14ac:dyDescent="0.25">
      <c r="B3" s="2"/>
      <c r="C3" s="2"/>
      <c r="D3" s="2"/>
      <c r="E3" s="2"/>
      <c r="F3" s="2"/>
      <c r="G3" s="2"/>
      <c r="H3" s="2"/>
    </row>
    <row r="4" spans="2:8" x14ac:dyDescent="0.25">
      <c r="B4" s="2"/>
      <c r="C4" s="2"/>
      <c r="D4" s="2"/>
      <c r="E4" s="2"/>
      <c r="F4" s="2"/>
      <c r="G4" s="2"/>
      <c r="H4" s="2"/>
    </row>
    <row r="5" spans="2:8" x14ac:dyDescent="0.25">
      <c r="B5" s="2"/>
      <c r="C5" s="2"/>
      <c r="D5" s="2"/>
      <c r="E5" s="2"/>
      <c r="F5" s="2"/>
      <c r="G5" s="2"/>
      <c r="H5" s="2"/>
    </row>
    <row r="6" spans="2:8" x14ac:dyDescent="0.25">
      <c r="B6" s="2"/>
      <c r="C6" s="2"/>
      <c r="D6" s="2"/>
      <c r="E6" s="2"/>
      <c r="F6" s="2"/>
      <c r="G6" s="2"/>
      <c r="H6" s="2"/>
    </row>
    <row r="7" spans="2:8" ht="15.75" x14ac:dyDescent="0.25">
      <c r="B7" s="2"/>
      <c r="C7" s="10" t="s">
        <v>36</v>
      </c>
      <c r="D7" s="2"/>
      <c r="E7" s="10" t="s">
        <v>37</v>
      </c>
      <c r="F7" s="2"/>
      <c r="G7" s="10" t="b">
        <f>AND(G10, G11)</f>
        <v>1</v>
      </c>
      <c r="H7" s="2"/>
    </row>
    <row r="8" spans="2:8" x14ac:dyDescent="0.25">
      <c r="B8" s="2"/>
      <c r="C8" s="2"/>
      <c r="D8" s="2"/>
      <c r="E8" s="2"/>
      <c r="F8" s="2"/>
      <c r="G8" s="2"/>
      <c r="H8" s="2"/>
    </row>
    <row r="9" spans="2:8" x14ac:dyDescent="0.25">
      <c r="B9" s="2"/>
      <c r="C9" s="12" t="s">
        <v>38</v>
      </c>
      <c r="D9" s="12" t="s">
        <v>39</v>
      </c>
      <c r="E9" s="12" t="s">
        <v>40</v>
      </c>
      <c r="F9" s="12" t="s">
        <v>41</v>
      </c>
      <c r="G9" s="12" t="s">
        <v>36</v>
      </c>
      <c r="H9" s="2"/>
    </row>
    <row r="10" spans="2:8" ht="15.75" x14ac:dyDescent="0.25">
      <c r="B10" s="2"/>
      <c r="C10" s="12">
        <v>1</v>
      </c>
      <c r="D10" s="12" t="s">
        <v>42</v>
      </c>
      <c r="E10" s="12" t="s">
        <v>43</v>
      </c>
      <c r="F10" s="12" t="s">
        <v>44</v>
      </c>
      <c r="G10" s="10" t="b">
        <f>LPKPJ!F37=LPKPJ!F26+LPKPJ!F36</f>
        <v>1</v>
      </c>
      <c r="H10" s="2"/>
    </row>
    <row r="11" spans="2:8" ht="15.75" x14ac:dyDescent="0.25">
      <c r="B11" s="2"/>
      <c r="C11" s="12">
        <v>2</v>
      </c>
      <c r="D11" s="12" t="s">
        <v>42</v>
      </c>
      <c r="E11" s="12" t="s">
        <v>45</v>
      </c>
      <c r="F11" s="12" t="s">
        <v>46</v>
      </c>
      <c r="G11" s="10" t="b">
        <f>LPKPJ!F73=LPKPJ!F37</f>
        <v>1</v>
      </c>
      <c r="H11" s="2"/>
    </row>
    <row r="12" spans="2:8" x14ac:dyDescent="0.25">
      <c r="B12" s="2"/>
      <c r="C12" s="2"/>
      <c r="D12" s="2"/>
      <c r="E12" s="2"/>
      <c r="F12" s="2"/>
      <c r="G12" s="2"/>
      <c r="H12" s="2"/>
    </row>
    <row r="13" spans="2:8" ht="4.9000000000000004" customHeight="1" x14ac:dyDescent="0.25">
      <c r="B13" s="2"/>
      <c r="C13" s="2"/>
      <c r="D13" s="2"/>
      <c r="E13" s="2"/>
      <c r="F13" s="2"/>
      <c r="G13" s="2"/>
      <c r="H13" s="2"/>
    </row>
  </sheetData>
  <sheetProtection password="BBAF" sheet="1" formatColumns="0" selectLockedCells="1"/>
  <conditionalFormatting sqref="G7">
    <cfRule type="cellIs" dxfId="5" priority="1" operator="equal">
      <formula>TRUE</formula>
    </cfRule>
    <cfRule type="cellIs" dxfId="4" priority="2" operator="equal">
      <formula>FALSE</formula>
    </cfRule>
  </conditionalFormatting>
  <conditionalFormatting sqref="G10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G11">
    <cfRule type="cellIs" dxfId="1" priority="5" operator="equal">
      <formula>TRUE</formula>
    </cfRule>
    <cfRule type="cellIs" dxfId="0" priority="6" operator="equal">
      <formula>FALSE</formula>
    </cfRule>
  </conditionalFormatting>
  <pageMargins left="0.7" right="0.7" top="0.75" bottom="0.75" header="0.3" footer="0.3"/>
  <pageSetup paperSize="9" scale="81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showGridLines="0" view="pageBreakPreview" zoomScaleSheetLayoutView="100" workbookViewId="0">
      <pane xSplit="4" ySplit="15" topLeftCell="F19" activePane="bottomRight" state="frozen"/>
      <selection pane="topRight" activeCell="E1" sqref="E1"/>
      <selection pane="bottomLeft" activeCell="A16" sqref="A16"/>
      <selection pane="bottomRight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40" style="1" customWidth="1"/>
    <col min="4" max="4" width="30" style="1" customWidth="1"/>
    <col min="5" max="5" width="6" style="1" bestFit="1" customWidth="1"/>
    <col min="6" max="6" width="30" style="1" customWidth="1"/>
    <col min="7" max="7" width="1" style="1" customWidth="1"/>
    <col min="8" max="8" width="9.140625" style="1" customWidth="1"/>
    <col min="9" max="16384" width="9.140625" style="1"/>
  </cols>
  <sheetData>
    <row r="2" spans="2:7" ht="4.9000000000000004" customHeight="1" x14ac:dyDescent="0.25">
      <c r="B2" s="9" t="s">
        <v>47</v>
      </c>
      <c r="C2" s="2"/>
      <c r="D2" s="2"/>
      <c r="E2" s="2"/>
      <c r="F2" s="2"/>
      <c r="G2" s="2"/>
    </row>
    <row r="3" spans="2:7" x14ac:dyDescent="0.25">
      <c r="B3" s="9" t="s">
        <v>6</v>
      </c>
      <c r="C3" s="2"/>
      <c r="D3" s="2"/>
      <c r="E3" s="2"/>
      <c r="F3" s="2"/>
      <c r="G3" s="2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2"/>
      <c r="C5" s="2"/>
      <c r="D5" s="2"/>
      <c r="E5" s="2"/>
      <c r="F5" s="2"/>
      <c r="G5" s="2"/>
    </row>
    <row r="6" spans="2:7" x14ac:dyDescent="0.25">
      <c r="B6" s="2"/>
      <c r="C6" s="2"/>
      <c r="D6" s="2"/>
      <c r="E6" s="2"/>
      <c r="F6" s="2"/>
      <c r="G6" s="2"/>
    </row>
    <row r="7" spans="2:7" ht="17.25" x14ac:dyDescent="0.25">
      <c r="B7" s="2"/>
      <c r="C7" s="46" t="str">
        <f>UPPER('Data Umum'!D7)</f>
        <v>PT. JAMKRIDA SULSEL</v>
      </c>
      <c r="D7" s="46"/>
      <c r="E7" s="46"/>
      <c r="F7" s="46"/>
      <c r="G7" s="2"/>
    </row>
    <row r="8" spans="2:7" x14ac:dyDescent="0.25">
      <c r="B8" s="2"/>
      <c r="C8" s="2"/>
      <c r="D8" s="2"/>
      <c r="E8" s="2"/>
      <c r="F8" s="2"/>
      <c r="G8" s="2"/>
    </row>
    <row r="9" spans="2:7" x14ac:dyDescent="0.25">
      <c r="B9" s="2"/>
      <c r="C9" s="47" t="s">
        <v>48</v>
      </c>
      <c r="D9" s="47"/>
      <c r="E9" s="47"/>
      <c r="F9" s="47"/>
      <c r="G9" s="2"/>
    </row>
    <row r="10" spans="2:7" x14ac:dyDescent="0.25">
      <c r="B10" s="2"/>
      <c r="C10" s="47"/>
      <c r="D10" s="47"/>
      <c r="E10" s="47"/>
      <c r="F10" s="47"/>
      <c r="G10" s="2"/>
    </row>
    <row r="11" spans="2:7" x14ac:dyDescent="0.25">
      <c r="B11" s="2"/>
      <c r="C11" s="48" t="str">
        <f>"Per "&amp;CONCATENATE("Bulan ", 'Data Umum'!D12, " Tahun ", TEXT('Data Umum'!D11, "YYYY"))</f>
        <v>Per Bulan Agustus Tahun 2016</v>
      </c>
      <c r="D11" s="48"/>
      <c r="E11" s="48"/>
      <c r="F11" s="48"/>
      <c r="G11" s="2"/>
    </row>
    <row r="12" spans="2:7" x14ac:dyDescent="0.25">
      <c r="B12" s="2"/>
      <c r="C12" s="2"/>
      <c r="D12" s="2"/>
      <c r="E12" s="2"/>
      <c r="F12" s="2"/>
      <c r="G12" s="2"/>
    </row>
    <row r="13" spans="2:7" x14ac:dyDescent="0.25">
      <c r="B13" s="2"/>
      <c r="C13" s="49"/>
      <c r="D13" s="49"/>
      <c r="E13" s="49"/>
      <c r="F13" s="49"/>
      <c r="G13" s="2"/>
    </row>
    <row r="14" spans="2:7" x14ac:dyDescent="0.25">
      <c r="B14" s="2"/>
      <c r="C14" s="50" t="s">
        <v>49</v>
      </c>
      <c r="D14" s="51"/>
      <c r="E14" s="54" t="str">
        <f>"Sandi"</f>
        <v>Sandi</v>
      </c>
      <c r="F14" s="54" t="str">
        <f>"Jumlah"</f>
        <v>Jumlah</v>
      </c>
      <c r="G14" s="2"/>
    </row>
    <row r="15" spans="2:7" x14ac:dyDescent="0.25">
      <c r="B15" s="2"/>
      <c r="C15" s="52"/>
      <c r="D15" s="53"/>
      <c r="E15" s="55"/>
      <c r="F15" s="55"/>
      <c r="G15" s="2"/>
    </row>
    <row r="16" spans="2:7" x14ac:dyDescent="0.25">
      <c r="B16" s="2"/>
      <c r="C16" s="56" t="s">
        <v>50</v>
      </c>
      <c r="D16" s="51"/>
      <c r="E16" s="13" t="str">
        <f>"1300"</f>
        <v>1300</v>
      </c>
      <c r="F16" s="14">
        <f>LPKPJ!F37</f>
        <v>0</v>
      </c>
      <c r="G16" s="2"/>
    </row>
    <row r="17" spans="2:7" x14ac:dyDescent="0.25">
      <c r="B17" s="2"/>
      <c r="C17" s="56" t="s">
        <v>51</v>
      </c>
      <c r="D17" s="51"/>
      <c r="E17" s="13" t="str">
        <f>"1800"</f>
        <v>1800</v>
      </c>
      <c r="F17" s="14">
        <f>LPKPJ!F72</f>
        <v>0</v>
      </c>
      <c r="G17" s="2"/>
    </row>
    <row r="18" spans="2:7" x14ac:dyDescent="0.25">
      <c r="B18" s="2"/>
      <c r="C18" s="56" t="s">
        <v>52</v>
      </c>
      <c r="D18" s="51"/>
      <c r="E18" s="13" t="str">
        <f>"2940"</f>
        <v>2940</v>
      </c>
      <c r="F18" s="14">
        <f>LLRPJ!F58</f>
        <v>0</v>
      </c>
      <c r="G18" s="2"/>
    </row>
    <row r="19" spans="2:7" x14ac:dyDescent="0.25">
      <c r="B19" s="2"/>
      <c r="C19" s="56" t="s">
        <v>53</v>
      </c>
      <c r="D19" s="51"/>
      <c r="E19" s="13" t="str">
        <f>"5100"</f>
        <v>5100</v>
      </c>
      <c r="F19" s="14">
        <f>LGRPJ!F16</f>
        <v>0</v>
      </c>
      <c r="G19" s="2"/>
    </row>
    <row r="20" spans="2:7" x14ac:dyDescent="0.25">
      <c r="B20" s="2"/>
      <c r="C20" s="56" t="s">
        <v>54</v>
      </c>
      <c r="D20" s="51"/>
      <c r="E20" s="13" t="str">
        <f>"5300"</f>
        <v>5300</v>
      </c>
      <c r="F20" s="15">
        <f>IFERROR(LGRPJ!F18,0)</f>
        <v>0</v>
      </c>
      <c r="G20" s="2"/>
    </row>
    <row r="21" spans="2:7" x14ac:dyDescent="0.25">
      <c r="B21" s="2"/>
      <c r="C21" s="56" t="s">
        <v>55</v>
      </c>
      <c r="D21" s="51"/>
      <c r="E21" s="13" t="str">
        <f>"5400"</f>
        <v>5400</v>
      </c>
      <c r="F21" s="14">
        <f>LGRPJ!H16</f>
        <v>0</v>
      </c>
      <c r="G21" s="2"/>
    </row>
    <row r="22" spans="2:7" x14ac:dyDescent="0.25">
      <c r="B22" s="2"/>
      <c r="C22" s="56" t="s">
        <v>56</v>
      </c>
      <c r="D22" s="51"/>
      <c r="E22" s="13" t="str">
        <f>"5600"</f>
        <v>5600</v>
      </c>
      <c r="F22" s="15">
        <f>IFERROR(LGRPJ!H18,0)</f>
        <v>0</v>
      </c>
      <c r="G22" s="2"/>
    </row>
    <row r="23" spans="2:7" x14ac:dyDescent="0.25">
      <c r="B23" s="2"/>
      <c r="C23" s="56" t="s">
        <v>57</v>
      </c>
      <c r="D23" s="51"/>
      <c r="E23" s="13" t="str">
        <f>"6926"</f>
        <v>6926</v>
      </c>
      <c r="F23" s="14">
        <f>LPJKPJ!N33</f>
        <v>0</v>
      </c>
      <c r="G23" s="2"/>
    </row>
    <row r="24" spans="2:7" x14ac:dyDescent="0.25">
      <c r="B24" s="2"/>
      <c r="C24" s="56" t="s">
        <v>58</v>
      </c>
      <c r="D24" s="51"/>
      <c r="E24" s="13" t="str">
        <f>"6927"</f>
        <v>6927</v>
      </c>
      <c r="F24" s="14">
        <f>LPJKPJ!N34</f>
        <v>0</v>
      </c>
      <c r="G24" s="2"/>
    </row>
    <row r="25" spans="2:7" x14ac:dyDescent="0.25">
      <c r="B25" s="2"/>
      <c r="C25" s="56" t="s">
        <v>59</v>
      </c>
      <c r="D25" s="51"/>
      <c r="E25" s="13" t="str">
        <f>"9343"</f>
        <v>9343</v>
      </c>
      <c r="F25" s="14">
        <f>LKPKPJ!N41</f>
        <v>0</v>
      </c>
      <c r="G25" s="2"/>
    </row>
    <row r="26" spans="2:7" x14ac:dyDescent="0.25">
      <c r="B26" s="2"/>
      <c r="C26" s="56" t="s">
        <v>60</v>
      </c>
      <c r="D26" s="51"/>
      <c r="E26" s="13" t="str">
        <f>"9995"</f>
        <v>9995</v>
      </c>
      <c r="F26" s="14">
        <f>LPAPJ!F20</f>
        <v>0</v>
      </c>
      <c r="G26" s="2"/>
    </row>
    <row r="27" spans="2:7" x14ac:dyDescent="0.25">
      <c r="B27" s="2"/>
      <c r="C27" s="2"/>
      <c r="D27" s="2"/>
      <c r="E27" s="2"/>
      <c r="F27" s="2"/>
      <c r="G27" s="2"/>
    </row>
    <row r="28" spans="2:7" ht="4.9000000000000004" customHeight="1" x14ac:dyDescent="0.25">
      <c r="B28" s="2"/>
      <c r="C28" s="2"/>
      <c r="D28" s="2"/>
      <c r="E28" s="2"/>
      <c r="F28" s="2"/>
      <c r="G28" s="2"/>
    </row>
  </sheetData>
  <sheetProtection password="BBAF" sheet="1" formatColumns="0" selectLockedCells="1"/>
  <mergeCells count="19">
    <mergeCell ref="C23:D23"/>
    <mergeCell ref="C24:D24"/>
    <mergeCell ref="C25:D25"/>
    <mergeCell ref="C26:D26"/>
    <mergeCell ref="C18:D18"/>
    <mergeCell ref="C19:D19"/>
    <mergeCell ref="C20:D20"/>
    <mergeCell ref="C21:D21"/>
    <mergeCell ref="C22:D22"/>
    <mergeCell ref="C14:D15"/>
    <mergeCell ref="E14:E15"/>
    <mergeCell ref="F14:F15"/>
    <mergeCell ref="C16:D16"/>
    <mergeCell ref="C17:D17"/>
    <mergeCell ref="C7:F7"/>
    <mergeCell ref="C9:F9"/>
    <mergeCell ref="C10:F10"/>
    <mergeCell ref="C11:F11"/>
    <mergeCell ref="C13:F13"/>
  </mergeCells>
  <pageMargins left="0.70866141732283472" right="0.70866141732283472" top="0.74803149606299213" bottom="0.74803149606299213" header="0.31496062992125984" footer="0.31496062992125984"/>
  <pageSetup paperSize="9" scale="92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5"/>
  <sheetViews>
    <sheetView showGridLines="0" view="pageBreakPreview" zoomScale="85" zoomScaleNormal="85" zoomScaleSheetLayoutView="85" workbookViewId="0">
      <pane xSplit="4" ySplit="15" topLeftCell="E19" activePane="bottomRight" state="frozen"/>
      <selection pane="topRight" activeCell="E1" sqref="E1"/>
      <selection pane="bottomLeft" activeCell="A16" sqref="A16"/>
      <selection pane="bottomRight" activeCell="F70" sqref="F70"/>
    </sheetView>
  </sheetViews>
  <sheetFormatPr defaultColWidth="9.140625" defaultRowHeight="15" x14ac:dyDescent="0.25"/>
  <cols>
    <col min="1" max="1" width="9.140625" style="1" customWidth="1"/>
    <col min="2" max="2" width="1" style="1" customWidth="1"/>
    <col min="3" max="3" width="40" style="1" customWidth="1"/>
    <col min="4" max="4" width="30" style="1" customWidth="1"/>
    <col min="5" max="5" width="6" style="1" bestFit="1" customWidth="1"/>
    <col min="6" max="6" width="30" style="1" customWidth="1"/>
    <col min="7" max="7" width="1" style="1" customWidth="1"/>
    <col min="8" max="8" width="9.140625" style="1" customWidth="1"/>
    <col min="9" max="16384" width="9.140625" style="1"/>
  </cols>
  <sheetData>
    <row r="2" spans="2:7" ht="4.9000000000000004" customHeight="1" x14ac:dyDescent="0.25">
      <c r="B2" s="9" t="s">
        <v>42</v>
      </c>
      <c r="C2" s="2"/>
      <c r="D2" s="2"/>
      <c r="E2" s="2"/>
      <c r="F2" s="2"/>
      <c r="G2" s="2"/>
    </row>
    <row r="3" spans="2:7" x14ac:dyDescent="0.25">
      <c r="B3" s="9" t="s">
        <v>6</v>
      </c>
      <c r="C3" s="2"/>
      <c r="D3" s="2"/>
      <c r="E3" s="2"/>
      <c r="F3" s="2"/>
      <c r="G3" s="2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2"/>
      <c r="C5" s="2"/>
      <c r="D5" s="2"/>
      <c r="E5" s="2"/>
      <c r="F5" s="2"/>
      <c r="G5" s="2"/>
    </row>
    <row r="6" spans="2:7" x14ac:dyDescent="0.25">
      <c r="B6" s="2"/>
      <c r="C6" s="2"/>
      <c r="D6" s="2"/>
      <c r="E6" s="2"/>
      <c r="F6" s="2"/>
      <c r="G6" s="2"/>
    </row>
    <row r="7" spans="2:7" ht="17.25" x14ac:dyDescent="0.25">
      <c r="B7" s="2"/>
      <c r="C7" s="46" t="str">
        <f>UPPER('Data Umum'!D7)</f>
        <v>PT. JAMKRIDA SULSEL</v>
      </c>
      <c r="D7" s="46"/>
      <c r="E7" s="46"/>
      <c r="F7" s="46"/>
      <c r="G7" s="2"/>
    </row>
    <row r="8" spans="2:7" x14ac:dyDescent="0.25">
      <c r="B8" s="2"/>
      <c r="C8" s="2"/>
      <c r="D8" s="2"/>
      <c r="E8" s="2"/>
      <c r="F8" s="2"/>
      <c r="G8" s="2"/>
    </row>
    <row r="9" spans="2:7" x14ac:dyDescent="0.25">
      <c r="B9" s="2"/>
      <c r="C9" s="47" t="s">
        <v>61</v>
      </c>
      <c r="D9" s="47"/>
      <c r="E9" s="47"/>
      <c r="F9" s="47"/>
      <c r="G9" s="2"/>
    </row>
    <row r="10" spans="2:7" x14ac:dyDescent="0.25">
      <c r="B10" s="2"/>
      <c r="C10" s="47"/>
      <c r="D10" s="47"/>
      <c r="E10" s="47"/>
      <c r="F10" s="47"/>
      <c r="G10" s="2"/>
    </row>
    <row r="11" spans="2:7" x14ac:dyDescent="0.25">
      <c r="B11" s="2"/>
      <c r="C11" s="48" t="str">
        <f>"Per "&amp;CONCATENATE("Bulan ", 'Data Umum'!D12, " Tahun ", TEXT('Data Umum'!D11, "YYYY"))</f>
        <v>Per Bulan Agustus Tahun 2016</v>
      </c>
      <c r="D11" s="48"/>
      <c r="E11" s="48"/>
      <c r="F11" s="48"/>
      <c r="G11" s="2"/>
    </row>
    <row r="12" spans="2:7" x14ac:dyDescent="0.25">
      <c r="B12" s="2"/>
      <c r="C12" s="2"/>
      <c r="D12" s="2"/>
      <c r="E12" s="2"/>
      <c r="F12" s="2"/>
      <c r="G12" s="2"/>
    </row>
    <row r="13" spans="2:7" x14ac:dyDescent="0.25">
      <c r="B13" s="2"/>
      <c r="C13" s="49"/>
      <c r="D13" s="49"/>
      <c r="E13" s="49"/>
      <c r="F13" s="49"/>
      <c r="G13" s="2"/>
    </row>
    <row r="14" spans="2:7" x14ac:dyDescent="0.25">
      <c r="B14" s="2"/>
      <c r="C14" s="50" t="s">
        <v>49</v>
      </c>
      <c r="D14" s="51"/>
      <c r="E14" s="54" t="str">
        <f>"Sandi"</f>
        <v>Sandi</v>
      </c>
      <c r="F14" s="54" t="str">
        <f>"Jumlah"</f>
        <v>Jumlah</v>
      </c>
      <c r="G14" s="2"/>
    </row>
    <row r="15" spans="2:7" x14ac:dyDescent="0.25">
      <c r="B15" s="2"/>
      <c r="C15" s="52"/>
      <c r="D15" s="53"/>
      <c r="E15" s="55"/>
      <c r="F15" s="55"/>
      <c r="G15" s="2"/>
    </row>
    <row r="16" spans="2:7" x14ac:dyDescent="0.25">
      <c r="B16" s="2"/>
      <c r="C16" s="56" t="s">
        <v>62</v>
      </c>
      <c r="D16" s="51"/>
      <c r="E16" s="13"/>
      <c r="F16" s="16">
        <f>IFERROR(F17, 0)+IFERROR(F27, 0)</f>
        <v>0</v>
      </c>
      <c r="G16" s="2"/>
    </row>
    <row r="17" spans="2:7" x14ac:dyDescent="0.25">
      <c r="B17" s="2"/>
      <c r="C17" s="57" t="s">
        <v>63</v>
      </c>
      <c r="D17" s="58"/>
      <c r="E17" s="13"/>
      <c r="F17" s="16">
        <f>IFERROR(F18, 0)+IFERROR(F19, 0)+IFERROR(F20, 0)+IFERROR(F21, 0)+IFERROR(F22, 0)+IFERROR(F23, 0)+IFERROR(F24, 0)+IFERROR(F25, 0)</f>
        <v>0</v>
      </c>
      <c r="G17" s="2"/>
    </row>
    <row r="18" spans="2:7" x14ac:dyDescent="0.25">
      <c r="B18" s="2"/>
      <c r="C18" s="59" t="s">
        <v>64</v>
      </c>
      <c r="D18" s="60"/>
      <c r="E18" s="13" t="str">
        <f>"1005"</f>
        <v>1005</v>
      </c>
      <c r="F18" s="29">
        <v>0</v>
      </c>
      <c r="G18" s="2"/>
    </row>
    <row r="19" spans="2:7" x14ac:dyDescent="0.25">
      <c r="B19" s="2"/>
      <c r="C19" s="59" t="s">
        <v>65</v>
      </c>
      <c r="D19" s="60"/>
      <c r="E19" s="13" t="str">
        <f>"1010"</f>
        <v>1010</v>
      </c>
      <c r="F19" s="29">
        <v>0</v>
      </c>
      <c r="G19" s="2"/>
    </row>
    <row r="20" spans="2:7" x14ac:dyDescent="0.25">
      <c r="B20" s="2"/>
      <c r="C20" s="59" t="s">
        <v>66</v>
      </c>
      <c r="D20" s="60"/>
      <c r="E20" s="13" t="str">
        <f>"1020"</f>
        <v>1020</v>
      </c>
      <c r="F20" s="29">
        <v>0</v>
      </c>
      <c r="G20" s="2"/>
    </row>
    <row r="21" spans="2:7" x14ac:dyDescent="0.25">
      <c r="B21" s="2"/>
      <c r="C21" s="59" t="s">
        <v>67</v>
      </c>
      <c r="D21" s="60"/>
      <c r="E21" s="13" t="str">
        <f>"1030"</f>
        <v>1030</v>
      </c>
      <c r="F21" s="29">
        <v>0</v>
      </c>
      <c r="G21" s="2"/>
    </row>
    <row r="22" spans="2:7" x14ac:dyDescent="0.25">
      <c r="B22" s="2"/>
      <c r="C22" s="59" t="s">
        <v>68</v>
      </c>
      <c r="D22" s="60"/>
      <c r="E22" s="13" t="str">
        <f>"1050"</f>
        <v>1050</v>
      </c>
      <c r="F22" s="29">
        <v>0</v>
      </c>
      <c r="G22" s="2"/>
    </row>
    <row r="23" spans="2:7" x14ac:dyDescent="0.25">
      <c r="B23" s="2"/>
      <c r="C23" s="59" t="s">
        <v>69</v>
      </c>
      <c r="D23" s="60"/>
      <c r="E23" s="13" t="str">
        <f>"1070"</f>
        <v>1070</v>
      </c>
      <c r="F23" s="29"/>
      <c r="G23" s="2"/>
    </row>
    <row r="24" spans="2:7" x14ac:dyDescent="0.25">
      <c r="B24" s="2"/>
      <c r="C24" s="59" t="s">
        <v>70</v>
      </c>
      <c r="D24" s="60"/>
      <c r="E24" s="13" t="str">
        <f>"1080"</f>
        <v>1080</v>
      </c>
      <c r="F24" s="29">
        <v>0</v>
      </c>
      <c r="G24" s="2"/>
    </row>
    <row r="25" spans="2:7" x14ac:dyDescent="0.25">
      <c r="B25" s="2"/>
      <c r="C25" s="59" t="s">
        <v>71</v>
      </c>
      <c r="D25" s="60"/>
      <c r="E25" s="13" t="str">
        <f>"1095"</f>
        <v>1095</v>
      </c>
      <c r="F25" s="29"/>
      <c r="G25" s="2"/>
    </row>
    <row r="26" spans="2:7" x14ac:dyDescent="0.25">
      <c r="B26" s="2"/>
      <c r="C26" s="56" t="s">
        <v>72</v>
      </c>
      <c r="D26" s="51"/>
      <c r="E26" s="13" t="str">
        <f>"1099"</f>
        <v>1099</v>
      </c>
      <c r="F26" s="14">
        <f>F17</f>
        <v>0</v>
      </c>
      <c r="G26" s="2"/>
    </row>
    <row r="27" spans="2:7" x14ac:dyDescent="0.25">
      <c r="B27" s="2"/>
      <c r="C27" s="57" t="s">
        <v>73</v>
      </c>
      <c r="D27" s="58"/>
      <c r="E27" s="13"/>
      <c r="F27" s="16">
        <f>IFERROR(F28, 0)+IFERROR(F29, 0)+IFERROR(F30, 0)+IFERROR(F31, 0)+IFERROR(F32, 0)+IFERROR(F33, 0)+IFERROR(F34, 0)+IFERROR(F35, 0)</f>
        <v>0</v>
      </c>
      <c r="G27" s="2"/>
    </row>
    <row r="28" spans="2:7" x14ac:dyDescent="0.25">
      <c r="B28" s="2"/>
      <c r="C28" s="59" t="s">
        <v>74</v>
      </c>
      <c r="D28" s="60"/>
      <c r="E28" s="13" t="str">
        <f>"1110"</f>
        <v>1110</v>
      </c>
      <c r="F28" s="29">
        <v>0</v>
      </c>
      <c r="G28" s="2"/>
    </row>
    <row r="29" spans="2:7" x14ac:dyDescent="0.25">
      <c r="B29" s="2"/>
      <c r="C29" s="59" t="s">
        <v>67</v>
      </c>
      <c r="D29" s="60"/>
      <c r="E29" s="13" t="str">
        <f>"1130"</f>
        <v>1130</v>
      </c>
      <c r="F29" s="29">
        <v>0</v>
      </c>
      <c r="G29" s="2"/>
    </row>
    <row r="30" spans="2:7" x14ac:dyDescent="0.25">
      <c r="B30" s="2"/>
      <c r="C30" s="59" t="s">
        <v>69</v>
      </c>
      <c r="D30" s="60"/>
      <c r="E30" s="13" t="str">
        <f>"1150"</f>
        <v>1150</v>
      </c>
      <c r="F30" s="29">
        <v>0</v>
      </c>
      <c r="G30" s="2"/>
    </row>
    <row r="31" spans="2:7" x14ac:dyDescent="0.25">
      <c r="B31" s="2"/>
      <c r="C31" s="59" t="s">
        <v>75</v>
      </c>
      <c r="D31" s="60"/>
      <c r="E31" s="13" t="str">
        <f>"1170"</f>
        <v>1170</v>
      </c>
      <c r="F31" s="29">
        <v>0</v>
      </c>
      <c r="G31" s="2"/>
    </row>
    <row r="32" spans="2:7" x14ac:dyDescent="0.25">
      <c r="B32" s="2"/>
      <c r="C32" s="59" t="s">
        <v>76</v>
      </c>
      <c r="D32" s="60"/>
      <c r="E32" s="13" t="str">
        <f>"1200"</f>
        <v>1200</v>
      </c>
      <c r="F32" s="29">
        <v>0</v>
      </c>
      <c r="G32" s="2"/>
    </row>
    <row r="33" spans="2:7" x14ac:dyDescent="0.25">
      <c r="B33" s="2"/>
      <c r="C33" s="59" t="s">
        <v>77</v>
      </c>
      <c r="D33" s="60"/>
      <c r="E33" s="13" t="str">
        <f>"1205"</f>
        <v>1205</v>
      </c>
      <c r="F33" s="29">
        <v>0</v>
      </c>
      <c r="G33" s="2"/>
    </row>
    <row r="34" spans="2:7" x14ac:dyDescent="0.25">
      <c r="B34" s="2"/>
      <c r="C34" s="59" t="s">
        <v>78</v>
      </c>
      <c r="D34" s="60"/>
      <c r="E34" s="13" t="str">
        <f>"1210"</f>
        <v>1210</v>
      </c>
      <c r="F34" s="29">
        <v>0</v>
      </c>
      <c r="G34" s="2"/>
    </row>
    <row r="35" spans="2:7" x14ac:dyDescent="0.25">
      <c r="B35" s="2"/>
      <c r="C35" s="59" t="s">
        <v>79</v>
      </c>
      <c r="D35" s="60"/>
      <c r="E35" s="13" t="str">
        <f>"1295"</f>
        <v>1295</v>
      </c>
      <c r="F35" s="29">
        <v>0</v>
      </c>
      <c r="G35" s="2"/>
    </row>
    <row r="36" spans="2:7" x14ac:dyDescent="0.25">
      <c r="B36" s="2"/>
      <c r="C36" s="56" t="s">
        <v>80</v>
      </c>
      <c r="D36" s="51"/>
      <c r="E36" s="13" t="str">
        <f>"1299"</f>
        <v>1299</v>
      </c>
      <c r="F36" s="14">
        <f>F27</f>
        <v>0</v>
      </c>
      <c r="G36" s="2"/>
    </row>
    <row r="37" spans="2:7" x14ac:dyDescent="0.25">
      <c r="B37" s="2"/>
      <c r="C37" s="56" t="s">
        <v>81</v>
      </c>
      <c r="D37" s="51"/>
      <c r="E37" s="13" t="str">
        <f>"1300"</f>
        <v>1300</v>
      </c>
      <c r="F37" s="14">
        <f>F26+F36</f>
        <v>0</v>
      </c>
      <c r="G37" s="2"/>
    </row>
    <row r="38" spans="2:7" x14ac:dyDescent="0.25">
      <c r="B38" s="2"/>
      <c r="C38" s="56" t="s">
        <v>82</v>
      </c>
      <c r="D38" s="51"/>
      <c r="E38" s="13"/>
      <c r="F38" s="16">
        <f>IFERROR(F39, 0)+IFERROR(F51, 0)+IFERROR(F58, 0)</f>
        <v>0</v>
      </c>
      <c r="G38" s="2"/>
    </row>
    <row r="39" spans="2:7" x14ac:dyDescent="0.25">
      <c r="B39" s="2"/>
      <c r="C39" s="57" t="s">
        <v>83</v>
      </c>
      <c r="D39" s="58"/>
      <c r="E39" s="13"/>
      <c r="F39" s="16">
        <f>IFERROR(F40, 0)+IFERROR(F41, 0)+IFERROR(F42, 0)+IFERROR(F43, 0)+IFERROR(F44, 0)+IFERROR(F45, 0)+IFERROR(F46, 0)+IFERROR(F47, 0)+IFERROR(F48, 0)+IFERROR(F49, 0)</f>
        <v>0</v>
      </c>
      <c r="G39" s="2"/>
    </row>
    <row r="40" spans="2:7" x14ac:dyDescent="0.25">
      <c r="B40" s="2"/>
      <c r="C40" s="59" t="s">
        <v>84</v>
      </c>
      <c r="D40" s="60"/>
      <c r="E40" s="13" t="str">
        <f>"1510"</f>
        <v>1510</v>
      </c>
      <c r="F40" s="29">
        <v>0</v>
      </c>
      <c r="G40" s="2"/>
    </row>
    <row r="41" spans="2:7" x14ac:dyDescent="0.25">
      <c r="B41" s="2"/>
      <c r="C41" s="59" t="s">
        <v>85</v>
      </c>
      <c r="D41" s="60"/>
      <c r="E41" s="13" t="str">
        <f>"1520"</f>
        <v>1520</v>
      </c>
      <c r="F41" s="29">
        <v>0</v>
      </c>
      <c r="G41" s="2"/>
    </row>
    <row r="42" spans="2:7" x14ac:dyDescent="0.25">
      <c r="B42" s="2"/>
      <c r="C42" s="59" t="s">
        <v>86</v>
      </c>
      <c r="D42" s="60"/>
      <c r="E42" s="13" t="str">
        <f>"1530"</f>
        <v>1530</v>
      </c>
      <c r="F42" s="29">
        <v>0</v>
      </c>
      <c r="G42" s="2"/>
    </row>
    <row r="43" spans="2:7" x14ac:dyDescent="0.25">
      <c r="B43" s="2"/>
      <c r="C43" s="59" t="s">
        <v>87</v>
      </c>
      <c r="D43" s="60"/>
      <c r="E43" s="13" t="str">
        <f>"1540"</f>
        <v>1540</v>
      </c>
      <c r="F43" s="29">
        <v>0</v>
      </c>
      <c r="G43" s="2"/>
    </row>
    <row r="44" spans="2:7" x14ac:dyDescent="0.25">
      <c r="B44" s="2"/>
      <c r="C44" s="59" t="s">
        <v>88</v>
      </c>
      <c r="D44" s="60"/>
      <c r="E44" s="13" t="str">
        <f>"1550"</f>
        <v>1550</v>
      </c>
      <c r="F44" s="29">
        <v>0</v>
      </c>
      <c r="G44" s="2"/>
    </row>
    <row r="45" spans="2:7" x14ac:dyDescent="0.25">
      <c r="B45" s="2"/>
      <c r="C45" s="59" t="s">
        <v>89</v>
      </c>
      <c r="D45" s="60"/>
      <c r="E45" s="13" t="str">
        <f>"1560"</f>
        <v>1560</v>
      </c>
      <c r="F45" s="29">
        <v>0</v>
      </c>
      <c r="G45" s="2"/>
    </row>
    <row r="46" spans="2:7" x14ac:dyDescent="0.25">
      <c r="B46" s="2"/>
      <c r="C46" s="59" t="s">
        <v>90</v>
      </c>
      <c r="D46" s="60"/>
      <c r="E46" s="13" t="str">
        <f>"1570"</f>
        <v>1570</v>
      </c>
      <c r="F46" s="29">
        <v>0</v>
      </c>
      <c r="G46" s="2"/>
    </row>
    <row r="47" spans="2:7" x14ac:dyDescent="0.25">
      <c r="B47" s="2"/>
      <c r="C47" s="59" t="s">
        <v>91</v>
      </c>
      <c r="D47" s="60"/>
      <c r="E47" s="13" t="str">
        <f>"1580"</f>
        <v>1580</v>
      </c>
      <c r="F47" s="29">
        <v>0</v>
      </c>
      <c r="G47" s="2"/>
    </row>
    <row r="48" spans="2:7" x14ac:dyDescent="0.25">
      <c r="B48" s="2"/>
      <c r="C48" s="59" t="s">
        <v>92</v>
      </c>
      <c r="D48" s="60"/>
      <c r="E48" s="13" t="str">
        <f>"1590"</f>
        <v>1590</v>
      </c>
      <c r="F48" s="29">
        <v>0</v>
      </c>
      <c r="G48" s="2"/>
    </row>
    <row r="49" spans="2:7" x14ac:dyDescent="0.25">
      <c r="B49" s="2"/>
      <c r="C49" s="59" t="s">
        <v>93</v>
      </c>
      <c r="D49" s="60"/>
      <c r="E49" s="13" t="str">
        <f>"1595"</f>
        <v>1595</v>
      </c>
      <c r="F49" s="29">
        <v>0</v>
      </c>
      <c r="G49" s="2"/>
    </row>
    <row r="50" spans="2:7" x14ac:dyDescent="0.25">
      <c r="B50" s="2"/>
      <c r="C50" s="56" t="s">
        <v>94</v>
      </c>
      <c r="D50" s="51"/>
      <c r="E50" s="13" t="str">
        <f>"1599"</f>
        <v>1599</v>
      </c>
      <c r="F50" s="14">
        <f>F39</f>
        <v>0</v>
      </c>
      <c r="G50" s="2"/>
    </row>
    <row r="51" spans="2:7" x14ac:dyDescent="0.25">
      <c r="B51" s="2"/>
      <c r="C51" s="57" t="s">
        <v>95</v>
      </c>
      <c r="D51" s="58"/>
      <c r="E51" s="13"/>
      <c r="F51" s="16">
        <f>IFERROR(F52, 0)+IFERROR(F53, 0)+IFERROR(F54, 0)+IFERROR(F55, 0)+IFERROR(F56, 0)</f>
        <v>0</v>
      </c>
      <c r="G51" s="2"/>
    </row>
    <row r="52" spans="2:7" x14ac:dyDescent="0.25">
      <c r="B52" s="2"/>
      <c r="C52" s="59" t="s">
        <v>85</v>
      </c>
      <c r="D52" s="60"/>
      <c r="E52" s="13" t="str">
        <f>"1610"</f>
        <v>1610</v>
      </c>
      <c r="F52" s="29">
        <v>0</v>
      </c>
      <c r="G52" s="2"/>
    </row>
    <row r="53" spans="2:7" x14ac:dyDescent="0.25">
      <c r="B53" s="2"/>
      <c r="C53" s="59" t="s">
        <v>91</v>
      </c>
      <c r="D53" s="60"/>
      <c r="E53" s="13" t="str">
        <f>"1620"</f>
        <v>1620</v>
      </c>
      <c r="F53" s="29">
        <v>0</v>
      </c>
      <c r="G53" s="2"/>
    </row>
    <row r="54" spans="2:7" x14ac:dyDescent="0.25">
      <c r="B54" s="2"/>
      <c r="C54" s="59" t="s">
        <v>96</v>
      </c>
      <c r="D54" s="60"/>
      <c r="E54" s="13" t="str">
        <f>"1630"</f>
        <v>1630</v>
      </c>
      <c r="F54" s="29">
        <v>0</v>
      </c>
      <c r="G54" s="2"/>
    </row>
    <row r="55" spans="2:7" x14ac:dyDescent="0.25">
      <c r="B55" s="2"/>
      <c r="C55" s="59" t="s">
        <v>97</v>
      </c>
      <c r="D55" s="60"/>
      <c r="E55" s="13" t="str">
        <f>"1650"</f>
        <v>1650</v>
      </c>
      <c r="F55" s="29">
        <v>0</v>
      </c>
      <c r="G55" s="2"/>
    </row>
    <row r="56" spans="2:7" x14ac:dyDescent="0.25">
      <c r="B56" s="2"/>
      <c r="C56" s="59" t="s">
        <v>98</v>
      </c>
      <c r="D56" s="60"/>
      <c r="E56" s="13" t="str">
        <f>"1660"</f>
        <v>1660</v>
      </c>
      <c r="F56" s="29">
        <v>0</v>
      </c>
      <c r="G56" s="2"/>
    </row>
    <row r="57" spans="2:7" x14ac:dyDescent="0.25">
      <c r="B57" s="2"/>
      <c r="C57" s="56" t="s">
        <v>99</v>
      </c>
      <c r="D57" s="51"/>
      <c r="E57" s="13" t="str">
        <f>"1699"</f>
        <v>1699</v>
      </c>
      <c r="F57" s="14">
        <f>F51</f>
        <v>0</v>
      </c>
      <c r="G57" s="2"/>
    </row>
    <row r="58" spans="2:7" x14ac:dyDescent="0.25">
      <c r="B58" s="2"/>
      <c r="C58" s="57" t="s">
        <v>100</v>
      </c>
      <c r="D58" s="58"/>
      <c r="E58" s="13" t="str">
        <f>"1700"</f>
        <v>1700</v>
      </c>
      <c r="F58" s="14">
        <f>F39+F51</f>
        <v>0</v>
      </c>
      <c r="G58" s="2"/>
    </row>
    <row r="59" spans="2:7" x14ac:dyDescent="0.25">
      <c r="B59" s="2"/>
      <c r="C59" s="56" t="s">
        <v>101</v>
      </c>
      <c r="D59" s="51"/>
      <c r="E59" s="13"/>
      <c r="F59" s="16">
        <f>IFERROR(F60, 0)+IFERROR(F64, 0)+IFERROR(F68, 0)+IFERROR(F69, 0)+IFERROR(F70, 0)+IFERROR(F71, 0)</f>
        <v>0</v>
      </c>
      <c r="G59" s="2"/>
    </row>
    <row r="60" spans="2:7" x14ac:dyDescent="0.25">
      <c r="B60" s="2"/>
      <c r="C60" s="57" t="s">
        <v>102</v>
      </c>
      <c r="D60" s="58"/>
      <c r="E60" s="13" t="str">
        <f>"1710"</f>
        <v>1710</v>
      </c>
      <c r="F60" s="14">
        <f>F62+F63+F61</f>
        <v>0</v>
      </c>
      <c r="G60" s="2"/>
    </row>
    <row r="61" spans="2:7" x14ac:dyDescent="0.25">
      <c r="B61" s="2"/>
      <c r="C61" s="59" t="s">
        <v>103</v>
      </c>
      <c r="D61" s="60"/>
      <c r="E61" s="13" t="str">
        <f>"1711"</f>
        <v>1711</v>
      </c>
      <c r="F61" s="61">
        <v>0</v>
      </c>
      <c r="G61" s="2"/>
    </row>
    <row r="62" spans="2:7" x14ac:dyDescent="0.25">
      <c r="B62" s="2"/>
      <c r="C62" s="59" t="s">
        <v>104</v>
      </c>
      <c r="D62" s="60"/>
      <c r="E62" s="13" t="str">
        <f>"1712"</f>
        <v>1712</v>
      </c>
      <c r="F62" s="61">
        <v>0</v>
      </c>
      <c r="G62" s="2"/>
    </row>
    <row r="63" spans="2:7" x14ac:dyDescent="0.25">
      <c r="B63" s="2"/>
      <c r="C63" s="59" t="s">
        <v>105</v>
      </c>
      <c r="D63" s="60"/>
      <c r="E63" s="13" t="str">
        <f>"1713"</f>
        <v>1713</v>
      </c>
      <c r="F63" s="61">
        <v>0</v>
      </c>
      <c r="G63" s="2"/>
    </row>
    <row r="64" spans="2:7" x14ac:dyDescent="0.25">
      <c r="B64" s="2"/>
      <c r="C64" s="57" t="s">
        <v>106</v>
      </c>
      <c r="D64" s="58"/>
      <c r="E64" s="13" t="str">
        <f>"1720"</f>
        <v>1720</v>
      </c>
      <c r="F64" s="14">
        <f>F67+F65+F66</f>
        <v>0</v>
      </c>
      <c r="G64" s="2"/>
    </row>
    <row r="65" spans="2:7" x14ac:dyDescent="0.25">
      <c r="B65" s="2"/>
      <c r="C65" s="59" t="s">
        <v>107</v>
      </c>
      <c r="D65" s="60"/>
      <c r="E65" s="13" t="str">
        <f>"1721"</f>
        <v>1721</v>
      </c>
      <c r="F65" s="29">
        <v>0</v>
      </c>
      <c r="G65" s="2"/>
    </row>
    <row r="66" spans="2:7" x14ac:dyDescent="0.25">
      <c r="B66" s="2"/>
      <c r="C66" s="59" t="s">
        <v>108</v>
      </c>
      <c r="D66" s="60"/>
      <c r="E66" s="13" t="str">
        <f>"1722"</f>
        <v>1722</v>
      </c>
      <c r="F66" s="29">
        <v>0</v>
      </c>
      <c r="G66" s="2"/>
    </row>
    <row r="67" spans="2:7" x14ac:dyDescent="0.25">
      <c r="B67" s="2"/>
      <c r="C67" s="59" t="s">
        <v>109</v>
      </c>
      <c r="D67" s="60"/>
      <c r="E67" s="13" t="str">
        <f>"1723"</f>
        <v>1723</v>
      </c>
      <c r="F67" s="29">
        <v>0</v>
      </c>
      <c r="G67" s="2"/>
    </row>
    <row r="68" spans="2:7" x14ac:dyDescent="0.25">
      <c r="B68" s="2"/>
      <c r="C68" s="57" t="s">
        <v>110</v>
      </c>
      <c r="D68" s="58"/>
      <c r="E68" s="13" t="str">
        <f>"1730"</f>
        <v>1730</v>
      </c>
      <c r="F68" s="29">
        <v>0</v>
      </c>
      <c r="G68" s="2"/>
    </row>
    <row r="69" spans="2:7" x14ac:dyDescent="0.25">
      <c r="B69" s="2"/>
      <c r="C69" s="57" t="s">
        <v>111</v>
      </c>
      <c r="D69" s="58"/>
      <c r="E69" s="13" t="str">
        <f>"1740"</f>
        <v>1740</v>
      </c>
      <c r="F69" s="29">
        <v>0</v>
      </c>
      <c r="G69" s="2"/>
    </row>
    <row r="70" spans="2:7" x14ac:dyDescent="0.25">
      <c r="B70" s="2"/>
      <c r="C70" s="57" t="s">
        <v>112</v>
      </c>
      <c r="D70" s="58"/>
      <c r="E70" s="13" t="str">
        <f>"1750"</f>
        <v>1750</v>
      </c>
      <c r="F70" s="29">
        <v>0</v>
      </c>
      <c r="G70" s="2"/>
    </row>
    <row r="71" spans="2:7" x14ac:dyDescent="0.25">
      <c r="B71" s="2"/>
      <c r="C71" s="57" t="s">
        <v>113</v>
      </c>
      <c r="D71" s="58"/>
      <c r="E71" s="13" t="str">
        <f>"1760"</f>
        <v>1760</v>
      </c>
      <c r="F71" s="29">
        <v>0</v>
      </c>
      <c r="G71" s="2"/>
    </row>
    <row r="72" spans="2:7" x14ac:dyDescent="0.25">
      <c r="B72" s="2"/>
      <c r="C72" s="56" t="s">
        <v>114</v>
      </c>
      <c r="D72" s="51"/>
      <c r="E72" s="13" t="str">
        <f>"1800"</f>
        <v>1800</v>
      </c>
      <c r="F72" s="14">
        <f>F59</f>
        <v>0</v>
      </c>
      <c r="G72" s="2"/>
    </row>
    <row r="73" spans="2:7" x14ac:dyDescent="0.25">
      <c r="B73" s="2"/>
      <c r="C73" s="56" t="s">
        <v>115</v>
      </c>
      <c r="D73" s="51"/>
      <c r="E73" s="13" t="str">
        <f>"1900"</f>
        <v>1900</v>
      </c>
      <c r="F73" s="14">
        <f>F58+F72</f>
        <v>0</v>
      </c>
      <c r="G73" s="2"/>
    </row>
    <row r="74" spans="2:7" x14ac:dyDescent="0.25">
      <c r="B74" s="2"/>
      <c r="C74" s="2"/>
      <c r="D74" s="2"/>
      <c r="E74" s="2"/>
      <c r="F74" s="2"/>
      <c r="G74" s="2"/>
    </row>
    <row r="75" spans="2:7" ht="4.9000000000000004" customHeight="1" x14ac:dyDescent="0.25">
      <c r="B75" s="2"/>
      <c r="C75" s="2"/>
      <c r="D75" s="2"/>
      <c r="E75" s="2"/>
      <c r="F75" s="2"/>
      <c r="G75" s="2"/>
    </row>
  </sheetData>
  <sheetProtection password="BBAF" sheet="1" formatColumns="0" selectLockedCells="1"/>
  <mergeCells count="69">
    <mergeCell ref="C66:D66"/>
    <mergeCell ref="C67:D67"/>
    <mergeCell ref="C68:D68"/>
    <mergeCell ref="C72:D72"/>
    <mergeCell ref="C73:D73"/>
    <mergeCell ref="C69:D69"/>
    <mergeCell ref="C70:D70"/>
    <mergeCell ref="C71:D71"/>
    <mergeCell ref="C63:D63"/>
    <mergeCell ref="F63"/>
    <mergeCell ref="C64:D64"/>
    <mergeCell ref="C65:D65"/>
    <mergeCell ref="C60:D60"/>
    <mergeCell ref="C61:D61"/>
    <mergeCell ref="F61"/>
    <mergeCell ref="C62:D62"/>
    <mergeCell ref="F62"/>
    <mergeCell ref="C56:D56"/>
    <mergeCell ref="C57:D57"/>
    <mergeCell ref="C58:D58"/>
    <mergeCell ref="C59:D59"/>
    <mergeCell ref="C53:D53"/>
    <mergeCell ref="C54:D54"/>
    <mergeCell ref="C55:D55"/>
    <mergeCell ref="C51:D51"/>
    <mergeCell ref="C52:D52"/>
    <mergeCell ref="C46:D46"/>
    <mergeCell ref="C47:D47"/>
    <mergeCell ref="C48:D48"/>
    <mergeCell ref="C45:D45"/>
    <mergeCell ref="C41:D41"/>
    <mergeCell ref="C42:D42"/>
    <mergeCell ref="C49:D49"/>
    <mergeCell ref="C50:D50"/>
    <mergeCell ref="C33:D33"/>
    <mergeCell ref="C34:D34"/>
    <mergeCell ref="C35:D35"/>
    <mergeCell ref="C43:D43"/>
    <mergeCell ref="C44:D44"/>
    <mergeCell ref="C36:D36"/>
    <mergeCell ref="C37:D37"/>
    <mergeCell ref="C38:D38"/>
    <mergeCell ref="C39:D39"/>
    <mergeCell ref="C40:D40"/>
    <mergeCell ref="C31:D31"/>
    <mergeCell ref="C32:D32"/>
    <mergeCell ref="C27:D27"/>
    <mergeCell ref="C28:D28"/>
    <mergeCell ref="C29:D29"/>
    <mergeCell ref="C26:D26"/>
    <mergeCell ref="C21:D21"/>
    <mergeCell ref="C22:D22"/>
    <mergeCell ref="C23:D23"/>
    <mergeCell ref="C30:D30"/>
    <mergeCell ref="F14:F15"/>
    <mergeCell ref="C16:D16"/>
    <mergeCell ref="C17:D17"/>
    <mergeCell ref="C24:D24"/>
    <mergeCell ref="C25:D25"/>
    <mergeCell ref="C18:D18"/>
    <mergeCell ref="C19:D19"/>
    <mergeCell ref="C20:D20"/>
    <mergeCell ref="C14:D15"/>
    <mergeCell ref="E14:E15"/>
    <mergeCell ref="C7:F7"/>
    <mergeCell ref="C9:F9"/>
    <mergeCell ref="C10:F10"/>
    <mergeCell ref="C11:F11"/>
    <mergeCell ref="C13:F13"/>
  </mergeCells>
  <dataValidations count="41"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F20">
      <formula1>-1000000000000000000</formula1>
      <formula2>1000000000000000000</formula2>
    </dataValidation>
    <dataValidation type="decimal" showErrorMessage="1" errorTitle="Kesalahan Jenis Data" error="Data yang dimasukkan harus berupa Angka!" sqref="F21">
      <formula1>-1000000000000000000</formula1>
      <formula2>1000000000000000000</formula2>
    </dataValidation>
    <dataValidation type="decimal" showErrorMessage="1" errorTitle="Kesalahan Jenis Data" error="Data yang dimasukkan harus berupa Angka!" sqref="F22">
      <formula1>-1000000000000000000</formula1>
      <formula2>1000000000000000000</formula2>
    </dataValidation>
    <dataValidation type="decimal" showErrorMessage="1" errorTitle="Kesalahan Jenis Data" error="Data yang dimasukkan harus berupa Angka!" sqref="F23">
      <formula1>-1000000000000000000</formula1>
      <formula2>1000000000000000000</formula2>
    </dataValidation>
    <dataValidation type="decimal" showErrorMessage="1" errorTitle="Kesalahan Jenis Data" error="Data yang dimasukkan harus berupa Angka!" sqref="F24">
      <formula1>-1000000000000000000</formula1>
      <formula2>1000000000000000000</formula2>
    </dataValidation>
    <dataValidation type="decimal" showErrorMessage="1" errorTitle="Kesalahan Jenis Data" error="Data yang dimasukkan harus berupa Angka!" sqref="F25">
      <formula1>-1000000000000000000</formula1>
      <formula2>1000000000000000000</formula2>
    </dataValidation>
    <dataValidation type="decimal" showErrorMessage="1" errorTitle="Kesalahan Jenis Data" error="Data yang dimasukkan harus berupa Angka!" sqref="F28">
      <formula1>-1000000000000000000</formula1>
      <formula2>1000000000000000000</formula2>
    </dataValidation>
    <dataValidation type="decimal" showErrorMessage="1" errorTitle="Kesalahan Jenis Data" error="Data yang dimasukkan harus berupa Angka!" sqref="F29">
      <formula1>-1000000000000000000</formula1>
      <formula2>1000000000000000000</formula2>
    </dataValidation>
    <dataValidation type="decimal" showErrorMessage="1" errorTitle="Kesalahan Jenis Data" error="Data yang dimasukkan harus berupa Angka!" sqref="F30">
      <formula1>-1000000000000000000</formula1>
      <formula2>1000000000000000000</formula2>
    </dataValidation>
    <dataValidation type="decimal" showErrorMessage="1" errorTitle="Kesalahan Jenis Data" error="Data yang dimasukkan harus berupa Angka!" sqref="F31">
      <formula1>-1000000000000000000</formula1>
      <formula2>1000000000000000000</formula2>
    </dataValidation>
    <dataValidation type="decimal" showErrorMessage="1" errorTitle="Kesalahan Jenis Data" error="Data yang dimasukkan harus berupa Angka!" sqref="F32">
      <formula1>-1000000000000000000</formula1>
      <formula2>1000000000000000000</formula2>
    </dataValidation>
    <dataValidation type="decimal" showErrorMessage="1" errorTitle="Kesalahan Jenis Data" error="Data yang dimasukkan harus berupa Angka!" sqref="F33">
      <formula1>-1000000000000000000</formula1>
      <formula2>1000000000000000000</formula2>
    </dataValidation>
    <dataValidation type="decimal" showErrorMessage="1" errorTitle="Kesalahan Jenis Data" error="Data yang dimasukkan harus berupa Angka!" sqref="F34">
      <formula1>-1000000000000000000</formula1>
      <formula2>1000000000000000000</formula2>
    </dataValidation>
    <dataValidation type="decimal" showErrorMessage="1" errorTitle="Kesalahan Jenis Data" error="Data yang dimasukkan harus berupa Angka!" sqref="F35">
      <formula1>-1000000000000000000</formula1>
      <formula2>1000000000000000000</formula2>
    </dataValidation>
    <dataValidation type="decimal" showErrorMessage="1" errorTitle="Kesalahan Jenis Data" error="Data yang dimasukkan harus berupa Angka!" sqref="F40">
      <formula1>-1000000000000000000</formula1>
      <formula2>1000000000000000000</formula2>
    </dataValidation>
    <dataValidation type="decimal" showErrorMessage="1" errorTitle="Kesalahan Jenis Data" error="Data yang dimasukkan harus berupa Angka!" sqref="F41">
      <formula1>-1000000000000000000</formula1>
      <formula2>1000000000000000000</formula2>
    </dataValidation>
    <dataValidation type="decimal" showErrorMessage="1" errorTitle="Kesalahan Jenis Data" error="Data yang dimasukkan harus berupa Angka!" sqref="F42">
      <formula1>-1000000000000000000</formula1>
      <formula2>1000000000000000000</formula2>
    </dataValidation>
    <dataValidation type="decimal" showErrorMessage="1" errorTitle="Kesalahan Jenis Data" error="Data yang dimasukkan harus berupa Angka!" sqref="F43">
      <formula1>-1000000000000000000</formula1>
      <formula2>1000000000000000000</formula2>
    </dataValidation>
    <dataValidation type="decimal" showErrorMessage="1" errorTitle="Kesalahan Jenis Data" error="Data yang dimasukkan harus berupa Angka!" sqref="F44">
      <formula1>-1000000000000000000</formula1>
      <formula2>1000000000000000000</formula2>
    </dataValidation>
    <dataValidation type="decimal" showErrorMessage="1" errorTitle="Kesalahan Jenis Data" error="Data yang dimasukkan harus berupa Angka!" sqref="F45">
      <formula1>-1000000000000000000</formula1>
      <formula2>1000000000000000000</formula2>
    </dataValidation>
    <dataValidation type="decimal" showErrorMessage="1" errorTitle="Kesalahan Jenis Data" error="Data yang dimasukkan harus berupa Angka!" sqref="F46">
      <formula1>-1000000000000000000</formula1>
      <formula2>1000000000000000000</formula2>
    </dataValidation>
    <dataValidation type="decimal" showErrorMessage="1" errorTitle="Kesalahan Jenis Data" error="Data yang dimasukkan harus berupa Angka!" sqref="F47">
      <formula1>-1000000000000000000</formula1>
      <formula2>1000000000000000000</formula2>
    </dataValidation>
    <dataValidation type="decimal" showErrorMessage="1" errorTitle="Kesalahan Jenis Data" error="Data yang dimasukkan harus berupa Angka!" sqref="F48">
      <formula1>-1000000000000000000</formula1>
      <formula2>1000000000000000000</formula2>
    </dataValidation>
    <dataValidation type="decimal" showErrorMessage="1" errorTitle="Kesalahan Jenis Data" error="Data yang dimasukkan harus berupa Angka!" sqref="F49">
      <formula1>-1000000000000000000</formula1>
      <formula2>1000000000000000000</formula2>
    </dataValidation>
    <dataValidation type="decimal" showErrorMessage="1" errorTitle="Kesalahan Jenis Data" error="Data yang dimasukkan harus berupa Angka!" sqref="F52">
      <formula1>-1000000000000000000</formula1>
      <formula2>1000000000000000000</formula2>
    </dataValidation>
    <dataValidation type="decimal" showErrorMessage="1" errorTitle="Kesalahan Jenis Data" error="Data yang dimasukkan harus berupa Angka!" sqref="F53">
      <formula1>-1000000000000000000</formula1>
      <formula2>1000000000000000000</formula2>
    </dataValidation>
    <dataValidation type="decimal" showErrorMessage="1" errorTitle="Kesalahan Jenis Data" error="Data yang dimasukkan harus berupa Angka!" sqref="F54">
      <formula1>-1000000000000000000</formula1>
      <formula2>1000000000000000000</formula2>
    </dataValidation>
    <dataValidation type="decimal" showErrorMessage="1" errorTitle="Kesalahan Jenis Data" error="Data yang dimasukkan harus berupa Angka!" sqref="F55">
      <formula1>-1000000000000000000</formula1>
      <formula2>1000000000000000000</formula2>
    </dataValidation>
    <dataValidation type="decimal" showErrorMessage="1" errorTitle="Kesalahan Jenis Data" error="Data yang dimasukkan harus berupa Angka!" sqref="F56">
      <formula1>-1000000000000000000</formula1>
      <formula2>1000000000000000000</formula2>
    </dataValidation>
    <dataValidation type="decimal" showErrorMessage="1" errorTitle="Kesalahan Jenis Data" error="Data yang dimasukkan harus berupa Angka!" sqref="F61">
      <formula1>-1000000000000000000</formula1>
      <formula2>1000000000000000000</formula2>
    </dataValidation>
    <dataValidation type="decimal" showErrorMessage="1" errorTitle="Kesalahan Jenis Data" error="Data yang dimasukkan harus berupa Angka!" sqref="F62">
      <formula1>-1000000000000000000</formula1>
      <formula2>1000000000000000000</formula2>
    </dataValidation>
    <dataValidation type="decimal" showErrorMessage="1" errorTitle="Kesalahan Jenis Data" error="Data yang dimasukkan harus berupa Angka!" sqref="F63">
      <formula1>-1000000000000000000</formula1>
      <formula2>1000000000000000000</formula2>
    </dataValidation>
    <dataValidation type="decimal" showErrorMessage="1" errorTitle="Kesalahan Jenis Data" error="Data yang dimasukkan harus berupa Angka!" sqref="F65">
      <formula1>-1000000000000000000</formula1>
      <formula2>1000000000000000000</formula2>
    </dataValidation>
    <dataValidation type="decimal" showErrorMessage="1" errorTitle="Kesalahan Jenis Data" error="Data yang dimasukkan harus berupa Angka!" sqref="F66">
      <formula1>-1000000000000000000</formula1>
      <formula2>1000000000000000000</formula2>
    </dataValidation>
    <dataValidation type="decimal" showErrorMessage="1" errorTitle="Kesalahan Jenis Data" error="Data yang dimasukkan harus berupa Angka!" sqref="F67">
      <formula1>-1000000000000000000</formula1>
      <formula2>1000000000000000000</formula2>
    </dataValidation>
    <dataValidation type="decimal" showErrorMessage="1" errorTitle="Kesalahan Jenis Data" error="Data yang dimasukkan harus berupa Angka!" sqref="F68">
      <formula1>-1000000000000000000</formula1>
      <formula2>1000000000000000000</formula2>
    </dataValidation>
    <dataValidation type="decimal" showErrorMessage="1" errorTitle="Kesalahan Jenis Data" error="Data yang dimasukkan harus berupa Angka!" sqref="F69">
      <formula1>-1000000000000000000</formula1>
      <formula2>1000000000000000000</formula2>
    </dataValidation>
    <dataValidation type="decimal" showErrorMessage="1" errorTitle="Kesalahan Jenis Data" error="Data yang dimasukkan harus berupa Angka!" sqref="F70">
      <formula1>-1000000000000000000</formula1>
      <formula2>1000000000000000000</formula2>
    </dataValidation>
    <dataValidation type="decimal" showErrorMessage="1" errorTitle="Kesalahan Jenis Data" error="Data yang dimasukkan harus berupa Angka!" sqref="F71">
      <formula1>-1000000000000000000</formula1>
      <formula2>1000000000000000000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61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"/>
  <sheetViews>
    <sheetView showGridLines="0" view="pageBreakPreview" zoomScaleNormal="70" zoomScaleSheetLayoutView="100" workbookViewId="0">
      <pane xSplit="4" ySplit="15" topLeftCell="G73" activePane="bottomRight" state="frozen"/>
      <selection pane="topRight" activeCell="E1" sqref="E1"/>
      <selection pane="bottomLeft" activeCell="A16" sqref="A16"/>
      <selection pane="bottomRight" activeCell="J68" sqref="J68"/>
    </sheetView>
  </sheetViews>
  <sheetFormatPr defaultColWidth="9.140625" defaultRowHeight="15" x14ac:dyDescent="0.25"/>
  <cols>
    <col min="1" max="1" width="9.140625" style="1" customWidth="1"/>
    <col min="2" max="2" width="1.140625" style="1" customWidth="1"/>
    <col min="3" max="4" width="5.28515625" style="1" customWidth="1"/>
    <col min="5" max="10" width="30" style="1" customWidth="1"/>
    <col min="11" max="11" width="1" style="1" customWidth="1"/>
    <col min="12" max="12" width="9.140625" style="1" customWidth="1"/>
    <col min="13" max="16384" width="9.140625" style="1"/>
  </cols>
  <sheetData>
    <row r="2" spans="2:11" ht="4.9000000000000004" customHeight="1" x14ac:dyDescent="0.25">
      <c r="B2" s="9" t="s">
        <v>116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</row>
    <row r="4" spans="2:1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46"/>
      <c r="J7" s="46"/>
      <c r="K7" s="2"/>
    </row>
    <row r="8" spans="2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25">
      <c r="B9" s="2"/>
      <c r="C9" s="47" t="s">
        <v>117</v>
      </c>
      <c r="D9" s="47"/>
      <c r="E9" s="47"/>
      <c r="F9" s="47"/>
      <c r="G9" s="47"/>
      <c r="H9" s="47"/>
      <c r="I9" s="47"/>
      <c r="J9" s="47"/>
      <c r="K9" s="2"/>
    </row>
    <row r="10" spans="2:11" x14ac:dyDescent="0.25">
      <c r="B10" s="2"/>
      <c r="C10" s="47" t="s">
        <v>118</v>
      </c>
      <c r="D10" s="47"/>
      <c r="E10" s="47"/>
      <c r="F10" s="47"/>
      <c r="G10" s="47"/>
      <c r="H10" s="47"/>
      <c r="I10" s="47"/>
      <c r="J10" s="47"/>
      <c r="K10" s="2"/>
    </row>
    <row r="11" spans="2:11" x14ac:dyDescent="0.25">
      <c r="B11" s="2"/>
      <c r="C11" s="48" t="str">
        <f>CONCATENATE("Bulan ", 'Data Umum'!D12, " Tahun ", TEXT('Data Umum'!D11, "YYYY"))</f>
        <v>Bulan Agustus Tahun 2016</v>
      </c>
      <c r="D11" s="48"/>
      <c r="E11" s="48"/>
      <c r="F11" s="48"/>
      <c r="G11" s="48"/>
      <c r="H11" s="48"/>
      <c r="I11" s="48"/>
      <c r="J11" s="48"/>
      <c r="K11" s="2"/>
    </row>
    <row r="12" spans="2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25">
      <c r="B13" s="2"/>
      <c r="C13" s="49"/>
      <c r="D13" s="49"/>
      <c r="E13" s="49"/>
      <c r="F13" s="49"/>
      <c r="G13" s="49"/>
      <c r="H13" s="49"/>
      <c r="I13" s="49"/>
      <c r="J13" s="49"/>
      <c r="K13" s="2"/>
    </row>
    <row r="14" spans="2:11" x14ac:dyDescent="0.25">
      <c r="B14" s="2"/>
      <c r="C14" s="50" t="s">
        <v>119</v>
      </c>
      <c r="D14" s="51"/>
      <c r="E14" s="54" t="str">
        <f>""</f>
        <v/>
      </c>
      <c r="F14" s="50" t="str">
        <f>"Jangka Waktu"</f>
        <v>Jangka Waktu</v>
      </c>
      <c r="G14" s="51"/>
      <c r="H14" s="54" t="str">
        <f>""</f>
        <v/>
      </c>
      <c r="I14" s="50" t="str">
        <f>"Jumlah"</f>
        <v>Jumlah</v>
      </c>
      <c r="J14" s="51"/>
      <c r="K14" s="2"/>
    </row>
    <row r="15" spans="2:11" x14ac:dyDescent="0.25">
      <c r="B15" s="2"/>
      <c r="C15" s="52"/>
      <c r="D15" s="53"/>
      <c r="E15" s="54" t="str">
        <f>"Nama Bank"</f>
        <v>Nama Bank</v>
      </c>
      <c r="F15" s="54" t="str">
        <f>"Mulai"</f>
        <v>Mulai</v>
      </c>
      <c r="G15" s="54" t="str">
        <f>"Jatuh Tempo"</f>
        <v>Jatuh Tempo</v>
      </c>
      <c r="H15" s="54" t="str">
        <f>"Tingkat Suku Bunga"</f>
        <v>Tingkat Suku Bunga</v>
      </c>
      <c r="I15" s="54" t="str">
        <f>"Bulan Lalu"</f>
        <v>Bulan Lalu</v>
      </c>
      <c r="J15" s="54" t="str">
        <f>"Bulan Laporan"</f>
        <v>Bulan Laporan</v>
      </c>
      <c r="K15" s="2"/>
    </row>
    <row r="16" spans="2:11" x14ac:dyDescent="0.25">
      <c r="B16" s="2"/>
      <c r="C16" s="56" t="s">
        <v>6</v>
      </c>
      <c r="D16" s="51"/>
      <c r="E16" s="30"/>
      <c r="F16" s="40"/>
      <c r="G16" s="31"/>
      <c r="H16" s="32"/>
      <c r="I16" s="29"/>
      <c r="J16" s="29"/>
      <c r="K16" s="2"/>
    </row>
    <row r="17" spans="2:11" x14ac:dyDescent="0.25">
      <c r="B17" s="2"/>
      <c r="C17" s="56" t="s">
        <v>120</v>
      </c>
      <c r="D17" s="51"/>
      <c r="E17" s="30"/>
      <c r="F17" s="40"/>
      <c r="G17" s="31"/>
      <c r="H17" s="32"/>
      <c r="I17" s="29"/>
      <c r="J17" s="29"/>
      <c r="K17" s="2"/>
    </row>
    <row r="18" spans="2:11" x14ac:dyDescent="0.25">
      <c r="B18" s="2"/>
      <c r="C18" s="56" t="s">
        <v>121</v>
      </c>
      <c r="D18" s="51"/>
      <c r="E18" s="30"/>
      <c r="F18" s="40"/>
      <c r="G18" s="31"/>
      <c r="H18" s="32"/>
      <c r="I18" s="29"/>
      <c r="J18" s="29"/>
      <c r="K18" s="2"/>
    </row>
    <row r="19" spans="2:11" x14ac:dyDescent="0.25">
      <c r="B19" s="2"/>
      <c r="C19" s="56" t="s">
        <v>122</v>
      </c>
      <c r="D19" s="51"/>
      <c r="E19" s="30"/>
      <c r="F19" s="40"/>
      <c r="G19" s="31"/>
      <c r="H19" s="32"/>
      <c r="I19" s="29"/>
      <c r="J19" s="29"/>
      <c r="K19" s="2"/>
    </row>
    <row r="20" spans="2:11" x14ac:dyDescent="0.25">
      <c r="B20" s="2"/>
      <c r="C20" s="56" t="s">
        <v>123</v>
      </c>
      <c r="D20" s="51"/>
      <c r="E20" s="30"/>
      <c r="F20" s="40"/>
      <c r="G20" s="31"/>
      <c r="H20" s="32"/>
      <c r="I20" s="29"/>
      <c r="J20" s="29"/>
      <c r="K20" s="2"/>
    </row>
    <row r="21" spans="2:11" x14ac:dyDescent="0.25">
      <c r="B21" s="2"/>
      <c r="C21" s="56" t="s">
        <v>124</v>
      </c>
      <c r="D21" s="51"/>
      <c r="E21" s="30"/>
      <c r="F21" s="40"/>
      <c r="G21" s="31"/>
      <c r="H21" s="32"/>
      <c r="I21" s="29"/>
      <c r="J21" s="29"/>
      <c r="K21" s="2"/>
    </row>
    <row r="22" spans="2:11" x14ac:dyDescent="0.25">
      <c r="B22" s="2"/>
      <c r="C22" s="56" t="s">
        <v>125</v>
      </c>
      <c r="D22" s="51"/>
      <c r="E22" s="30"/>
      <c r="F22" s="40"/>
      <c r="G22" s="31"/>
      <c r="H22" s="32"/>
      <c r="I22" s="29"/>
      <c r="J22" s="29"/>
      <c r="K22" s="2"/>
    </row>
    <row r="23" spans="2:11" x14ac:dyDescent="0.25">
      <c r="B23" s="2"/>
      <c r="C23" s="56" t="s">
        <v>126</v>
      </c>
      <c r="D23" s="51"/>
      <c r="E23" s="30"/>
      <c r="F23" s="40"/>
      <c r="G23" s="31"/>
      <c r="H23" s="32"/>
      <c r="I23" s="29"/>
      <c r="J23" s="29"/>
      <c r="K23" s="2"/>
    </row>
    <row r="24" spans="2:11" s="20" customFormat="1" x14ac:dyDescent="0.25">
      <c r="B24" s="5"/>
      <c r="C24" s="62" t="s">
        <v>127</v>
      </c>
      <c r="D24" s="64"/>
      <c r="E24" s="30"/>
      <c r="F24" s="40"/>
      <c r="G24" s="31"/>
      <c r="H24" s="32"/>
      <c r="I24" s="29"/>
      <c r="J24" s="29"/>
      <c r="K24" s="5"/>
    </row>
    <row r="25" spans="2:11" s="20" customFormat="1" x14ac:dyDescent="0.25">
      <c r="B25" s="5"/>
      <c r="C25" s="21">
        <v>10</v>
      </c>
      <c r="D25" s="22"/>
      <c r="E25" s="30"/>
      <c r="F25" s="40"/>
      <c r="G25" s="31"/>
      <c r="H25" s="32"/>
      <c r="I25" s="29"/>
      <c r="J25" s="29"/>
      <c r="K25" s="5"/>
    </row>
    <row r="26" spans="2:11" s="20" customFormat="1" x14ac:dyDescent="0.25">
      <c r="B26" s="5"/>
      <c r="C26" s="21">
        <v>11</v>
      </c>
      <c r="D26" s="22"/>
      <c r="E26" s="30"/>
      <c r="F26" s="40"/>
      <c r="G26" s="31"/>
      <c r="H26" s="32"/>
      <c r="I26" s="29"/>
      <c r="J26" s="29"/>
      <c r="K26" s="5"/>
    </row>
    <row r="27" spans="2:11" s="20" customFormat="1" x14ac:dyDescent="0.25">
      <c r="B27" s="5"/>
      <c r="C27" s="28">
        <v>12</v>
      </c>
      <c r="D27" s="22"/>
      <c r="E27" s="30"/>
      <c r="F27" s="40"/>
      <c r="G27" s="31"/>
      <c r="H27" s="32"/>
      <c r="I27" s="29"/>
      <c r="J27" s="29"/>
      <c r="K27" s="5"/>
    </row>
    <row r="28" spans="2:11" s="20" customFormat="1" x14ac:dyDescent="0.25">
      <c r="B28" s="5"/>
      <c r="C28" s="28">
        <v>13</v>
      </c>
      <c r="D28" s="22"/>
      <c r="E28" s="30"/>
      <c r="F28" s="40"/>
      <c r="G28" s="31"/>
      <c r="H28" s="32"/>
      <c r="I28" s="29"/>
      <c r="J28" s="29"/>
      <c r="K28" s="5"/>
    </row>
    <row r="29" spans="2:11" s="20" customFormat="1" x14ac:dyDescent="0.25">
      <c r="B29" s="5"/>
      <c r="C29" s="28">
        <v>14</v>
      </c>
      <c r="D29" s="22"/>
      <c r="E29" s="30"/>
      <c r="F29" s="40"/>
      <c r="G29" s="31"/>
      <c r="H29" s="32"/>
      <c r="I29" s="29"/>
      <c r="J29" s="29"/>
      <c r="K29" s="5"/>
    </row>
    <row r="30" spans="2:11" s="20" customFormat="1" x14ac:dyDescent="0.25">
      <c r="B30" s="5"/>
      <c r="C30" s="28">
        <v>15</v>
      </c>
      <c r="D30" s="22"/>
      <c r="E30" s="30"/>
      <c r="F30" s="40"/>
      <c r="G30" s="31"/>
      <c r="H30" s="32"/>
      <c r="I30" s="29"/>
      <c r="J30" s="29"/>
      <c r="K30" s="5"/>
    </row>
    <row r="31" spans="2:11" s="20" customFormat="1" x14ac:dyDescent="0.25">
      <c r="B31" s="5"/>
      <c r="C31" s="28">
        <v>16</v>
      </c>
      <c r="D31" s="22"/>
      <c r="E31" s="30"/>
      <c r="F31" s="40"/>
      <c r="G31" s="31"/>
      <c r="H31" s="32"/>
      <c r="I31" s="29"/>
      <c r="J31" s="29"/>
      <c r="K31" s="5"/>
    </row>
    <row r="32" spans="2:11" s="20" customFormat="1" x14ac:dyDescent="0.25">
      <c r="B32" s="5"/>
      <c r="C32" s="28">
        <v>17</v>
      </c>
      <c r="D32" s="22"/>
      <c r="E32" s="30"/>
      <c r="F32" s="40"/>
      <c r="G32" s="31"/>
      <c r="H32" s="32"/>
      <c r="I32" s="29"/>
      <c r="J32" s="29"/>
      <c r="K32" s="5"/>
    </row>
    <row r="33" spans="2:11" s="20" customFormat="1" x14ac:dyDescent="0.25">
      <c r="B33" s="5"/>
      <c r="C33" s="28">
        <v>18</v>
      </c>
      <c r="D33" s="22"/>
      <c r="E33" s="30"/>
      <c r="F33" s="40"/>
      <c r="G33" s="31"/>
      <c r="H33" s="32"/>
      <c r="I33" s="29"/>
      <c r="J33" s="29"/>
      <c r="K33" s="5"/>
    </row>
    <row r="34" spans="2:11" s="20" customFormat="1" x14ac:dyDescent="0.25">
      <c r="B34" s="5"/>
      <c r="C34" s="28">
        <v>19</v>
      </c>
      <c r="D34" s="22"/>
      <c r="E34" s="30"/>
      <c r="F34" s="40"/>
      <c r="G34" s="31"/>
      <c r="H34" s="32"/>
      <c r="I34" s="29"/>
      <c r="J34" s="29"/>
      <c r="K34" s="5"/>
    </row>
    <row r="35" spans="2:11" s="20" customFormat="1" x14ac:dyDescent="0.25">
      <c r="B35" s="5"/>
      <c r="C35" s="28">
        <v>20</v>
      </c>
      <c r="D35" s="22"/>
      <c r="E35" s="30"/>
      <c r="F35" s="40"/>
      <c r="G35" s="31"/>
      <c r="H35" s="32"/>
      <c r="I35" s="29"/>
      <c r="J35" s="29"/>
      <c r="K35" s="5"/>
    </row>
    <row r="36" spans="2:11" s="20" customFormat="1" x14ac:dyDescent="0.25">
      <c r="B36" s="5"/>
      <c r="C36" s="28">
        <v>21</v>
      </c>
      <c r="D36" s="22"/>
      <c r="E36" s="30"/>
      <c r="F36" s="40"/>
      <c r="G36" s="31"/>
      <c r="H36" s="32"/>
      <c r="I36" s="29"/>
      <c r="J36" s="29"/>
      <c r="K36" s="5"/>
    </row>
    <row r="37" spans="2:11" s="20" customFormat="1" x14ac:dyDescent="0.25">
      <c r="B37" s="5"/>
      <c r="C37" s="28">
        <v>22</v>
      </c>
      <c r="D37" s="22"/>
      <c r="E37" s="30"/>
      <c r="F37" s="40"/>
      <c r="G37" s="31"/>
      <c r="H37" s="32"/>
      <c r="I37" s="29"/>
      <c r="J37" s="29"/>
      <c r="K37" s="5"/>
    </row>
    <row r="38" spans="2:11" s="20" customFormat="1" x14ac:dyDescent="0.25">
      <c r="B38" s="5"/>
      <c r="C38" s="28">
        <v>23</v>
      </c>
      <c r="D38" s="22"/>
      <c r="E38" s="30"/>
      <c r="F38" s="40"/>
      <c r="G38" s="31"/>
      <c r="H38" s="32"/>
      <c r="I38" s="29"/>
      <c r="J38" s="29"/>
      <c r="K38" s="5"/>
    </row>
    <row r="39" spans="2:11" s="20" customFormat="1" x14ac:dyDescent="0.25">
      <c r="B39" s="5"/>
      <c r="C39" s="28">
        <v>24</v>
      </c>
      <c r="D39" s="22"/>
      <c r="E39" s="30"/>
      <c r="F39" s="40"/>
      <c r="G39" s="31"/>
      <c r="H39" s="32"/>
      <c r="I39" s="29"/>
      <c r="J39" s="29"/>
      <c r="K39" s="5"/>
    </row>
    <row r="40" spans="2:11" s="20" customFormat="1" x14ac:dyDescent="0.25">
      <c r="B40" s="5"/>
      <c r="C40" s="28">
        <v>25</v>
      </c>
      <c r="D40" s="22"/>
      <c r="E40" s="30"/>
      <c r="F40" s="40"/>
      <c r="G40" s="31"/>
      <c r="H40" s="32"/>
      <c r="I40" s="29"/>
      <c r="J40" s="29"/>
      <c r="K40" s="5"/>
    </row>
    <row r="41" spans="2:11" s="20" customFormat="1" x14ac:dyDescent="0.25">
      <c r="B41" s="5"/>
      <c r="C41" s="28">
        <v>26</v>
      </c>
      <c r="D41" s="22"/>
      <c r="E41" s="30"/>
      <c r="F41" s="40"/>
      <c r="G41" s="31"/>
      <c r="H41" s="32"/>
      <c r="I41" s="29"/>
      <c r="J41" s="29"/>
      <c r="K41" s="5"/>
    </row>
    <row r="42" spans="2:11" s="20" customFormat="1" x14ac:dyDescent="0.25">
      <c r="B42" s="5"/>
      <c r="C42" s="28">
        <v>27</v>
      </c>
      <c r="D42" s="22"/>
      <c r="E42" s="30"/>
      <c r="F42" s="40"/>
      <c r="G42" s="31"/>
      <c r="H42" s="32"/>
      <c r="I42" s="29"/>
      <c r="J42" s="29"/>
      <c r="K42" s="5"/>
    </row>
    <row r="43" spans="2:11" s="20" customFormat="1" x14ac:dyDescent="0.25">
      <c r="B43" s="5"/>
      <c r="C43" s="28">
        <v>28</v>
      </c>
      <c r="D43" s="22"/>
      <c r="E43" s="30"/>
      <c r="F43" s="40"/>
      <c r="G43" s="31"/>
      <c r="H43" s="32"/>
      <c r="I43" s="29"/>
      <c r="J43" s="29"/>
      <c r="K43" s="5"/>
    </row>
    <row r="44" spans="2:11" s="20" customFormat="1" x14ac:dyDescent="0.25">
      <c r="B44" s="5"/>
      <c r="C44" s="28">
        <v>29</v>
      </c>
      <c r="D44" s="22"/>
      <c r="E44" s="30"/>
      <c r="F44" s="40"/>
      <c r="G44" s="31"/>
      <c r="H44" s="32"/>
      <c r="I44" s="29"/>
      <c r="J44" s="29"/>
      <c r="K44" s="5"/>
    </row>
    <row r="45" spans="2:11" s="20" customFormat="1" x14ac:dyDescent="0.25">
      <c r="B45" s="5"/>
      <c r="C45" s="28">
        <v>30</v>
      </c>
      <c r="D45" s="22"/>
      <c r="E45" s="30"/>
      <c r="F45" s="40"/>
      <c r="G45" s="31"/>
      <c r="H45" s="32"/>
      <c r="I45" s="29"/>
      <c r="J45" s="29"/>
      <c r="K45" s="5"/>
    </row>
    <row r="46" spans="2:11" s="20" customFormat="1" x14ac:dyDescent="0.25">
      <c r="B46" s="5"/>
      <c r="C46" s="28">
        <v>31</v>
      </c>
      <c r="D46" s="22"/>
      <c r="E46" s="30"/>
      <c r="F46" s="40"/>
      <c r="G46" s="31"/>
      <c r="H46" s="32"/>
      <c r="I46" s="29"/>
      <c r="J46" s="29"/>
      <c r="K46" s="5"/>
    </row>
    <row r="47" spans="2:11" s="20" customFormat="1" x14ac:dyDescent="0.25">
      <c r="B47" s="5"/>
      <c r="C47" s="28">
        <v>32</v>
      </c>
      <c r="D47" s="22"/>
      <c r="E47" s="30"/>
      <c r="F47" s="40"/>
      <c r="G47" s="31"/>
      <c r="H47" s="32"/>
      <c r="I47" s="29"/>
      <c r="J47" s="29"/>
      <c r="K47" s="5"/>
    </row>
    <row r="48" spans="2:11" s="20" customFormat="1" x14ac:dyDescent="0.25">
      <c r="B48" s="5"/>
      <c r="C48" s="28">
        <v>33</v>
      </c>
      <c r="D48" s="22"/>
      <c r="E48" s="30"/>
      <c r="F48" s="40"/>
      <c r="G48" s="31"/>
      <c r="H48" s="32"/>
      <c r="I48" s="29"/>
      <c r="J48" s="29"/>
      <c r="K48" s="5"/>
    </row>
    <row r="49" spans="1:11" s="20" customFormat="1" x14ac:dyDescent="0.25">
      <c r="B49" s="5"/>
      <c r="C49" s="28">
        <v>34</v>
      </c>
      <c r="D49" s="22"/>
      <c r="E49" s="30"/>
      <c r="F49" s="40"/>
      <c r="G49" s="31"/>
      <c r="H49" s="32"/>
      <c r="I49" s="29"/>
      <c r="J49" s="29"/>
      <c r="K49" s="5"/>
    </row>
    <row r="50" spans="1:11" s="20" customFormat="1" x14ac:dyDescent="0.25">
      <c r="B50" s="5"/>
      <c r="C50" s="28">
        <v>35</v>
      </c>
      <c r="D50" s="22"/>
      <c r="E50" s="30"/>
      <c r="F50" s="40"/>
      <c r="G50" s="31"/>
      <c r="H50" s="32"/>
      <c r="I50" s="29"/>
      <c r="J50" s="29"/>
      <c r="K50" s="5"/>
    </row>
    <row r="51" spans="1:11" s="20" customFormat="1" x14ac:dyDescent="0.25">
      <c r="B51" s="5"/>
      <c r="C51" s="28">
        <v>36</v>
      </c>
      <c r="D51" s="22"/>
      <c r="E51" s="30"/>
      <c r="F51" s="40"/>
      <c r="G51" s="31"/>
      <c r="H51" s="32"/>
      <c r="I51" s="29"/>
      <c r="J51" s="29"/>
      <c r="K51" s="5"/>
    </row>
    <row r="52" spans="1:11" s="20" customFormat="1" x14ac:dyDescent="0.25">
      <c r="B52" s="5"/>
      <c r="C52" s="28">
        <v>37</v>
      </c>
      <c r="D52" s="22"/>
      <c r="E52" s="30"/>
      <c r="F52" s="40"/>
      <c r="G52" s="31"/>
      <c r="H52" s="32"/>
      <c r="I52" s="29"/>
      <c r="J52" s="29"/>
      <c r="K52" s="5"/>
    </row>
    <row r="53" spans="1:11" s="20" customFormat="1" x14ac:dyDescent="0.25">
      <c r="B53" s="5"/>
      <c r="C53" s="28">
        <v>38</v>
      </c>
      <c r="D53" s="22"/>
      <c r="E53" s="30"/>
      <c r="F53" s="40"/>
      <c r="G53" s="31"/>
      <c r="H53" s="32"/>
      <c r="I53" s="29"/>
      <c r="J53" s="29"/>
      <c r="K53" s="5"/>
    </row>
    <row r="54" spans="1:11" s="20" customFormat="1" x14ac:dyDescent="0.25">
      <c r="A54" s="20" t="s">
        <v>372</v>
      </c>
      <c r="B54" s="5"/>
      <c r="C54" s="28">
        <v>39</v>
      </c>
      <c r="D54" s="22"/>
      <c r="E54" s="30"/>
      <c r="F54" s="40"/>
      <c r="G54" s="31"/>
      <c r="H54" s="32"/>
      <c r="I54" s="29"/>
      <c r="J54" s="29"/>
      <c r="K54" s="5"/>
    </row>
    <row r="55" spans="1:11" s="20" customFormat="1" x14ac:dyDescent="0.25">
      <c r="B55" s="5"/>
      <c r="C55" s="28">
        <v>40</v>
      </c>
      <c r="D55" s="22"/>
      <c r="E55" s="30"/>
      <c r="F55" s="40"/>
      <c r="G55" s="31"/>
      <c r="H55" s="32"/>
      <c r="I55" s="29"/>
      <c r="J55" s="29"/>
      <c r="K55" s="5"/>
    </row>
    <row r="56" spans="1:11" s="20" customFormat="1" x14ac:dyDescent="0.25">
      <c r="B56" s="5"/>
      <c r="C56" s="28">
        <v>41</v>
      </c>
      <c r="D56" s="22"/>
      <c r="E56" s="30"/>
      <c r="F56" s="40"/>
      <c r="G56" s="31"/>
      <c r="H56" s="32"/>
      <c r="I56" s="29"/>
      <c r="J56" s="29"/>
      <c r="K56" s="5"/>
    </row>
    <row r="57" spans="1:11" s="20" customFormat="1" x14ac:dyDescent="0.25">
      <c r="B57" s="5"/>
      <c r="C57" s="28">
        <v>42</v>
      </c>
      <c r="D57" s="22"/>
      <c r="E57" s="30"/>
      <c r="F57" s="40"/>
      <c r="G57" s="31"/>
      <c r="H57" s="32"/>
      <c r="I57" s="29"/>
      <c r="J57" s="29"/>
      <c r="K57" s="5"/>
    </row>
    <row r="58" spans="1:11" s="20" customFormat="1" x14ac:dyDescent="0.25">
      <c r="B58" s="5"/>
      <c r="C58" s="28">
        <v>43</v>
      </c>
      <c r="D58" s="22"/>
      <c r="E58" s="30"/>
      <c r="F58" s="40"/>
      <c r="G58" s="31"/>
      <c r="H58" s="32"/>
      <c r="I58" s="29"/>
      <c r="J58" s="29"/>
      <c r="K58" s="5"/>
    </row>
    <row r="59" spans="1:11" s="20" customFormat="1" x14ac:dyDescent="0.25">
      <c r="B59" s="5"/>
      <c r="C59" s="28">
        <v>44</v>
      </c>
      <c r="D59" s="22"/>
      <c r="E59" s="30"/>
      <c r="F59" s="40"/>
      <c r="G59" s="31"/>
      <c r="H59" s="32"/>
      <c r="I59" s="29"/>
      <c r="J59" s="29"/>
      <c r="K59" s="5"/>
    </row>
    <row r="60" spans="1:11" s="20" customFormat="1" x14ac:dyDescent="0.25">
      <c r="B60" s="5"/>
      <c r="C60" s="28">
        <v>45</v>
      </c>
      <c r="D60" s="22"/>
      <c r="E60" s="30"/>
      <c r="F60" s="40"/>
      <c r="G60" s="31"/>
      <c r="H60" s="32"/>
      <c r="I60" s="29"/>
      <c r="J60" s="29"/>
      <c r="K60" s="5"/>
    </row>
    <row r="61" spans="1:11" s="20" customFormat="1" x14ac:dyDescent="0.25">
      <c r="B61" s="5"/>
      <c r="C61" s="28">
        <v>46</v>
      </c>
      <c r="D61" s="22"/>
      <c r="E61" s="33"/>
      <c r="F61" s="40"/>
      <c r="G61" s="31"/>
      <c r="H61" s="32"/>
      <c r="I61" s="29"/>
      <c r="J61" s="29"/>
      <c r="K61" s="5"/>
    </row>
    <row r="62" spans="1:11" s="20" customFormat="1" x14ac:dyDescent="0.25">
      <c r="B62" s="5"/>
      <c r="C62" s="28">
        <v>47</v>
      </c>
      <c r="D62" s="22"/>
      <c r="E62" s="30"/>
      <c r="F62" s="40"/>
      <c r="G62" s="31"/>
      <c r="H62" s="32"/>
      <c r="I62" s="29"/>
      <c r="J62" s="29"/>
      <c r="K62" s="5"/>
    </row>
    <row r="63" spans="1:11" s="20" customFormat="1" x14ac:dyDescent="0.25">
      <c r="B63" s="5"/>
      <c r="C63" s="28">
        <v>48</v>
      </c>
      <c r="D63" s="22"/>
      <c r="E63" s="30"/>
      <c r="F63" s="40"/>
      <c r="G63" s="31"/>
      <c r="H63" s="32"/>
      <c r="I63" s="29"/>
      <c r="J63" s="29"/>
      <c r="K63" s="5"/>
    </row>
    <row r="64" spans="1:11" s="20" customFormat="1" x14ac:dyDescent="0.25">
      <c r="B64" s="5"/>
      <c r="C64" s="28">
        <v>49</v>
      </c>
      <c r="D64" s="22"/>
      <c r="E64" s="30"/>
      <c r="F64" s="40"/>
      <c r="G64" s="31"/>
      <c r="H64" s="32"/>
      <c r="I64" s="29"/>
      <c r="J64" s="29"/>
      <c r="K64" s="5"/>
    </row>
    <row r="65" spans="1:11" s="20" customFormat="1" x14ac:dyDescent="0.25">
      <c r="B65" s="5"/>
      <c r="C65" s="28">
        <v>50</v>
      </c>
      <c r="D65" s="22"/>
      <c r="E65" s="33"/>
      <c r="F65" s="40"/>
      <c r="G65" s="31"/>
      <c r="H65" s="32"/>
      <c r="I65" s="29"/>
      <c r="J65" s="29"/>
      <c r="K65" s="5"/>
    </row>
    <row r="66" spans="1:11" s="20" customFormat="1" x14ac:dyDescent="0.25">
      <c r="B66" s="5"/>
      <c r="C66" s="28">
        <v>51</v>
      </c>
      <c r="D66" s="26"/>
      <c r="E66" s="30"/>
      <c r="F66" s="40"/>
      <c r="G66" s="31"/>
      <c r="H66" s="32"/>
      <c r="I66" s="29"/>
      <c r="J66" s="29"/>
      <c r="K66" s="5"/>
    </row>
    <row r="67" spans="1:11" s="20" customFormat="1" x14ac:dyDescent="0.25">
      <c r="B67" s="5"/>
      <c r="C67" s="36">
        <v>52</v>
      </c>
      <c r="D67" s="37"/>
      <c r="E67" s="33"/>
      <c r="F67" s="40"/>
      <c r="G67" s="39"/>
      <c r="H67" s="38"/>
      <c r="I67" s="35"/>
      <c r="J67" s="35"/>
      <c r="K67" s="5"/>
    </row>
    <row r="68" spans="1:11" s="20" customFormat="1" x14ac:dyDescent="0.25">
      <c r="B68" s="5"/>
      <c r="C68" s="36">
        <v>53</v>
      </c>
      <c r="D68" s="37"/>
      <c r="E68" s="33"/>
      <c r="F68" s="40"/>
      <c r="G68" s="39"/>
      <c r="H68" s="38"/>
      <c r="I68" s="35"/>
      <c r="J68" s="35"/>
      <c r="K68" s="5"/>
    </row>
    <row r="69" spans="1:11" s="20" customFormat="1" x14ac:dyDescent="0.25">
      <c r="B69" s="5"/>
      <c r="C69" s="28">
        <v>54</v>
      </c>
      <c r="D69" s="27"/>
      <c r="E69" s="30"/>
      <c r="F69" s="40"/>
      <c r="G69" s="31"/>
      <c r="H69" s="32"/>
      <c r="I69" s="29"/>
      <c r="J69" s="29"/>
      <c r="K69" s="5"/>
    </row>
    <row r="70" spans="1:11" s="20" customFormat="1" x14ac:dyDescent="0.25">
      <c r="A70" s="23"/>
      <c r="B70" s="5"/>
      <c r="C70" s="62"/>
      <c r="D70" s="63"/>
      <c r="K70" s="5"/>
    </row>
    <row r="71" spans="1:11" x14ac:dyDescent="0.25">
      <c r="A71" s="24" t="s">
        <v>130</v>
      </c>
      <c r="B71" s="2"/>
      <c r="C71" s="56" t="s">
        <v>131</v>
      </c>
      <c r="D71" s="51"/>
      <c r="E71" s="13" t="str">
        <f>""</f>
        <v/>
      </c>
      <c r="F71" s="18" t="str">
        <f>""</f>
        <v/>
      </c>
      <c r="G71" s="18" t="str">
        <f>""</f>
        <v/>
      </c>
      <c r="H71" s="15" t="str">
        <f>""</f>
        <v/>
      </c>
      <c r="I71" s="19">
        <f>SUM(I16:I69)</f>
        <v>0</v>
      </c>
      <c r="J71" s="19">
        <f>SUM(J16:J69)</f>
        <v>0</v>
      </c>
      <c r="K71" s="2"/>
    </row>
    <row r="72" spans="1:1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4.9000000000000004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</row>
  </sheetData>
  <sheetProtection password="BBAF" sheet="1" formatColumns="0" insertRows="0" deleteRows="0" selectLockedCells="1"/>
  <mergeCells count="27">
    <mergeCell ref="C22:D22"/>
    <mergeCell ref="C21:D21"/>
    <mergeCell ref="C23:D23"/>
    <mergeCell ref="C71:D71"/>
    <mergeCell ref="C70:D70"/>
    <mergeCell ref="C24:D24"/>
    <mergeCell ref="C16:D16"/>
    <mergeCell ref="H15"/>
    <mergeCell ref="C18:D18"/>
    <mergeCell ref="C17:D17"/>
    <mergeCell ref="C20:D20"/>
    <mergeCell ref="C19:D19"/>
    <mergeCell ref="H14"/>
    <mergeCell ref="I15"/>
    <mergeCell ref="I14:J14"/>
    <mergeCell ref="J15"/>
    <mergeCell ref="C14:D15"/>
    <mergeCell ref="E15"/>
    <mergeCell ref="E14"/>
    <mergeCell ref="F15"/>
    <mergeCell ref="G15"/>
    <mergeCell ref="F14:G14"/>
    <mergeCell ref="C7:J7"/>
    <mergeCell ref="C9:J9"/>
    <mergeCell ref="C10:J10"/>
    <mergeCell ref="C11:J11"/>
    <mergeCell ref="C13:J13"/>
  </mergeCells>
  <dataValidations count="2">
    <dataValidation type="date" showErrorMessage="1" errorTitle="Kesalahan Jenis Data" error="Data yang dimasukkan harus berupa tanggal!" sqref="F54:G69 F16:G52">
      <formula1>0</formula1>
      <formula2>2958465.99999999</formula2>
    </dataValidation>
    <dataValidation type="decimal" showErrorMessage="1" errorTitle="Kesalahan Jenis Data" error="Data yang dimasukkan harus berupa Angka!" sqref="H54:J69 H16:J52">
      <formula1>-1000000000000000000</formula1>
      <formula2>1000000000000000000</formula2>
    </dataValidation>
  </dataValidations>
  <pageMargins left="0.7" right="0.7" top="0.75" bottom="0.75" header="0.3" footer="0.3"/>
  <pageSetup paperSize="9" scale="63" orientation="landscape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showGridLines="0" view="pageBreakPreview" zoomScale="60" zoomScaleNormal="70" workbookViewId="0">
      <pane xSplit="4" ySplit="15" topLeftCell="E31" activePane="bottomRight" state="frozen"/>
      <selection pane="topRight" activeCell="E1" sqref="E1"/>
      <selection pane="bottomLeft" activeCell="A16" sqref="A16"/>
      <selection pane="bottomRight" activeCell="E24" sqref="E24"/>
    </sheetView>
  </sheetViews>
  <sheetFormatPr defaultColWidth="9.140625" defaultRowHeight="15" x14ac:dyDescent="0.25"/>
  <cols>
    <col min="1" max="1" width="9.140625" style="1" customWidth="1"/>
    <col min="2" max="3" width="1" style="1" customWidth="1"/>
    <col min="4" max="12" width="30" style="1" customWidth="1"/>
    <col min="13" max="13" width="1" style="1" customWidth="1"/>
    <col min="14" max="14" width="9.140625" style="1" customWidth="1"/>
    <col min="15" max="16384" width="9.140625" style="1"/>
  </cols>
  <sheetData>
    <row r="2" spans="2:13" ht="4.9000000000000004" customHeight="1" x14ac:dyDescent="0.25">
      <c r="B2" s="9" t="s">
        <v>132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46"/>
      <c r="J7" s="46"/>
      <c r="K7" s="46"/>
      <c r="L7" s="46"/>
      <c r="M7" s="2"/>
    </row>
    <row r="8" spans="2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25">
      <c r="B9" s="2"/>
      <c r="C9" s="47" t="s">
        <v>133</v>
      </c>
      <c r="D9" s="47"/>
      <c r="E9" s="47"/>
      <c r="F9" s="47"/>
      <c r="G9" s="47"/>
      <c r="H9" s="47"/>
      <c r="I9" s="47"/>
      <c r="J9" s="47"/>
      <c r="K9" s="47"/>
      <c r="L9" s="47"/>
      <c r="M9" s="2"/>
    </row>
    <row r="10" spans="2:13" x14ac:dyDescent="0.25">
      <c r="B10" s="2"/>
      <c r="C10" s="47" t="s">
        <v>118</v>
      </c>
      <c r="D10" s="47"/>
      <c r="E10" s="47"/>
      <c r="F10" s="47"/>
      <c r="G10" s="47"/>
      <c r="H10" s="47"/>
      <c r="I10" s="47"/>
      <c r="J10" s="47"/>
      <c r="K10" s="47"/>
      <c r="L10" s="47"/>
      <c r="M10" s="2"/>
    </row>
    <row r="11" spans="2:13" x14ac:dyDescent="0.25">
      <c r="B11" s="2"/>
      <c r="C11" s="48" t="str">
        <f>CONCATENATE("Bulan ", 'Data Umum'!D12, " Tahun ", TEXT('Data Umum'!D11, "YYYY"))</f>
        <v>Bulan Agustus Tahun 2016</v>
      </c>
      <c r="D11" s="48"/>
      <c r="E11" s="48"/>
      <c r="F11" s="48"/>
      <c r="G11" s="48"/>
      <c r="H11" s="48"/>
      <c r="I11" s="48"/>
      <c r="J11" s="48"/>
      <c r="K11" s="48"/>
      <c r="L11" s="48"/>
      <c r="M11" s="2"/>
    </row>
    <row r="12" spans="2:1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 x14ac:dyDescent="0.25">
      <c r="B13" s="2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2"/>
    </row>
    <row r="14" spans="2:13" x14ac:dyDescent="0.25">
      <c r="B14" s="2"/>
      <c r="C14" s="50" t="s">
        <v>119</v>
      </c>
      <c r="D14" s="51"/>
      <c r="E14" s="50" t="str">
        <f>""</f>
        <v/>
      </c>
      <c r="F14" s="51"/>
      <c r="G14" s="50" t="str">
        <f>"Jangka Waktu"</f>
        <v>Jangka Waktu</v>
      </c>
      <c r="H14" s="51"/>
      <c r="I14" s="50" t="str">
        <f>"Suku Bunga"</f>
        <v>Suku Bunga</v>
      </c>
      <c r="J14" s="51"/>
      <c r="K14" s="50" t="str">
        <f>"Jumlah"</f>
        <v>Jumlah</v>
      </c>
      <c r="L14" s="51"/>
      <c r="M14" s="2"/>
    </row>
    <row r="15" spans="2:13" x14ac:dyDescent="0.25">
      <c r="B15" s="2"/>
      <c r="C15" s="52"/>
      <c r="D15" s="53"/>
      <c r="E15" s="54" t="str">
        <f>"Jenis Surat Berharga"</f>
        <v>Jenis Surat Berharga</v>
      </c>
      <c r="F15" s="54" t="str">
        <f>"Nama Penerbit"</f>
        <v>Nama Penerbit</v>
      </c>
      <c r="G15" s="54" t="str">
        <f>"Tanggal Penerbitan"</f>
        <v>Tanggal Penerbitan</v>
      </c>
      <c r="H15" s="54" t="str">
        <f>"Jatuh Tempo"</f>
        <v>Jatuh Tempo</v>
      </c>
      <c r="I15" s="54" t="str">
        <f>"Tingkat Suku Bunga"</f>
        <v>Tingkat Suku Bunga</v>
      </c>
      <c r="J15" s="54" t="str">
        <f>"Jenis Suku Bunga"</f>
        <v>Jenis Suku Bunga</v>
      </c>
      <c r="K15" s="54" t="str">
        <f>"Bulan Lalu"</f>
        <v>Bulan Lalu</v>
      </c>
      <c r="L15" s="54" t="str">
        <f>"Bulan Laporan"</f>
        <v>Bulan Laporan</v>
      </c>
      <c r="M15" s="2"/>
    </row>
    <row r="16" spans="2:13" x14ac:dyDescent="0.25">
      <c r="B16" s="2"/>
      <c r="C16" s="56" t="s">
        <v>6</v>
      </c>
      <c r="D16" s="51"/>
      <c r="E16" s="65"/>
      <c r="F16" s="65"/>
      <c r="G16" s="66"/>
      <c r="H16" s="66"/>
      <c r="I16" s="67">
        <v>0</v>
      </c>
      <c r="J16" s="65"/>
      <c r="K16" s="61">
        <v>0</v>
      </c>
      <c r="L16" s="61">
        <v>0</v>
      </c>
      <c r="M16" s="2"/>
    </row>
    <row r="17" spans="1:13" x14ac:dyDescent="0.25">
      <c r="B17" s="2"/>
      <c r="C17" s="56" t="s">
        <v>120</v>
      </c>
      <c r="D17" s="51"/>
      <c r="E17" s="65"/>
      <c r="F17" s="65"/>
      <c r="G17" s="66"/>
      <c r="H17" s="66"/>
      <c r="I17" s="67">
        <v>0</v>
      </c>
      <c r="J17" s="65"/>
      <c r="K17" s="61">
        <v>0</v>
      </c>
      <c r="L17" s="61">
        <v>0</v>
      </c>
      <c r="M17" s="2"/>
    </row>
    <row r="18" spans="1:13" x14ac:dyDescent="0.25">
      <c r="B18" s="2"/>
      <c r="C18" s="56" t="s">
        <v>121</v>
      </c>
      <c r="D18" s="51"/>
      <c r="E18" s="65"/>
      <c r="F18" s="65"/>
      <c r="G18" s="66"/>
      <c r="H18" s="66"/>
      <c r="I18" s="67">
        <v>0</v>
      </c>
      <c r="J18" s="65"/>
      <c r="K18" s="61">
        <v>0</v>
      </c>
      <c r="L18" s="61">
        <v>0</v>
      </c>
      <c r="M18" s="2"/>
    </row>
    <row r="19" spans="1:13" x14ac:dyDescent="0.25">
      <c r="B19" s="2"/>
      <c r="C19" s="56" t="s">
        <v>122</v>
      </c>
      <c r="D19" s="51"/>
      <c r="E19" s="65"/>
      <c r="F19" s="65"/>
      <c r="G19" s="66"/>
      <c r="H19" s="66"/>
      <c r="I19" s="67">
        <v>0</v>
      </c>
      <c r="J19" s="65"/>
      <c r="K19" s="61">
        <v>0</v>
      </c>
      <c r="L19" s="61">
        <v>0</v>
      </c>
      <c r="M19" s="2"/>
    </row>
    <row r="20" spans="1:13" x14ac:dyDescent="0.25">
      <c r="B20" s="2"/>
      <c r="C20" s="56" t="s">
        <v>123</v>
      </c>
      <c r="D20" s="51"/>
      <c r="E20" s="65"/>
      <c r="F20" s="65"/>
      <c r="G20" s="66"/>
      <c r="H20" s="66"/>
      <c r="I20" s="67">
        <v>0</v>
      </c>
      <c r="J20" s="65"/>
      <c r="K20" s="61">
        <v>0</v>
      </c>
      <c r="L20" s="61">
        <v>0</v>
      </c>
      <c r="M20" s="2"/>
    </row>
    <row r="21" spans="1:13" x14ac:dyDescent="0.25">
      <c r="B21" s="2"/>
      <c r="C21" s="56" t="s">
        <v>124</v>
      </c>
      <c r="D21" s="51"/>
      <c r="E21" s="65"/>
      <c r="F21" s="65"/>
      <c r="G21" s="66"/>
      <c r="H21" s="66"/>
      <c r="I21" s="67">
        <v>0</v>
      </c>
      <c r="J21" s="65"/>
      <c r="K21" s="61">
        <v>0</v>
      </c>
      <c r="L21" s="61">
        <v>0</v>
      </c>
      <c r="M21" s="2"/>
    </row>
    <row r="22" spans="1:13" x14ac:dyDescent="0.25">
      <c r="B22" s="2"/>
      <c r="C22" s="56" t="s">
        <v>125</v>
      </c>
      <c r="D22" s="51"/>
      <c r="E22" s="65"/>
      <c r="F22" s="65"/>
      <c r="G22" s="66"/>
      <c r="H22" s="66"/>
      <c r="I22" s="67">
        <v>0</v>
      </c>
      <c r="J22" s="65"/>
      <c r="K22" s="61">
        <v>0</v>
      </c>
      <c r="L22" s="61">
        <v>0</v>
      </c>
      <c r="M22" s="2"/>
    </row>
    <row r="23" spans="1:13" x14ac:dyDescent="0.25">
      <c r="B23" s="2"/>
      <c r="C23" s="56" t="s">
        <v>126</v>
      </c>
      <c r="D23" s="51"/>
      <c r="E23" s="65"/>
      <c r="F23" s="65"/>
      <c r="G23" s="66"/>
      <c r="H23" s="66"/>
      <c r="I23" s="67">
        <v>0</v>
      </c>
      <c r="J23" s="65"/>
      <c r="K23" s="61">
        <v>0</v>
      </c>
      <c r="L23" s="61">
        <v>0</v>
      </c>
      <c r="M23" s="2"/>
    </row>
    <row r="24" spans="1:13" s="20" customFormat="1" x14ac:dyDescent="0.25">
      <c r="B24" s="5"/>
      <c r="C24" s="62" t="s">
        <v>127</v>
      </c>
      <c r="D24" s="64"/>
      <c r="E24" s="65"/>
      <c r="F24" s="65"/>
      <c r="G24" s="66"/>
      <c r="H24" s="66"/>
      <c r="I24" s="67">
        <v>0</v>
      </c>
      <c r="J24" s="65"/>
      <c r="K24" s="61">
        <v>0</v>
      </c>
      <c r="L24" s="61">
        <v>0</v>
      </c>
      <c r="M24" s="5"/>
    </row>
    <row r="25" spans="1:13" s="20" customFormat="1" x14ac:dyDescent="0.25">
      <c r="A25" s="23" t="s">
        <v>128</v>
      </c>
      <c r="B25" s="5"/>
      <c r="C25" s="62" t="s">
        <v>129</v>
      </c>
      <c r="D25" s="64"/>
      <c r="E25" s="65"/>
      <c r="F25" s="65"/>
      <c r="G25" s="66"/>
      <c r="H25" s="66"/>
      <c r="I25" s="67">
        <v>0</v>
      </c>
      <c r="J25" s="65"/>
      <c r="K25" s="61">
        <v>0</v>
      </c>
      <c r="L25" s="61">
        <v>0</v>
      </c>
      <c r="M25" s="5"/>
    </row>
    <row r="26" spans="1:13" x14ac:dyDescent="0.25">
      <c r="A26" s="24" t="s">
        <v>130</v>
      </c>
      <c r="B26" s="2"/>
      <c r="C26" s="56" t="s">
        <v>131</v>
      </c>
      <c r="D26" s="51"/>
      <c r="E26" s="13" t="str">
        <f>""</f>
        <v/>
      </c>
      <c r="F26" s="13" t="str">
        <f>""</f>
        <v/>
      </c>
      <c r="G26" s="18" t="str">
        <f>""</f>
        <v/>
      </c>
      <c r="H26" s="18" t="str">
        <f>""</f>
        <v/>
      </c>
      <c r="I26" s="15" t="str">
        <f>""</f>
        <v/>
      </c>
      <c r="J26" s="13" t="str">
        <f>""</f>
        <v/>
      </c>
      <c r="K26" s="19">
        <f>SUM(K16:K25)</f>
        <v>0</v>
      </c>
      <c r="L26" s="19">
        <f>SUM(L16:L25)</f>
        <v>0</v>
      </c>
      <c r="M26" s="2"/>
    </row>
    <row r="27" spans="1:1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4.9000000000000004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</sheetData>
  <sheetProtection password="BBAF" sheet="1" formatColumns="0" insertRows="0" deleteRows="0" selectLockedCells="1"/>
  <mergeCells count="109">
    <mergeCell ref="I25"/>
    <mergeCell ref="J25"/>
    <mergeCell ref="K25"/>
    <mergeCell ref="L25"/>
    <mergeCell ref="C26:D26"/>
    <mergeCell ref="C25:D25"/>
    <mergeCell ref="E25"/>
    <mergeCell ref="F25"/>
    <mergeCell ref="G25"/>
    <mergeCell ref="H25"/>
    <mergeCell ref="I23"/>
    <mergeCell ref="J23"/>
    <mergeCell ref="K23"/>
    <mergeCell ref="L23"/>
    <mergeCell ref="C24:D24"/>
    <mergeCell ref="E24"/>
    <mergeCell ref="F24"/>
    <mergeCell ref="G24"/>
    <mergeCell ref="H24"/>
    <mergeCell ref="I24"/>
    <mergeCell ref="J24"/>
    <mergeCell ref="K24"/>
    <mergeCell ref="L24"/>
    <mergeCell ref="C23:D23"/>
    <mergeCell ref="E23"/>
    <mergeCell ref="F23"/>
    <mergeCell ref="G23"/>
    <mergeCell ref="H23"/>
    <mergeCell ref="I21"/>
    <mergeCell ref="J21"/>
    <mergeCell ref="K21"/>
    <mergeCell ref="L21"/>
    <mergeCell ref="C22:D22"/>
    <mergeCell ref="E22"/>
    <mergeCell ref="F22"/>
    <mergeCell ref="G22"/>
    <mergeCell ref="H22"/>
    <mergeCell ref="I22"/>
    <mergeCell ref="J22"/>
    <mergeCell ref="K22"/>
    <mergeCell ref="L22"/>
    <mergeCell ref="C21:D21"/>
    <mergeCell ref="E21"/>
    <mergeCell ref="F21"/>
    <mergeCell ref="G21"/>
    <mergeCell ref="H21"/>
    <mergeCell ref="I19"/>
    <mergeCell ref="J19"/>
    <mergeCell ref="K19"/>
    <mergeCell ref="L19"/>
    <mergeCell ref="C20:D20"/>
    <mergeCell ref="E20"/>
    <mergeCell ref="F20"/>
    <mergeCell ref="G20"/>
    <mergeCell ref="H20"/>
    <mergeCell ref="I20"/>
    <mergeCell ref="J20"/>
    <mergeCell ref="K20"/>
    <mergeCell ref="L20"/>
    <mergeCell ref="C19:D19"/>
    <mergeCell ref="E19"/>
    <mergeCell ref="F19"/>
    <mergeCell ref="G19"/>
    <mergeCell ref="H19"/>
    <mergeCell ref="F15"/>
    <mergeCell ref="E14:F14"/>
    <mergeCell ref="G15"/>
    <mergeCell ref="I17"/>
    <mergeCell ref="J17"/>
    <mergeCell ref="K17"/>
    <mergeCell ref="L17"/>
    <mergeCell ref="C18:D18"/>
    <mergeCell ref="E18"/>
    <mergeCell ref="F18"/>
    <mergeCell ref="G18"/>
    <mergeCell ref="H18"/>
    <mergeCell ref="I18"/>
    <mergeCell ref="J18"/>
    <mergeCell ref="K18"/>
    <mergeCell ref="L18"/>
    <mergeCell ref="C17:D17"/>
    <mergeCell ref="E17"/>
    <mergeCell ref="F17"/>
    <mergeCell ref="G17"/>
    <mergeCell ref="H17"/>
    <mergeCell ref="C7:L7"/>
    <mergeCell ref="C9:L9"/>
    <mergeCell ref="C10:L10"/>
    <mergeCell ref="C11:L11"/>
    <mergeCell ref="C13:L13"/>
    <mergeCell ref="K15"/>
    <mergeCell ref="K14:L14"/>
    <mergeCell ref="L15"/>
    <mergeCell ref="C16:D16"/>
    <mergeCell ref="E16"/>
    <mergeCell ref="F16"/>
    <mergeCell ref="G16"/>
    <mergeCell ref="H16"/>
    <mergeCell ref="I16"/>
    <mergeCell ref="J16"/>
    <mergeCell ref="K16"/>
    <mergeCell ref="L16"/>
    <mergeCell ref="H15"/>
    <mergeCell ref="G14:H14"/>
    <mergeCell ref="I15"/>
    <mergeCell ref="J15"/>
    <mergeCell ref="I14:J14"/>
    <mergeCell ref="C14:D15"/>
    <mergeCell ref="E15"/>
  </mergeCells>
  <dataValidations count="50">
    <dataValidation type="date" showErrorMessage="1" errorTitle="Kesalahan Jenis Data" error="Data yang dimasukkan harus berupa tanggal!" sqref="G16">
      <formula1>0</formula1>
      <formula2>2958465.99999999</formula2>
    </dataValidation>
    <dataValidation type="date" showErrorMessage="1" errorTitle="Kesalahan Jenis Data" error="Data yang dimasukkan harus berupa tanggal!" sqref="H16">
      <formula1>0</formula1>
      <formula2>2958465.99999999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K16">
      <formula1>-1000000000000000000</formula1>
      <formula2>1000000000000000000</formula2>
    </dataValidation>
    <dataValidation type="decimal" showErrorMessage="1" errorTitle="Kesalahan Jenis Data" error="Data yang dimasukkan harus berupa Angka!" sqref="L16">
      <formula1>-1000000000000000000</formula1>
      <formula2>1000000000000000000</formula2>
    </dataValidation>
    <dataValidation type="date" showErrorMessage="1" errorTitle="Kesalahan Jenis Data" error="Data yang dimasukkan harus berupa tanggal!" sqref="G17">
      <formula1>0</formula1>
      <formula2>2958465.99999999</formula2>
    </dataValidation>
    <dataValidation type="date" showErrorMessage="1" errorTitle="Kesalahan Jenis Data" error="Data yang dimasukkan harus berupa tanggal!" sqref="H17">
      <formula1>0</formula1>
      <formula2>2958465.99999999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K17">
      <formula1>-1000000000000000000</formula1>
      <formula2>1000000000000000000</formula2>
    </dataValidation>
    <dataValidation type="decimal" showErrorMessage="1" errorTitle="Kesalahan Jenis Data" error="Data yang dimasukkan harus berupa Angka!" sqref="L17">
      <formula1>-1000000000000000000</formula1>
      <formula2>1000000000000000000</formula2>
    </dataValidation>
    <dataValidation type="date" showErrorMessage="1" errorTitle="Kesalahan Jenis Data" error="Data yang dimasukkan harus berupa tanggal!" sqref="G18">
      <formula1>0</formula1>
      <formula2>2958465.99999999</formula2>
    </dataValidation>
    <dataValidation type="date" showErrorMessage="1" errorTitle="Kesalahan Jenis Data" error="Data yang dimasukkan harus berupa tanggal!" sqref="H18">
      <formula1>0</formula1>
      <formula2>2958465.99999999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K18">
      <formula1>-1000000000000000000</formula1>
      <formula2>1000000000000000000</formula2>
    </dataValidation>
    <dataValidation type="decimal" showErrorMessage="1" errorTitle="Kesalahan Jenis Data" error="Data yang dimasukkan harus berupa Angka!" sqref="L18">
      <formula1>-1000000000000000000</formula1>
      <formula2>1000000000000000000</formula2>
    </dataValidation>
    <dataValidation type="date" showErrorMessage="1" errorTitle="Kesalahan Jenis Data" error="Data yang dimasukkan harus berupa tanggal!" sqref="G19">
      <formula1>0</formula1>
      <formula2>2958465.99999999</formula2>
    </dataValidation>
    <dataValidation type="date" showErrorMessage="1" errorTitle="Kesalahan Jenis Data" error="Data yang dimasukkan harus berupa tanggal!" sqref="H19">
      <formula1>0</formula1>
      <formula2>2958465.99999999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K19">
      <formula1>-1000000000000000000</formula1>
      <formula2>1000000000000000000</formula2>
    </dataValidation>
    <dataValidation type="decimal" showErrorMessage="1" errorTitle="Kesalahan Jenis Data" error="Data yang dimasukkan harus berupa Angka!" sqref="L19">
      <formula1>-1000000000000000000</formula1>
      <formula2>1000000000000000000</formula2>
    </dataValidation>
    <dataValidation type="date" showErrorMessage="1" errorTitle="Kesalahan Jenis Data" error="Data yang dimasukkan harus berupa tanggal!" sqref="G20">
      <formula1>0</formula1>
      <formula2>2958465.99999999</formula2>
    </dataValidation>
    <dataValidation type="date" showErrorMessage="1" errorTitle="Kesalahan Jenis Data" error="Data yang dimasukkan harus berupa tanggal!" sqref="H20">
      <formula1>0</formula1>
      <formula2>2958465.99999999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K20">
      <formula1>-1000000000000000000</formula1>
      <formula2>1000000000000000000</formula2>
    </dataValidation>
    <dataValidation type="decimal" showErrorMessage="1" errorTitle="Kesalahan Jenis Data" error="Data yang dimasukkan harus berupa Angka!" sqref="L20">
      <formula1>-1000000000000000000</formula1>
      <formula2>1000000000000000000</formula2>
    </dataValidation>
    <dataValidation type="date" showErrorMessage="1" errorTitle="Kesalahan Jenis Data" error="Data yang dimasukkan harus berupa tanggal!" sqref="G21">
      <formula1>0</formula1>
      <formula2>2958465.99999999</formula2>
    </dataValidation>
    <dataValidation type="date" showErrorMessage="1" errorTitle="Kesalahan Jenis Data" error="Data yang dimasukkan harus berupa tanggal!" sqref="H21">
      <formula1>0</formula1>
      <formula2>2958465.99999999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K21">
      <formula1>-1000000000000000000</formula1>
      <formula2>1000000000000000000</formula2>
    </dataValidation>
    <dataValidation type="decimal" showErrorMessage="1" errorTitle="Kesalahan Jenis Data" error="Data yang dimasukkan harus berupa Angka!" sqref="L21">
      <formula1>-1000000000000000000</formula1>
      <formula2>1000000000000000000</formula2>
    </dataValidation>
    <dataValidation type="date" showErrorMessage="1" errorTitle="Kesalahan Jenis Data" error="Data yang dimasukkan harus berupa tanggal!" sqref="G22">
      <formula1>0</formula1>
      <formula2>2958465.99999999</formula2>
    </dataValidation>
    <dataValidation type="date" showErrorMessage="1" errorTitle="Kesalahan Jenis Data" error="Data yang dimasukkan harus berupa tanggal!" sqref="H22">
      <formula1>0</formula1>
      <formula2>2958465.99999999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K22">
      <formula1>-1000000000000000000</formula1>
      <formula2>1000000000000000000</formula2>
    </dataValidation>
    <dataValidation type="decimal" showErrorMessage="1" errorTitle="Kesalahan Jenis Data" error="Data yang dimasukkan harus berupa Angka!" sqref="L22">
      <formula1>-1000000000000000000</formula1>
      <formula2>1000000000000000000</formula2>
    </dataValidation>
    <dataValidation type="date" showErrorMessage="1" errorTitle="Kesalahan Jenis Data" error="Data yang dimasukkan harus berupa tanggal!" sqref="G23">
      <formula1>0</formula1>
      <formula2>2958465.99999999</formula2>
    </dataValidation>
    <dataValidation type="date" showErrorMessage="1" errorTitle="Kesalahan Jenis Data" error="Data yang dimasukkan harus berupa tanggal!" sqref="H23">
      <formula1>0</formula1>
      <formula2>2958465.99999999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K23">
      <formula1>-1000000000000000000</formula1>
      <formula2>1000000000000000000</formula2>
    </dataValidation>
    <dataValidation type="decimal" showErrorMessage="1" errorTitle="Kesalahan Jenis Data" error="Data yang dimasukkan harus berupa Angka!" sqref="L23">
      <formula1>-1000000000000000000</formula1>
      <formula2>1000000000000000000</formula2>
    </dataValidation>
    <dataValidation type="date" showErrorMessage="1" errorTitle="Kesalahan Jenis Data" error="Data yang dimasukkan harus berupa tanggal!" sqref="G24">
      <formula1>0</formula1>
      <formula2>2958465.99999999</formula2>
    </dataValidation>
    <dataValidation type="date" showErrorMessage="1" errorTitle="Kesalahan Jenis Data" error="Data yang dimasukkan harus berupa tanggal!" sqref="H24">
      <formula1>0</formula1>
      <formula2>2958465.99999999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K24">
      <formula1>-1000000000000000000</formula1>
      <formula2>1000000000000000000</formula2>
    </dataValidation>
    <dataValidation type="decimal" showErrorMessage="1" errorTitle="Kesalahan Jenis Data" error="Data yang dimasukkan harus berupa Angka!" sqref="L24">
      <formula1>-1000000000000000000</formula1>
      <formula2>1000000000000000000</formula2>
    </dataValidation>
    <dataValidation type="date" showErrorMessage="1" errorTitle="Kesalahan Jenis Data" error="Data yang dimasukkan harus berupa tanggal!" sqref="G25">
      <formula1>0</formula1>
      <formula2>2958465.99999999</formula2>
    </dataValidation>
    <dataValidation type="date" showErrorMessage="1" errorTitle="Kesalahan Jenis Data" error="Data yang dimasukkan harus berupa tanggal!" sqref="H25">
      <formula1>0</formula1>
      <formula2>2958465.99999999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K25">
      <formula1>-1000000000000000000</formula1>
      <formula2>1000000000000000000</formula2>
    </dataValidation>
    <dataValidation type="decimal" showErrorMessage="1" errorTitle="Kesalahan Jenis Data" error="Data yang dimasukkan harus berupa Angka!" sqref="L25">
      <formula1>-1000000000000000000</formula1>
      <formula2>1000000000000000000</formula2>
    </dataValidation>
  </dataValidations>
  <pageMargins left="0.7" right="0.7" top="0.75" bottom="0.75" header="0.3" footer="0.3"/>
  <pageSetup paperSize="9" scale="46" orientation="landscape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showGridLines="0" view="pageBreakPreview" zoomScale="55" zoomScaleNormal="70" zoomScaleSheetLayoutView="55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/>
    </sheetView>
  </sheetViews>
  <sheetFormatPr defaultColWidth="9.140625" defaultRowHeight="15" x14ac:dyDescent="0.25"/>
  <cols>
    <col min="1" max="1" width="9.140625" style="1" customWidth="1"/>
    <col min="2" max="3" width="1" style="1" customWidth="1"/>
    <col min="4" max="12" width="30" style="1" customWidth="1"/>
    <col min="13" max="13" width="1" style="1" customWidth="1"/>
    <col min="14" max="14" width="9.140625" style="1" customWidth="1"/>
    <col min="15" max="16384" width="9.140625" style="1"/>
  </cols>
  <sheetData>
    <row r="2" spans="2:13" ht="4.9000000000000004" customHeight="1" x14ac:dyDescent="0.25">
      <c r="B2" s="9" t="s">
        <v>134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46"/>
      <c r="J7" s="46"/>
      <c r="K7" s="46"/>
      <c r="L7" s="46"/>
      <c r="M7" s="2"/>
    </row>
    <row r="8" spans="2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25">
      <c r="B9" s="2"/>
      <c r="C9" s="47" t="s">
        <v>135</v>
      </c>
      <c r="D9" s="47"/>
      <c r="E9" s="47"/>
      <c r="F9" s="47"/>
      <c r="G9" s="47"/>
      <c r="H9" s="47"/>
      <c r="I9" s="47"/>
      <c r="J9" s="47"/>
      <c r="K9" s="47"/>
      <c r="L9" s="47"/>
      <c r="M9" s="2"/>
    </row>
    <row r="10" spans="2:13" x14ac:dyDescent="0.25">
      <c r="B10" s="2"/>
      <c r="C10" s="47" t="s">
        <v>136</v>
      </c>
      <c r="D10" s="47"/>
      <c r="E10" s="47"/>
      <c r="F10" s="47"/>
      <c r="G10" s="47"/>
      <c r="H10" s="47"/>
      <c r="I10" s="47"/>
      <c r="J10" s="47"/>
      <c r="K10" s="47"/>
      <c r="L10" s="47"/>
      <c r="M10" s="2"/>
    </row>
    <row r="11" spans="2:13" x14ac:dyDescent="0.25">
      <c r="B11" s="2"/>
      <c r="C11" s="48" t="str">
        <f>CONCATENATE("Bulan ", 'Data Umum'!D12, " Tahun ", TEXT('Data Umum'!D11, "YYYY"))</f>
        <v>Bulan Agustus Tahun 2016</v>
      </c>
      <c r="D11" s="48"/>
      <c r="E11" s="48"/>
      <c r="F11" s="48"/>
      <c r="G11" s="48"/>
      <c r="H11" s="48"/>
      <c r="I11" s="48"/>
      <c r="J11" s="48"/>
      <c r="K11" s="48"/>
      <c r="L11" s="48"/>
      <c r="M11" s="2"/>
    </row>
    <row r="12" spans="2:1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 x14ac:dyDescent="0.25">
      <c r="B13" s="2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2"/>
    </row>
    <row r="14" spans="2:13" x14ac:dyDescent="0.25">
      <c r="B14" s="2"/>
      <c r="C14" s="50" t="s">
        <v>119</v>
      </c>
      <c r="D14" s="51"/>
      <c r="E14" s="50" t="str">
        <f>""</f>
        <v/>
      </c>
      <c r="F14" s="51"/>
      <c r="G14" s="50" t="str">
        <f>"Jangka Waktu"</f>
        <v>Jangka Waktu</v>
      </c>
      <c r="H14" s="51"/>
      <c r="I14" s="50" t="str">
        <f>"Suku Bunga"</f>
        <v>Suku Bunga</v>
      </c>
      <c r="J14" s="51"/>
      <c r="K14" s="50" t="str">
        <f>"Jumlah"</f>
        <v>Jumlah</v>
      </c>
      <c r="L14" s="51"/>
      <c r="M14" s="2"/>
    </row>
    <row r="15" spans="2:13" x14ac:dyDescent="0.25">
      <c r="B15" s="2"/>
      <c r="C15" s="52"/>
      <c r="D15" s="53"/>
      <c r="E15" s="54" t="str">
        <f>"Jenis Surat Berharga"</f>
        <v>Jenis Surat Berharga</v>
      </c>
      <c r="F15" s="54" t="str">
        <f>"Nama Penerbit"</f>
        <v>Nama Penerbit</v>
      </c>
      <c r="G15" s="54" t="str">
        <f>"Tanggal Penerbitan"</f>
        <v>Tanggal Penerbitan</v>
      </c>
      <c r="H15" s="54" t="str">
        <f>"Jatuh Tempo"</f>
        <v>Jatuh Tempo</v>
      </c>
      <c r="I15" s="54" t="str">
        <f>"Tingkat Suku Bunga"</f>
        <v>Tingkat Suku Bunga</v>
      </c>
      <c r="J15" s="54" t="str">
        <f>"Jenis Suku Bunga"</f>
        <v>Jenis Suku Bunga</v>
      </c>
      <c r="K15" s="54" t="str">
        <f>"Bulan Lalu"</f>
        <v>Bulan Lalu</v>
      </c>
      <c r="L15" s="54" t="str">
        <f>"Bulan Laporan"</f>
        <v>Bulan Laporan</v>
      </c>
      <c r="M15" s="2"/>
    </row>
    <row r="16" spans="2:13" x14ac:dyDescent="0.25">
      <c r="B16" s="2"/>
      <c r="C16" s="56" t="s">
        <v>6</v>
      </c>
      <c r="D16" s="51"/>
      <c r="E16" s="65"/>
      <c r="F16" s="65"/>
      <c r="G16" s="66"/>
      <c r="H16" s="66"/>
      <c r="I16" s="67">
        <v>0</v>
      </c>
      <c r="J16" s="65"/>
      <c r="K16" s="61">
        <v>0</v>
      </c>
      <c r="L16" s="61">
        <v>0</v>
      </c>
      <c r="M16" s="2"/>
    </row>
    <row r="17" spans="1:13" x14ac:dyDescent="0.25">
      <c r="B17" s="2"/>
      <c r="C17" s="56" t="s">
        <v>120</v>
      </c>
      <c r="D17" s="51"/>
      <c r="E17" s="65"/>
      <c r="F17" s="65"/>
      <c r="G17" s="66"/>
      <c r="H17" s="66"/>
      <c r="I17" s="67">
        <v>0</v>
      </c>
      <c r="J17" s="65"/>
      <c r="K17" s="61">
        <v>0</v>
      </c>
      <c r="L17" s="61">
        <v>0</v>
      </c>
      <c r="M17" s="2"/>
    </row>
    <row r="18" spans="1:13" x14ac:dyDescent="0.25">
      <c r="B18" s="2"/>
      <c r="C18" s="56" t="s">
        <v>121</v>
      </c>
      <c r="D18" s="51"/>
      <c r="E18" s="65"/>
      <c r="F18" s="65"/>
      <c r="G18" s="66"/>
      <c r="H18" s="66"/>
      <c r="I18" s="67">
        <v>0</v>
      </c>
      <c r="J18" s="65"/>
      <c r="K18" s="61">
        <v>0</v>
      </c>
      <c r="L18" s="61">
        <v>0</v>
      </c>
      <c r="M18" s="2"/>
    </row>
    <row r="19" spans="1:13" x14ac:dyDescent="0.25">
      <c r="B19" s="2"/>
      <c r="C19" s="56" t="s">
        <v>122</v>
      </c>
      <c r="D19" s="51"/>
      <c r="E19" s="65"/>
      <c r="F19" s="65"/>
      <c r="G19" s="66"/>
      <c r="H19" s="66"/>
      <c r="I19" s="67">
        <v>0</v>
      </c>
      <c r="J19" s="65"/>
      <c r="K19" s="61">
        <v>0</v>
      </c>
      <c r="L19" s="61">
        <v>0</v>
      </c>
      <c r="M19" s="2"/>
    </row>
    <row r="20" spans="1:13" x14ac:dyDescent="0.25">
      <c r="B20" s="2"/>
      <c r="C20" s="56" t="s">
        <v>123</v>
      </c>
      <c r="D20" s="51"/>
      <c r="E20" s="65"/>
      <c r="F20" s="65"/>
      <c r="G20" s="66"/>
      <c r="H20" s="66"/>
      <c r="I20" s="67">
        <v>0</v>
      </c>
      <c r="J20" s="65"/>
      <c r="K20" s="61">
        <v>0</v>
      </c>
      <c r="L20" s="61">
        <v>0</v>
      </c>
      <c r="M20" s="2"/>
    </row>
    <row r="21" spans="1:13" x14ac:dyDescent="0.25">
      <c r="B21" s="2"/>
      <c r="C21" s="56" t="s">
        <v>124</v>
      </c>
      <c r="D21" s="51"/>
      <c r="E21" s="65"/>
      <c r="F21" s="65"/>
      <c r="G21" s="66"/>
      <c r="H21" s="66"/>
      <c r="I21" s="67">
        <v>0</v>
      </c>
      <c r="J21" s="65"/>
      <c r="K21" s="61">
        <v>0</v>
      </c>
      <c r="L21" s="61">
        <v>0</v>
      </c>
      <c r="M21" s="2"/>
    </row>
    <row r="22" spans="1:13" x14ac:dyDescent="0.25">
      <c r="B22" s="2"/>
      <c r="C22" s="56" t="s">
        <v>125</v>
      </c>
      <c r="D22" s="51"/>
      <c r="E22" s="65"/>
      <c r="F22" s="65"/>
      <c r="G22" s="66"/>
      <c r="H22" s="66"/>
      <c r="I22" s="67">
        <v>0</v>
      </c>
      <c r="J22" s="65"/>
      <c r="K22" s="61">
        <v>0</v>
      </c>
      <c r="L22" s="61">
        <v>0</v>
      </c>
      <c r="M22" s="2"/>
    </row>
    <row r="23" spans="1:13" x14ac:dyDescent="0.25">
      <c r="B23" s="2"/>
      <c r="C23" s="56" t="s">
        <v>126</v>
      </c>
      <c r="D23" s="51"/>
      <c r="E23" s="65"/>
      <c r="F23" s="65"/>
      <c r="G23" s="66"/>
      <c r="H23" s="66"/>
      <c r="I23" s="67">
        <v>0</v>
      </c>
      <c r="J23" s="65"/>
      <c r="K23" s="61">
        <v>0</v>
      </c>
      <c r="L23" s="61">
        <v>0</v>
      </c>
      <c r="M23" s="2"/>
    </row>
    <row r="24" spans="1:13" s="20" customFormat="1" x14ac:dyDescent="0.25">
      <c r="B24" s="5"/>
      <c r="C24" s="62" t="s">
        <v>127</v>
      </c>
      <c r="D24" s="64"/>
      <c r="E24" s="65"/>
      <c r="F24" s="65"/>
      <c r="G24" s="66"/>
      <c r="H24" s="66"/>
      <c r="I24" s="67">
        <v>0</v>
      </c>
      <c r="J24" s="65"/>
      <c r="K24" s="61">
        <v>0</v>
      </c>
      <c r="L24" s="61">
        <v>0</v>
      </c>
      <c r="M24" s="5"/>
    </row>
    <row r="25" spans="1:13" s="20" customFormat="1" x14ac:dyDescent="0.25">
      <c r="A25" s="23" t="s">
        <v>128</v>
      </c>
      <c r="B25" s="5"/>
      <c r="C25" s="62" t="s">
        <v>129</v>
      </c>
      <c r="D25" s="64"/>
      <c r="E25" s="65"/>
      <c r="F25" s="65"/>
      <c r="G25" s="66"/>
      <c r="H25" s="66"/>
      <c r="I25" s="67">
        <v>0</v>
      </c>
      <c r="J25" s="65"/>
      <c r="K25" s="61">
        <v>0</v>
      </c>
      <c r="L25" s="61">
        <v>0</v>
      </c>
      <c r="M25" s="5"/>
    </row>
    <row r="26" spans="1:13" x14ac:dyDescent="0.25">
      <c r="A26" s="24" t="s">
        <v>130</v>
      </c>
      <c r="B26" s="2"/>
      <c r="C26" s="56" t="s">
        <v>131</v>
      </c>
      <c r="D26" s="51"/>
      <c r="E26" s="13" t="str">
        <f>""</f>
        <v/>
      </c>
      <c r="F26" s="13" t="str">
        <f>""</f>
        <v/>
      </c>
      <c r="G26" s="18" t="str">
        <f>""</f>
        <v/>
      </c>
      <c r="H26" s="18" t="str">
        <f>""</f>
        <v/>
      </c>
      <c r="I26" s="15" t="str">
        <f>""</f>
        <v/>
      </c>
      <c r="J26" s="13" t="str">
        <f>""</f>
        <v/>
      </c>
      <c r="K26" s="19">
        <f>SUM(K16:K25)</f>
        <v>0</v>
      </c>
      <c r="L26" s="19">
        <f>SUM(L16:L25)</f>
        <v>0</v>
      </c>
      <c r="M26" s="2"/>
    </row>
    <row r="27" spans="1:1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4.9000000000000004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</sheetData>
  <sheetProtection password="BBAF" sheet="1" formatColumns="0" insertRows="0" deleteRows="0" selectLockedCells="1"/>
  <mergeCells count="109">
    <mergeCell ref="I25"/>
    <mergeCell ref="J25"/>
    <mergeCell ref="K25"/>
    <mergeCell ref="L25"/>
    <mergeCell ref="C26:D26"/>
    <mergeCell ref="C25:D25"/>
    <mergeCell ref="E25"/>
    <mergeCell ref="F25"/>
    <mergeCell ref="G25"/>
    <mergeCell ref="H25"/>
    <mergeCell ref="I23"/>
    <mergeCell ref="J23"/>
    <mergeCell ref="K23"/>
    <mergeCell ref="L23"/>
    <mergeCell ref="C24:D24"/>
    <mergeCell ref="E24"/>
    <mergeCell ref="F24"/>
    <mergeCell ref="G24"/>
    <mergeCell ref="H24"/>
    <mergeCell ref="I24"/>
    <mergeCell ref="J24"/>
    <mergeCell ref="K24"/>
    <mergeCell ref="L24"/>
    <mergeCell ref="C23:D23"/>
    <mergeCell ref="E23"/>
    <mergeCell ref="F23"/>
    <mergeCell ref="G23"/>
    <mergeCell ref="H23"/>
    <mergeCell ref="I21"/>
    <mergeCell ref="J21"/>
    <mergeCell ref="K21"/>
    <mergeCell ref="L21"/>
    <mergeCell ref="C22:D22"/>
    <mergeCell ref="E22"/>
    <mergeCell ref="F22"/>
    <mergeCell ref="G22"/>
    <mergeCell ref="H22"/>
    <mergeCell ref="I22"/>
    <mergeCell ref="J22"/>
    <mergeCell ref="K22"/>
    <mergeCell ref="L22"/>
    <mergeCell ref="C21:D21"/>
    <mergeCell ref="E21"/>
    <mergeCell ref="F21"/>
    <mergeCell ref="G21"/>
    <mergeCell ref="H21"/>
    <mergeCell ref="I19"/>
    <mergeCell ref="J19"/>
    <mergeCell ref="K19"/>
    <mergeCell ref="L19"/>
    <mergeCell ref="C20:D20"/>
    <mergeCell ref="E20"/>
    <mergeCell ref="F20"/>
    <mergeCell ref="G20"/>
    <mergeCell ref="H20"/>
    <mergeCell ref="I20"/>
    <mergeCell ref="J20"/>
    <mergeCell ref="K20"/>
    <mergeCell ref="L20"/>
    <mergeCell ref="C19:D19"/>
    <mergeCell ref="E19"/>
    <mergeCell ref="F19"/>
    <mergeCell ref="G19"/>
    <mergeCell ref="H19"/>
    <mergeCell ref="F15"/>
    <mergeCell ref="E14:F14"/>
    <mergeCell ref="G15"/>
    <mergeCell ref="I17"/>
    <mergeCell ref="J17"/>
    <mergeCell ref="K17"/>
    <mergeCell ref="L17"/>
    <mergeCell ref="C18:D18"/>
    <mergeCell ref="E18"/>
    <mergeCell ref="F18"/>
    <mergeCell ref="G18"/>
    <mergeCell ref="H18"/>
    <mergeCell ref="I18"/>
    <mergeCell ref="J18"/>
    <mergeCell ref="K18"/>
    <mergeCell ref="L18"/>
    <mergeCell ref="C17:D17"/>
    <mergeCell ref="E17"/>
    <mergeCell ref="F17"/>
    <mergeCell ref="G17"/>
    <mergeCell ref="H17"/>
    <mergeCell ref="C7:L7"/>
    <mergeCell ref="C9:L9"/>
    <mergeCell ref="C10:L10"/>
    <mergeCell ref="C11:L11"/>
    <mergeCell ref="C13:L13"/>
    <mergeCell ref="K15"/>
    <mergeCell ref="K14:L14"/>
    <mergeCell ref="L15"/>
    <mergeCell ref="C16:D16"/>
    <mergeCell ref="E16"/>
    <mergeCell ref="F16"/>
    <mergeCell ref="G16"/>
    <mergeCell ref="H16"/>
    <mergeCell ref="I16"/>
    <mergeCell ref="J16"/>
    <mergeCell ref="K16"/>
    <mergeCell ref="L16"/>
    <mergeCell ref="H15"/>
    <mergeCell ref="G14:H14"/>
    <mergeCell ref="I15"/>
    <mergeCell ref="J15"/>
    <mergeCell ref="I14:J14"/>
    <mergeCell ref="C14:D15"/>
    <mergeCell ref="E15"/>
  </mergeCells>
  <dataValidations count="50">
    <dataValidation type="date" showErrorMessage="1" errorTitle="Kesalahan Jenis Data" error="Data yang dimasukkan harus berupa tanggal!" sqref="G16">
      <formula1>0</formula1>
      <formula2>2958465.99999999</formula2>
    </dataValidation>
    <dataValidation type="date" showErrorMessage="1" errorTitle="Kesalahan Jenis Data" error="Data yang dimasukkan harus berupa tanggal!" sqref="H16">
      <formula1>0</formula1>
      <formula2>2958465.99999999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K16">
      <formula1>-1000000000000000000</formula1>
      <formula2>1000000000000000000</formula2>
    </dataValidation>
    <dataValidation type="decimal" showErrorMessage="1" errorTitle="Kesalahan Jenis Data" error="Data yang dimasukkan harus berupa Angka!" sqref="L16">
      <formula1>-1000000000000000000</formula1>
      <formula2>1000000000000000000</formula2>
    </dataValidation>
    <dataValidation type="date" showErrorMessage="1" errorTitle="Kesalahan Jenis Data" error="Data yang dimasukkan harus berupa tanggal!" sqref="G17">
      <formula1>0</formula1>
      <formula2>2958465.99999999</formula2>
    </dataValidation>
    <dataValidation type="date" showErrorMessage="1" errorTitle="Kesalahan Jenis Data" error="Data yang dimasukkan harus berupa tanggal!" sqref="H17">
      <formula1>0</formula1>
      <formula2>2958465.99999999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K17">
      <formula1>-1000000000000000000</formula1>
      <formula2>1000000000000000000</formula2>
    </dataValidation>
    <dataValidation type="decimal" showErrorMessage="1" errorTitle="Kesalahan Jenis Data" error="Data yang dimasukkan harus berupa Angka!" sqref="L17">
      <formula1>-1000000000000000000</formula1>
      <formula2>1000000000000000000</formula2>
    </dataValidation>
    <dataValidation type="date" showErrorMessage="1" errorTitle="Kesalahan Jenis Data" error="Data yang dimasukkan harus berupa tanggal!" sqref="G18">
      <formula1>0</formula1>
      <formula2>2958465.99999999</formula2>
    </dataValidation>
    <dataValidation type="date" showErrorMessage="1" errorTitle="Kesalahan Jenis Data" error="Data yang dimasukkan harus berupa tanggal!" sqref="H18">
      <formula1>0</formula1>
      <formula2>2958465.99999999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K18">
      <formula1>-1000000000000000000</formula1>
      <formula2>1000000000000000000</formula2>
    </dataValidation>
    <dataValidation type="decimal" showErrorMessage="1" errorTitle="Kesalahan Jenis Data" error="Data yang dimasukkan harus berupa Angka!" sqref="L18">
      <formula1>-1000000000000000000</formula1>
      <formula2>1000000000000000000</formula2>
    </dataValidation>
    <dataValidation type="date" showErrorMessage="1" errorTitle="Kesalahan Jenis Data" error="Data yang dimasukkan harus berupa tanggal!" sqref="G19">
      <formula1>0</formula1>
      <formula2>2958465.99999999</formula2>
    </dataValidation>
    <dataValidation type="date" showErrorMessage="1" errorTitle="Kesalahan Jenis Data" error="Data yang dimasukkan harus berupa tanggal!" sqref="H19">
      <formula1>0</formula1>
      <formula2>2958465.99999999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K19">
      <formula1>-1000000000000000000</formula1>
      <formula2>1000000000000000000</formula2>
    </dataValidation>
    <dataValidation type="decimal" showErrorMessage="1" errorTitle="Kesalahan Jenis Data" error="Data yang dimasukkan harus berupa Angka!" sqref="L19">
      <formula1>-1000000000000000000</formula1>
      <formula2>1000000000000000000</formula2>
    </dataValidation>
    <dataValidation type="date" showErrorMessage="1" errorTitle="Kesalahan Jenis Data" error="Data yang dimasukkan harus berupa tanggal!" sqref="G20">
      <formula1>0</formula1>
      <formula2>2958465.99999999</formula2>
    </dataValidation>
    <dataValidation type="date" showErrorMessage="1" errorTitle="Kesalahan Jenis Data" error="Data yang dimasukkan harus berupa tanggal!" sqref="H20">
      <formula1>0</formula1>
      <formula2>2958465.99999999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K20">
      <formula1>-1000000000000000000</formula1>
      <formula2>1000000000000000000</formula2>
    </dataValidation>
    <dataValidation type="decimal" showErrorMessage="1" errorTitle="Kesalahan Jenis Data" error="Data yang dimasukkan harus berupa Angka!" sqref="L20">
      <formula1>-1000000000000000000</formula1>
      <formula2>1000000000000000000</formula2>
    </dataValidation>
    <dataValidation type="date" showErrorMessage="1" errorTitle="Kesalahan Jenis Data" error="Data yang dimasukkan harus berupa tanggal!" sqref="G21">
      <formula1>0</formula1>
      <formula2>2958465.99999999</formula2>
    </dataValidation>
    <dataValidation type="date" showErrorMessage="1" errorTitle="Kesalahan Jenis Data" error="Data yang dimasukkan harus berupa tanggal!" sqref="H21">
      <formula1>0</formula1>
      <formula2>2958465.99999999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K21">
      <formula1>-1000000000000000000</formula1>
      <formula2>1000000000000000000</formula2>
    </dataValidation>
    <dataValidation type="decimal" showErrorMessage="1" errorTitle="Kesalahan Jenis Data" error="Data yang dimasukkan harus berupa Angka!" sqref="L21">
      <formula1>-1000000000000000000</formula1>
      <formula2>1000000000000000000</formula2>
    </dataValidation>
    <dataValidation type="date" showErrorMessage="1" errorTitle="Kesalahan Jenis Data" error="Data yang dimasukkan harus berupa tanggal!" sqref="G22">
      <formula1>0</formula1>
      <formula2>2958465.99999999</formula2>
    </dataValidation>
    <dataValidation type="date" showErrorMessage="1" errorTitle="Kesalahan Jenis Data" error="Data yang dimasukkan harus berupa tanggal!" sqref="H22">
      <formula1>0</formula1>
      <formula2>2958465.99999999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K22">
      <formula1>-1000000000000000000</formula1>
      <formula2>1000000000000000000</formula2>
    </dataValidation>
    <dataValidation type="decimal" showErrorMessage="1" errorTitle="Kesalahan Jenis Data" error="Data yang dimasukkan harus berupa Angka!" sqref="L22">
      <formula1>-1000000000000000000</formula1>
      <formula2>1000000000000000000</formula2>
    </dataValidation>
    <dataValidation type="date" showErrorMessage="1" errorTitle="Kesalahan Jenis Data" error="Data yang dimasukkan harus berupa tanggal!" sqref="G23">
      <formula1>0</formula1>
      <formula2>2958465.99999999</formula2>
    </dataValidation>
    <dataValidation type="date" showErrorMessage="1" errorTitle="Kesalahan Jenis Data" error="Data yang dimasukkan harus berupa tanggal!" sqref="H23">
      <formula1>0</formula1>
      <formula2>2958465.99999999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K23">
      <formula1>-1000000000000000000</formula1>
      <formula2>1000000000000000000</formula2>
    </dataValidation>
    <dataValidation type="decimal" showErrorMessage="1" errorTitle="Kesalahan Jenis Data" error="Data yang dimasukkan harus berupa Angka!" sqref="L23">
      <formula1>-1000000000000000000</formula1>
      <formula2>1000000000000000000</formula2>
    </dataValidation>
    <dataValidation type="date" showErrorMessage="1" errorTitle="Kesalahan Jenis Data" error="Data yang dimasukkan harus berupa tanggal!" sqref="G24">
      <formula1>0</formula1>
      <formula2>2958465.99999999</formula2>
    </dataValidation>
    <dataValidation type="date" showErrorMessage="1" errorTitle="Kesalahan Jenis Data" error="Data yang dimasukkan harus berupa tanggal!" sqref="H24">
      <formula1>0</formula1>
      <formula2>2958465.99999999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K24">
      <formula1>-1000000000000000000</formula1>
      <formula2>1000000000000000000</formula2>
    </dataValidation>
    <dataValidation type="decimal" showErrorMessage="1" errorTitle="Kesalahan Jenis Data" error="Data yang dimasukkan harus berupa Angka!" sqref="L24">
      <formula1>-1000000000000000000</formula1>
      <formula2>1000000000000000000</formula2>
    </dataValidation>
    <dataValidation type="date" showErrorMessage="1" errorTitle="Kesalahan Jenis Data" error="Data yang dimasukkan harus berupa tanggal!" sqref="G25">
      <formula1>0</formula1>
      <formula2>2958465.99999999</formula2>
    </dataValidation>
    <dataValidation type="date" showErrorMessage="1" errorTitle="Kesalahan Jenis Data" error="Data yang dimasukkan harus berupa tanggal!" sqref="H25">
      <formula1>0</formula1>
      <formula2>2958465.99999999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K25">
      <formula1>-1000000000000000000</formula1>
      <formula2>1000000000000000000</formula2>
    </dataValidation>
    <dataValidation type="decimal" showErrorMessage="1" errorTitle="Kesalahan Jenis Data" error="Data yang dimasukkan harus berupa Angka!" sqref="L25">
      <formula1>-1000000000000000000</formula1>
      <formula2>1000000000000000000</formula2>
    </dataValidation>
  </dataValidations>
  <pageMargins left="0.7" right="0.7" top="0.75" bottom="0.75" header="0.3" footer="0.3"/>
  <pageSetup paperSize="9" scale="46" orientation="landscape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showGridLines="0" zoomScale="70" zoomScaleNormal="70" zoomScaleSheetLayoutView="55" workbookViewId="0"/>
  </sheetViews>
  <sheetFormatPr defaultColWidth="9.140625" defaultRowHeight="15" x14ac:dyDescent="0.25"/>
  <cols>
    <col min="1" max="1" width="9.140625" style="1" customWidth="1"/>
    <col min="2" max="3" width="1" style="1" customWidth="1"/>
    <col min="4" max="11" width="30" style="1" customWidth="1"/>
    <col min="12" max="12" width="1" style="1" customWidth="1"/>
    <col min="13" max="13" width="9.140625" style="1" customWidth="1"/>
    <col min="14" max="16384" width="9.140625" style="1"/>
  </cols>
  <sheetData>
    <row r="2" spans="2:12" ht="4.9000000000000004" customHeight="1" x14ac:dyDescent="0.25">
      <c r="B2" s="9" t="s">
        <v>137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ht="17.25" x14ac:dyDescent="0.25">
      <c r="B7" s="2"/>
      <c r="C7" s="46" t="str">
        <f>UPPER('Data Umum'!D7)</f>
        <v>PT. JAMKRIDA SULSEL</v>
      </c>
      <c r="D7" s="46"/>
      <c r="E7" s="46"/>
      <c r="F7" s="46"/>
      <c r="G7" s="46"/>
      <c r="H7" s="46"/>
      <c r="I7" s="46"/>
      <c r="J7" s="46"/>
      <c r="K7" s="46"/>
      <c r="L7" s="2"/>
    </row>
    <row r="8" spans="2:12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x14ac:dyDescent="0.25">
      <c r="B9" s="2"/>
      <c r="C9" s="47" t="s">
        <v>138</v>
      </c>
      <c r="D9" s="47"/>
      <c r="E9" s="47"/>
      <c r="F9" s="47"/>
      <c r="G9" s="47"/>
      <c r="H9" s="47"/>
      <c r="I9" s="47"/>
      <c r="J9" s="47"/>
      <c r="K9" s="47"/>
      <c r="L9" s="2"/>
    </row>
    <row r="10" spans="2:12" x14ac:dyDescent="0.25">
      <c r="B10" s="2"/>
      <c r="C10" s="47" t="s">
        <v>118</v>
      </c>
      <c r="D10" s="47"/>
      <c r="E10" s="47"/>
      <c r="F10" s="47"/>
      <c r="G10" s="47"/>
      <c r="H10" s="47"/>
      <c r="I10" s="47"/>
      <c r="J10" s="47"/>
      <c r="K10" s="47"/>
      <c r="L10" s="2"/>
    </row>
    <row r="11" spans="2:12" x14ac:dyDescent="0.25">
      <c r="B11" s="2"/>
      <c r="C11" s="48" t="str">
        <f>CONCATENATE("Bulan ", 'Data Umum'!D12, " Tahun ", TEXT('Data Umum'!D11, "YYYY"))</f>
        <v>Bulan Agustus Tahun 2016</v>
      </c>
      <c r="D11" s="48"/>
      <c r="E11" s="48"/>
      <c r="F11" s="48"/>
      <c r="G11" s="48"/>
      <c r="H11" s="48"/>
      <c r="I11" s="48"/>
      <c r="J11" s="48"/>
      <c r="K11" s="48"/>
      <c r="L11" s="2"/>
    </row>
    <row r="12" spans="2:12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 x14ac:dyDescent="0.25">
      <c r="B13" s="2"/>
      <c r="C13" s="49"/>
      <c r="D13" s="49"/>
      <c r="E13" s="49"/>
      <c r="F13" s="49"/>
      <c r="G13" s="49"/>
      <c r="H13" s="49"/>
      <c r="I13" s="49"/>
      <c r="J13" s="49"/>
      <c r="K13" s="49"/>
      <c r="L13" s="2"/>
    </row>
    <row r="14" spans="2:12" x14ac:dyDescent="0.25">
      <c r="B14" s="2"/>
      <c r="C14" s="50" t="s">
        <v>119</v>
      </c>
      <c r="D14" s="51"/>
      <c r="E14" s="50" t="str">
        <f>""</f>
        <v/>
      </c>
      <c r="F14" s="68"/>
      <c r="G14" s="68"/>
      <c r="H14" s="68"/>
      <c r="I14" s="51"/>
      <c r="J14" s="50" t="str">
        <f>"Jumlah"</f>
        <v>Jumlah</v>
      </c>
      <c r="K14" s="51"/>
      <c r="L14" s="2"/>
    </row>
    <row r="15" spans="2:12" x14ac:dyDescent="0.25">
      <c r="B15" s="2"/>
      <c r="C15" s="52"/>
      <c r="D15" s="53"/>
      <c r="E15" s="54" t="str">
        <f>"Nama Investee"</f>
        <v>Nama Investee</v>
      </c>
      <c r="F15" s="54" t="str">
        <f>"Metode Penyertaan"</f>
        <v>Metode Penyertaan</v>
      </c>
      <c r="G15" s="54" t="str">
        <f>"Tanggal Mulai Penyertaan"</f>
        <v>Tanggal Mulai Penyertaan</v>
      </c>
      <c r="H15" s="54" t="str">
        <f>"Prosentase Kepemilikan"</f>
        <v>Prosentase Kepemilikan</v>
      </c>
      <c r="I15" s="54" t="str">
        <f>"Nilai Perolehan"</f>
        <v>Nilai Perolehan</v>
      </c>
      <c r="J15" s="54" t="str">
        <f>"Bulan Lalu"</f>
        <v>Bulan Lalu</v>
      </c>
      <c r="K15" s="54" t="str">
        <f>"Bulan Laporan"</f>
        <v>Bulan Laporan</v>
      </c>
      <c r="L15" s="2"/>
    </row>
    <row r="16" spans="2:12" x14ac:dyDescent="0.25">
      <c r="B16" s="2"/>
      <c r="C16" s="56" t="s">
        <v>6</v>
      </c>
      <c r="D16" s="51"/>
      <c r="E16" s="65"/>
      <c r="F16" s="65"/>
      <c r="G16" s="66"/>
      <c r="H16" s="67">
        <v>0</v>
      </c>
      <c r="I16" s="61">
        <v>0</v>
      </c>
      <c r="J16" s="61">
        <v>0</v>
      </c>
      <c r="K16" s="61">
        <v>0</v>
      </c>
      <c r="L16" s="2"/>
    </row>
    <row r="17" spans="1:12" x14ac:dyDescent="0.25">
      <c r="B17" s="2"/>
      <c r="C17" s="56" t="s">
        <v>120</v>
      </c>
      <c r="D17" s="51"/>
      <c r="E17" s="65"/>
      <c r="F17" s="65"/>
      <c r="G17" s="66"/>
      <c r="H17" s="67">
        <v>0</v>
      </c>
      <c r="I17" s="61">
        <v>0</v>
      </c>
      <c r="J17" s="61">
        <v>0</v>
      </c>
      <c r="K17" s="61">
        <v>0</v>
      </c>
      <c r="L17" s="2"/>
    </row>
    <row r="18" spans="1:12" x14ac:dyDescent="0.25">
      <c r="B18" s="2"/>
      <c r="C18" s="56" t="s">
        <v>121</v>
      </c>
      <c r="D18" s="51"/>
      <c r="E18" s="65"/>
      <c r="F18" s="65"/>
      <c r="G18" s="66"/>
      <c r="H18" s="67">
        <v>0</v>
      </c>
      <c r="I18" s="61">
        <v>0</v>
      </c>
      <c r="J18" s="61">
        <v>0</v>
      </c>
      <c r="K18" s="61">
        <v>0</v>
      </c>
      <c r="L18" s="2"/>
    </row>
    <row r="19" spans="1:12" x14ac:dyDescent="0.25">
      <c r="B19" s="2"/>
      <c r="C19" s="56" t="s">
        <v>122</v>
      </c>
      <c r="D19" s="51"/>
      <c r="E19" s="65"/>
      <c r="F19" s="65"/>
      <c r="G19" s="66"/>
      <c r="H19" s="67">
        <v>0</v>
      </c>
      <c r="I19" s="61">
        <v>0</v>
      </c>
      <c r="J19" s="61">
        <v>0</v>
      </c>
      <c r="K19" s="61">
        <v>0</v>
      </c>
      <c r="L19" s="2"/>
    </row>
    <row r="20" spans="1:12" x14ac:dyDescent="0.25">
      <c r="B20" s="2"/>
      <c r="C20" s="56" t="s">
        <v>123</v>
      </c>
      <c r="D20" s="51"/>
      <c r="E20" s="65"/>
      <c r="F20" s="65"/>
      <c r="G20" s="66"/>
      <c r="H20" s="67">
        <v>0</v>
      </c>
      <c r="I20" s="61">
        <v>0</v>
      </c>
      <c r="J20" s="61">
        <v>0</v>
      </c>
      <c r="K20" s="61">
        <v>0</v>
      </c>
      <c r="L20" s="2"/>
    </row>
    <row r="21" spans="1:12" x14ac:dyDescent="0.25">
      <c r="B21" s="2"/>
      <c r="C21" s="56" t="s">
        <v>124</v>
      </c>
      <c r="D21" s="51"/>
      <c r="E21" s="65"/>
      <c r="F21" s="65"/>
      <c r="G21" s="66"/>
      <c r="H21" s="67">
        <v>0</v>
      </c>
      <c r="I21" s="61">
        <v>0</v>
      </c>
      <c r="J21" s="61">
        <v>0</v>
      </c>
      <c r="K21" s="61">
        <v>0</v>
      </c>
      <c r="L21" s="2"/>
    </row>
    <row r="22" spans="1:12" x14ac:dyDescent="0.25">
      <c r="B22" s="2"/>
      <c r="C22" s="56" t="s">
        <v>125</v>
      </c>
      <c r="D22" s="51"/>
      <c r="E22" s="65"/>
      <c r="F22" s="65"/>
      <c r="G22" s="66"/>
      <c r="H22" s="67">
        <v>0</v>
      </c>
      <c r="I22" s="61">
        <v>0</v>
      </c>
      <c r="J22" s="61">
        <v>0</v>
      </c>
      <c r="K22" s="61">
        <v>0</v>
      </c>
      <c r="L22" s="2"/>
    </row>
    <row r="23" spans="1:12" x14ac:dyDescent="0.25">
      <c r="B23" s="2"/>
      <c r="C23" s="56" t="s">
        <v>126</v>
      </c>
      <c r="D23" s="51"/>
      <c r="E23" s="65"/>
      <c r="F23" s="65"/>
      <c r="G23" s="66"/>
      <c r="H23" s="67">
        <v>0</v>
      </c>
      <c r="I23" s="61">
        <v>0</v>
      </c>
      <c r="J23" s="61">
        <v>0</v>
      </c>
      <c r="K23" s="61">
        <v>0</v>
      </c>
      <c r="L23" s="2"/>
    </row>
    <row r="24" spans="1:12" s="20" customFormat="1" x14ac:dyDescent="0.25">
      <c r="B24" s="5"/>
      <c r="C24" s="62" t="s">
        <v>127</v>
      </c>
      <c r="D24" s="64"/>
      <c r="E24" s="65"/>
      <c r="F24" s="65"/>
      <c r="G24" s="66"/>
      <c r="H24" s="67">
        <v>0</v>
      </c>
      <c r="I24" s="61">
        <v>0</v>
      </c>
      <c r="J24" s="61">
        <v>0</v>
      </c>
      <c r="K24" s="61">
        <v>0</v>
      </c>
      <c r="L24" s="5"/>
    </row>
    <row r="25" spans="1:12" s="20" customFormat="1" x14ac:dyDescent="0.25">
      <c r="A25" s="23" t="s">
        <v>128</v>
      </c>
      <c r="B25" s="5"/>
      <c r="C25" s="62" t="s">
        <v>129</v>
      </c>
      <c r="D25" s="64"/>
      <c r="E25" s="65"/>
      <c r="F25" s="65"/>
      <c r="G25" s="66"/>
      <c r="H25" s="67">
        <v>0</v>
      </c>
      <c r="I25" s="61">
        <v>0</v>
      </c>
      <c r="J25" s="61">
        <v>0</v>
      </c>
      <c r="K25" s="61">
        <v>0</v>
      </c>
      <c r="L25" s="5"/>
    </row>
    <row r="26" spans="1:12" x14ac:dyDescent="0.25">
      <c r="A26" s="24" t="s">
        <v>130</v>
      </c>
      <c r="B26" s="2"/>
      <c r="C26" s="56" t="s">
        <v>131</v>
      </c>
      <c r="D26" s="51"/>
      <c r="E26" s="13" t="str">
        <f>""</f>
        <v/>
      </c>
      <c r="F26" s="13" t="str">
        <f>""</f>
        <v/>
      </c>
      <c r="G26" s="18" t="str">
        <f>""</f>
        <v/>
      </c>
      <c r="H26" s="15" t="str">
        <f>""</f>
        <v/>
      </c>
      <c r="I26" s="19">
        <f>SUM(I16:I25)</f>
        <v>0</v>
      </c>
      <c r="J26" s="19">
        <f>SUM(J16:J25)</f>
        <v>0</v>
      </c>
      <c r="K26" s="19">
        <f>SUM(K16:K25)</f>
        <v>0</v>
      </c>
      <c r="L26" s="2"/>
    </row>
    <row r="27" spans="1:12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4.9000000000000004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</sheetData>
  <sheetProtection password="BBAF" sheet="1" formatColumns="0" insertRows="0" deleteRows="0" selectLockedCells="1"/>
  <mergeCells count="96">
    <mergeCell ref="C26:D26"/>
    <mergeCell ref="I24"/>
    <mergeCell ref="J24"/>
    <mergeCell ref="K24"/>
    <mergeCell ref="C25:D25"/>
    <mergeCell ref="E25"/>
    <mergeCell ref="F25"/>
    <mergeCell ref="G25"/>
    <mergeCell ref="H25"/>
    <mergeCell ref="I25"/>
    <mergeCell ref="J25"/>
    <mergeCell ref="K25"/>
    <mergeCell ref="C24:D24"/>
    <mergeCell ref="E24"/>
    <mergeCell ref="F24"/>
    <mergeCell ref="G24"/>
    <mergeCell ref="H24"/>
    <mergeCell ref="I22"/>
    <mergeCell ref="J22"/>
    <mergeCell ref="K22"/>
    <mergeCell ref="C23:D23"/>
    <mergeCell ref="E23"/>
    <mergeCell ref="F23"/>
    <mergeCell ref="G23"/>
    <mergeCell ref="H23"/>
    <mergeCell ref="I23"/>
    <mergeCell ref="J23"/>
    <mergeCell ref="K23"/>
    <mergeCell ref="C22:D22"/>
    <mergeCell ref="E22"/>
    <mergeCell ref="F22"/>
    <mergeCell ref="G22"/>
    <mergeCell ref="H22"/>
    <mergeCell ref="I20"/>
    <mergeCell ref="J20"/>
    <mergeCell ref="K20"/>
    <mergeCell ref="C21:D21"/>
    <mergeCell ref="E21"/>
    <mergeCell ref="F21"/>
    <mergeCell ref="G21"/>
    <mergeCell ref="H21"/>
    <mergeCell ref="I21"/>
    <mergeCell ref="J21"/>
    <mergeCell ref="K21"/>
    <mergeCell ref="C20:D20"/>
    <mergeCell ref="E20"/>
    <mergeCell ref="F20"/>
    <mergeCell ref="G20"/>
    <mergeCell ref="H20"/>
    <mergeCell ref="I18"/>
    <mergeCell ref="J18"/>
    <mergeCell ref="K18"/>
    <mergeCell ref="C19:D19"/>
    <mergeCell ref="E19"/>
    <mergeCell ref="F19"/>
    <mergeCell ref="G19"/>
    <mergeCell ref="H19"/>
    <mergeCell ref="I19"/>
    <mergeCell ref="J19"/>
    <mergeCell ref="K19"/>
    <mergeCell ref="C18:D18"/>
    <mergeCell ref="E18"/>
    <mergeCell ref="F18"/>
    <mergeCell ref="G18"/>
    <mergeCell ref="H18"/>
    <mergeCell ref="I16"/>
    <mergeCell ref="J16"/>
    <mergeCell ref="K16"/>
    <mergeCell ref="C17:D17"/>
    <mergeCell ref="E17"/>
    <mergeCell ref="F17"/>
    <mergeCell ref="G17"/>
    <mergeCell ref="H17"/>
    <mergeCell ref="I17"/>
    <mergeCell ref="J17"/>
    <mergeCell ref="K17"/>
    <mergeCell ref="C16:D16"/>
    <mergeCell ref="E16"/>
    <mergeCell ref="F16"/>
    <mergeCell ref="G16"/>
    <mergeCell ref="H16"/>
    <mergeCell ref="I15"/>
    <mergeCell ref="E14:I14"/>
    <mergeCell ref="J15"/>
    <mergeCell ref="J14:K14"/>
    <mergeCell ref="K15"/>
    <mergeCell ref="C14:D15"/>
    <mergeCell ref="E15"/>
    <mergeCell ref="F15"/>
    <mergeCell ref="G15"/>
    <mergeCell ref="H15"/>
    <mergeCell ref="C7:K7"/>
    <mergeCell ref="C9:K9"/>
    <mergeCell ref="C10:K10"/>
    <mergeCell ref="C11:K11"/>
    <mergeCell ref="C13:K13"/>
  </mergeCells>
  <dataValidations count="50">
    <dataValidation type="date" showErrorMessage="1" errorTitle="Kesalahan Jenis Data" error="Data yang dimasukkan harus berupa tanggal!" sqref="G16">
      <formula1>0</formula1>
      <formula2>2958465.99999999</formula2>
    </dataValidation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J16">
      <formula1>-1000000000000000000</formula1>
      <formula2>1000000000000000000</formula2>
    </dataValidation>
    <dataValidation type="decimal" showErrorMessage="1" errorTitle="Kesalahan Jenis Data" error="Data yang dimasukkan harus berupa Angka!" sqref="K16">
      <formula1>-1000000000000000000</formula1>
      <formula2>1000000000000000000</formula2>
    </dataValidation>
    <dataValidation type="date" showErrorMessage="1" errorTitle="Kesalahan Jenis Data" error="Data yang dimasukkan harus berupa tanggal!" sqref="G17">
      <formula1>0</formula1>
      <formula2>2958465.99999999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K17">
      <formula1>-1000000000000000000</formula1>
      <formula2>1000000000000000000</formula2>
    </dataValidation>
    <dataValidation type="date" showErrorMessage="1" errorTitle="Kesalahan Jenis Data" error="Data yang dimasukkan harus berupa tanggal!" sqref="G18">
      <formula1>0</formula1>
      <formula2>2958465.99999999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K18">
      <formula1>-1000000000000000000</formula1>
      <formula2>1000000000000000000</formula2>
    </dataValidation>
    <dataValidation type="date" showErrorMessage="1" errorTitle="Kesalahan Jenis Data" error="Data yang dimasukkan harus berupa tanggal!" sqref="G19">
      <formula1>0</formula1>
      <formula2>2958465.99999999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K19">
      <formula1>-1000000000000000000</formula1>
      <formula2>1000000000000000000</formula2>
    </dataValidation>
    <dataValidation type="date" showErrorMessage="1" errorTitle="Kesalahan Jenis Data" error="Data yang dimasukkan harus berupa tanggal!" sqref="G20">
      <formula1>0</formula1>
      <formula2>2958465.99999999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K20">
      <formula1>-1000000000000000000</formula1>
      <formula2>1000000000000000000</formula2>
    </dataValidation>
    <dataValidation type="date" showErrorMessage="1" errorTitle="Kesalahan Jenis Data" error="Data yang dimasukkan harus berupa tanggal!" sqref="G21">
      <formula1>0</formula1>
      <formula2>2958465.99999999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K21">
      <formula1>-1000000000000000000</formula1>
      <formula2>1000000000000000000</formula2>
    </dataValidation>
    <dataValidation type="date" showErrorMessage="1" errorTitle="Kesalahan Jenis Data" error="Data yang dimasukkan harus berupa tanggal!" sqref="G22">
      <formula1>0</formula1>
      <formula2>2958465.99999999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K22">
      <formula1>-1000000000000000000</formula1>
      <formula2>1000000000000000000</formula2>
    </dataValidation>
    <dataValidation type="date" showErrorMessage="1" errorTitle="Kesalahan Jenis Data" error="Data yang dimasukkan harus berupa tanggal!" sqref="G23">
      <formula1>0</formula1>
      <formula2>2958465.99999999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K23">
      <formula1>-1000000000000000000</formula1>
      <formula2>1000000000000000000</formula2>
    </dataValidation>
    <dataValidation type="date" showErrorMessage="1" errorTitle="Kesalahan Jenis Data" error="Data yang dimasukkan harus berupa tanggal!" sqref="G24">
      <formula1>0</formula1>
      <formula2>2958465.99999999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K24">
      <formula1>-1000000000000000000</formula1>
      <formula2>1000000000000000000</formula2>
    </dataValidation>
    <dataValidation type="date" showErrorMessage="1" errorTitle="Kesalahan Jenis Data" error="Data yang dimasukkan harus berupa tanggal!" sqref="G25">
      <formula1>0</formula1>
      <formula2>2958465.99999999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K25">
      <formula1>-1000000000000000000</formula1>
      <formula2>1000000000000000000</formula2>
    </dataValidation>
  </dataValidations>
  <pageMargins left="0.7" right="0.7" top="0.75" bottom="0.75" header="0.3" footer="0.3"/>
  <pageSetup paperSize="9" scale="52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</vt:i4>
      </vt:variant>
    </vt:vector>
  </HeadingPairs>
  <TitlesOfParts>
    <vt:vector size="26" baseType="lpstr">
      <vt:lpstr>Data Umum</vt:lpstr>
      <vt:lpstr>Cover</vt:lpstr>
      <vt:lpstr>Validasi</vt:lpstr>
      <vt:lpstr>LIPJ</vt:lpstr>
      <vt:lpstr>LPKPJ</vt:lpstr>
      <vt:lpstr>RIDPJ</vt:lpstr>
      <vt:lpstr>RISBPJ</vt:lpstr>
      <vt:lpstr>RISBPJ2</vt:lpstr>
      <vt:lpstr>RIPPJ</vt:lpstr>
      <vt:lpstr>RIPCOPJ</vt:lpstr>
      <vt:lpstr>RIPCOPJ2</vt:lpstr>
      <vt:lpstr>LLRPJ</vt:lpstr>
      <vt:lpstr>LAKPJ</vt:lpstr>
      <vt:lpstr>LGRPJ</vt:lpstr>
      <vt:lpstr>LPJKPJ</vt:lpstr>
      <vt:lpstr>LKPJ</vt:lpstr>
      <vt:lpstr>LBNPGPJ</vt:lpstr>
      <vt:lpstr>LKPKPJ</vt:lpstr>
      <vt:lpstr>LPAPJ</vt:lpstr>
      <vt:lpstr>LAKALPJ</vt:lpstr>
      <vt:lpstr>LAKALPJ1</vt:lpstr>
      <vt:lpstr>LPJKPJ!Print_Area</vt:lpstr>
      <vt:lpstr>LPKPJ!Print_Area</vt:lpstr>
      <vt:lpstr>RIDPJ!Print_Area</vt:lpstr>
      <vt:lpstr>RIPCOPJ2!Print_Area</vt:lpstr>
      <vt:lpstr>Validasi!Print_Area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JAMKRIDA</dc:creator>
  <cp:lastModifiedBy>Toshiba</cp:lastModifiedBy>
  <cp:lastPrinted>2017-06-06T07:32:13Z</cp:lastPrinted>
  <dcterms:created xsi:type="dcterms:W3CDTF">2015-06-09T09:19:31Z</dcterms:created>
  <dcterms:modified xsi:type="dcterms:W3CDTF">2017-10-24T15:08:26Z</dcterms:modified>
</cp:coreProperties>
</file>